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Смета 12 гр. по ФЕР" sheetId="1" r:id="rId1"/>
    <sheet name="Акт КС-2 10 граф" sheetId="2" r:id="rId2"/>
    <sheet name="Дефектная ведомость" sheetId="3" r:id="rId3"/>
    <sheet name="Ведомость объемов работ" sheetId="4" r:id="rId4"/>
    <sheet name="RV_DATA" sheetId="5" state="hidden" r:id="rId5"/>
    <sheet name="Расчет стоимости ресурсов" sheetId="6" r:id="rId6"/>
    <sheet name="Source" sheetId="7" r:id="rId7"/>
    <sheet name="SourceObSm" sheetId="8" r:id="rId8"/>
    <sheet name="SmtRes" sheetId="9" r:id="rId9"/>
    <sheet name="EtalonRes" sheetId="10" r:id="rId10"/>
  </sheets>
  <definedNames>
    <definedName name="_xlnm.Print_Titles" localSheetId="1">'Акт КС-2 10 граф'!$33:$33</definedName>
    <definedName name="_xlnm.Print_Titles" localSheetId="3">'Ведомость объемов работ'!$15:$15</definedName>
    <definedName name="_xlnm.Print_Titles" localSheetId="2">'Дефектная ведомость'!$18:$18</definedName>
    <definedName name="_xlnm.Print_Titles" localSheetId="5">'Расчет стоимости ресурсов'!$4:$7</definedName>
    <definedName name="_xlnm.Print_Titles" localSheetId="0">'Смета 12 гр. по ФЕР'!$40:$40</definedName>
    <definedName name="_xlnm.Print_Area" localSheetId="1">'Акт КС-2 10 граф'!$A$1:$J$197</definedName>
    <definedName name="_xlnm.Print_Area" localSheetId="3">'Ведомость объемов работ'!$A$1:$E$53</definedName>
    <definedName name="_xlnm.Print_Area" localSheetId="2">'Дефектная ведомость'!$A$1:$E$56</definedName>
    <definedName name="_xlnm.Print_Area" localSheetId="5">'Расчет стоимости ресурсов'!$A$1:$H$67</definedName>
    <definedName name="_xlnm.Print_Area" localSheetId="0">'Смета 12 гр. по ФЕР'!$A$1:$L$191</definedName>
  </definedNames>
  <calcPr fullCalcOnLoad="1"/>
</workbook>
</file>

<file path=xl/sharedStrings.xml><?xml version="1.0" encoding="utf-8"?>
<sst xmlns="http://schemas.openxmlformats.org/spreadsheetml/2006/main" count="5731" uniqueCount="566">
  <si>
    <t>Smeta.RU  (495) 974-1589</t>
  </si>
  <si>
    <t>_PS_</t>
  </si>
  <si>
    <t>Smeta.RU</t>
  </si>
  <si>
    <t/>
  </si>
  <si>
    <t>Реализация выполнения работ по обеспечению пожарной безопасности объекта ИПУ РАН</t>
  </si>
  <si>
    <t>Степанова А.М.</t>
  </si>
  <si>
    <t>Вед. инженер по эксплуатации и ремонту</t>
  </si>
  <si>
    <t>Кудряшов М.Н.</t>
  </si>
  <si>
    <t>Заместитель заведующего РеСО</t>
  </si>
  <si>
    <t>Покшин В.И.</t>
  </si>
  <si>
    <t>Заведующий РеСО</t>
  </si>
  <si>
    <t>Корниенко С.В.</t>
  </si>
  <si>
    <t>Зам. директора по развитию и информатизации</t>
  </si>
  <si>
    <t>ИПУ РАН</t>
  </si>
  <si>
    <t>Сметные нормы списания</t>
  </si>
  <si>
    <t>Коды ценников</t>
  </si>
  <si>
    <t>ФЕР И5 ремонт старые НР и СП</t>
  </si>
  <si>
    <t>ГСН (ГЭСН, ФЕР) и ТЕР (МДС 81-25.2001 и МДС 81-33.2004) от 28.05.2021 г.</t>
  </si>
  <si>
    <t>ФЕР-2020 - изменение И5</t>
  </si>
  <si>
    <t>Поправки для ГСН (ФЕР) 2020 от 09.02.2021 г И5</t>
  </si>
  <si>
    <t>Реализация выполнения работ по обеспечению пожарной безопастности объекта ИПУ РАН</t>
  </si>
  <si>
    <t>вед.инженер по эксплуатации и ремонту</t>
  </si>
  <si>
    <t>Киселев В.А.</t>
  </si>
  <si>
    <t>Главный механик</t>
  </si>
  <si>
    <t>Новый раздел</t>
  </si>
  <si>
    <t>Строение 1</t>
  </si>
  <si>
    <t>1</t>
  </si>
  <si>
    <t>08-07-002-01</t>
  </si>
  <si>
    <t>Установка и разборка внутренних трубчатых инвентарных лесов: при высоте помещений до 6 м</t>
  </si>
  <si>
    <t>100 м2 горизонтальной проекции</t>
  </si>
  <si>
    <t>ФЕР-2001, 08-07-002-01, приказ Минстроя России № 876/пр от 26.12.2019</t>
  </si>
  <si>
    <t>)*1,25</t>
  </si>
  <si>
    <t>)*1,15</t>
  </si>
  <si>
    <t>Общестроительные работы</t>
  </si>
  <si>
    <t>Конструкции из кирпича и блоков</t>
  </si>
  <si>
    <t>ФЕР-08</t>
  </si>
  <si>
    <t>Поправка: М-ка 421/пр 04.08.20 п.58 п.п. б)</t>
  </si>
  <si>
    <t>*0,9</t>
  </si>
  <si>
    <t>*0,85</t>
  </si>
  <si>
    <t>2</t>
  </si>
  <si>
    <t>56-2-2</t>
  </si>
  <si>
    <t>Демонтаж фасадного остекления (применительно)</t>
  </si>
  <si>
    <t>100 м2</t>
  </si>
  <si>
    <t>ФЕРр-2001, 56-2-2, приказ Минстроя России № 876/пр от 26.12.2019</t>
  </si>
  <si>
    <t>Ремонтно-строительные работы</t>
  </si>
  <si>
    <t>Проемы</t>
  </si>
  <si>
    <t>рФЕР-56</t>
  </si>
  <si>
    <t>2,1</t>
  </si>
  <si>
    <t>999-9900</t>
  </si>
  <si>
    <t>Строительный мусор</t>
  </si>
  <si>
    <t>т</t>
  </si>
  <si>
    <t>3</t>
  </si>
  <si>
    <t>09-03-046-01</t>
  </si>
  <si>
    <t>Монтаж перегородок: из алюминиевых сплавов сборно-разборных с остеклением</t>
  </si>
  <si>
    <t>ФЕР-2001, 09-03-046-01, приказ Минстроя России № 876/пр от 26.12.2019</t>
  </si>
  <si>
    <t>Монтаж металлоконструкций</t>
  </si>
  <si>
    <t>Металлические конструкции</t>
  </si>
  <si>
    <t>ФЕР-09</t>
  </si>
  <si>
    <t>3,1</t>
  </si>
  <si>
    <t>Цена Поставщика</t>
  </si>
  <si>
    <t>(Д-6) Перегородка наружная 1920х2100 из алюминиевой системы с дверным блоком 1000х2080 (ШхВ)  (ручка скоба офисная, замок с цилиндром, шпингалеты на пассивную створку). Заполнение 5м1-10-5м1-10-5м1. Окрашенная в цвет RAL</t>
  </si>
  <si>
    <t>ШТ</t>
  </si>
  <si>
    <t>занесена вручную</t>
  </si>
  <si>
    <t>3,2</t>
  </si>
  <si>
    <t>(ПС-3) Внутренняя алюминиевая перегородка светопрозрачная противопожарная EIW-45 2250x4400 (ШхВ) с противопожарным стеклом. Окрашенная в цвет RAL</t>
  </si>
  <si>
    <t>3,3</t>
  </si>
  <si>
    <t>(ПС-4) Внутренняя алюминиевая перегородка светопрозрачная противопожарная EIW-45 6100x4400 (ШхВ) с противопожарным стеклом. Окрашенная в цвет RAL</t>
  </si>
  <si>
    <t>3,4</t>
  </si>
  <si>
    <t>11.1.03.01-0077</t>
  </si>
  <si>
    <t>Бруски обрезные, хвойных пород, длина 4-6,5 м, ширина 75-150 мм, толщина 40-75 мм, сорт I</t>
  </si>
  <si>
    <t>м3</t>
  </si>
  <si>
    <t>ФССЦ-2001, 11.1.03.01-0077, приказ Минстроя России № 876/пр от 26.12.2019</t>
  </si>
  <si>
    <t>3,5</t>
  </si>
  <si>
    <t>08.2.02.11-0007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</si>
  <si>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</si>
  <si>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</si>
  <si>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ФССЦ-2001, 08.2.02.11-0007, приказ Минстроя России № 876/пр от 26.12.2019</t>
  </si>
  <si>
    <t>3,6</t>
  </si>
  <si>
    <t>07.2.07.12-0020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</si>
  <si>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</si>
  <si>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ФССЦ-2001, 07.2.07.12-0020, приказ Минстроя России № 876/пр от 26.12.2019</t>
  </si>
  <si>
    <t>3,7</t>
  </si>
  <si>
    <t>01.7.20.08-0071</t>
  </si>
  <si>
    <t>Канат пеньковый пропитанный</t>
  </si>
  <si>
    <t>ФССЦ-2001, 01.7.20.08-0071, приказ Минстроя России № 876/пр от 26.12.2019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</si>
  <si>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</si>
  <si>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</si>
  <si>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</si>
  <si>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</si>
  <si>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</si>
  <si>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</si>
  <si>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</si>
  <si>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</si>
  <si>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</si>
  <si>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</si>
  <si>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</si>
  <si>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</si>
  <si>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</si>
  <si>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</si>
  <si>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</si>
  <si>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</si>
  <si>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</si>
  <si>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</si>
  <si>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</si>
  <si>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</si>
  <si>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</si>
  <si>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</si>
  <si>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</si>
  <si>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</si>
  <si>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</si>
  <si>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</si>
  <si>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</si>
  <si>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</si>
  <si>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</si>
  <si>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</si>
  <si>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</si>
  <si>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</si>
  <si>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</si>
  <si>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</si>
  <si>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</si>
  <si>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</si>
  <si>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</si>
  <si>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</si>
  <si>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</si>
  <si>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</si>
  <si>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</si>
  <si>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</si>
  <si>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</si>
  <si>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</si>
  <si>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</si>
  <si>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</si>
  <si>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</si>
  <si>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</si>
  <si>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</si>
  <si>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</si>
  <si>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</si>
  <si>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</si>
  <si>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</si>
  <si>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</si>
  <si>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</si>
  <si>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</si>
  <si>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Строение 2</t>
  </si>
  <si>
    <t>4</t>
  </si>
  <si>
    <t>5</t>
  </si>
  <si>
    <t>5,1</t>
  </si>
  <si>
    <t>6</t>
  </si>
  <si>
    <t>10-01-047-02</t>
  </si>
  <si>
    <t>Демонтаж  блоков из ПВХ в наружных  дверных проемах: площадью проема более 3 м2 (Применительно)</t>
  </si>
  <si>
    <t>ФЕР-2001, 10-01-047-02, приказ Минстроя России № 876/пр от 26.12.2019</t>
  </si>
  <si>
    <t>)*0</t>
  </si>
  <si>
    <t>)*0,8</t>
  </si>
  <si>
    <t>Деревянные конструкции</t>
  </si>
  <si>
    <t>ФЕР-10</t>
  </si>
  <si>
    <t>Поправка: Сб. 30. п. 1.30. 53</t>
  </si>
  <si>
    <t>7</t>
  </si>
  <si>
    <t>7,1</t>
  </si>
  <si>
    <t>(Д-2) Перегородка наружная 1920х2100 из алюминиевой системы с дверным блоком 1400х2080 (ШхВ) (ручка скоба офисная, замок с цилиндром, шпингалеты на пассивную створку). Заполнение 5м1-10-5м1-10-5м1. Окрашенная в цвет RAL</t>
  </si>
  <si>
    <t>7,2</t>
  </si>
  <si>
    <t>(ПС-1) Внутренняя алюминиевая перегородка светопрозрачная противопожарная EIW-45 6150x4400 (ШхВ) с противопожарным стеклом. Окрашенная в цвет RAL</t>
  </si>
  <si>
    <t>7,3</t>
  </si>
  <si>
    <t>(ПС-2) Внутренняя алюминиевая перегородка светопрозрачная противопожарная EIW-45 1700x4400 (ШхВ) с противопожарным стеклом. Окрашенная цвет RAL</t>
  </si>
  <si>
    <t>7,4</t>
  </si>
  <si>
    <t>7,5</t>
  </si>
  <si>
    <t>7,6</t>
  </si>
  <si>
    <t>7,7</t>
  </si>
  <si>
    <t>8</t>
  </si>
  <si>
    <t>56-9-1</t>
  </si>
  <si>
    <t>Демонтаж дверных коробок: в каменных стенах с отбивкой штукатурки в откосах</t>
  </si>
  <si>
    <t>100 ШТ</t>
  </si>
  <si>
    <t>ФЕРр-2001, 56-9-1, приказ Минстроя России № 876/пр от 26.12.2019</t>
  </si>
  <si>
    <t>8,1</t>
  </si>
  <si>
    <t>9</t>
  </si>
  <si>
    <t>09-04-013-02</t>
  </si>
  <si>
    <t>Установка противопожарных дверей: двупольных глухих</t>
  </si>
  <si>
    <t>м2</t>
  </si>
  <si>
    <t>ФЕР-2001, 09-04-013-02, приказ Минстроя России № 876/пр от 26.12.2019</t>
  </si>
  <si>
    <t>9,1</t>
  </si>
  <si>
    <t>(Д-1)  Дверь металлическая 1300х1800, ДПМ-02 EI60, нажимной гарнитур, замок, цилиндр ключ-ключ, доводчик на одну створку, шпингалеты (2шт).</t>
  </si>
  <si>
    <t>Разные работы</t>
  </si>
  <si>
    <t>10</t>
  </si>
  <si>
    <t>т01-01-01-041</t>
  </si>
  <si>
    <t>Погрузочные работы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</si>
  <si>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</si>
  <si>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№876/пр от 26.12.2019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</si>
  <si>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</si>
  <si>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</si>
  <si>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</si>
  <si>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11</t>
  </si>
  <si>
    <t>т03-02-01-063</t>
  </si>
  <si>
    <t>Перевозка грузов I класса автомобилями бортовыми грузоподъемностью до 5 т на расстояние: до 63 км</t>
  </si>
  <si>
    <t>ФССЦпг-2001, т03-02-01-063, приказ Минстроя России №876/пр от 26.12.2019</t>
  </si>
  <si>
    <t>Перевозка грузов авто/транспортом</t>
  </si>
  <si>
    <t>Перевозка грузов (ФССЦпр-2011 - изм. 7, разделы 1-4) - по сметной стоимости</t>
  </si>
  <si>
    <t>ФССЦпр , изм. 7</t>
  </si>
  <si>
    <t>всего по разделу</t>
  </si>
  <si>
    <t>НДС</t>
  </si>
  <si>
    <t>НДС20%</t>
  </si>
  <si>
    <t>итог2</t>
  </si>
  <si>
    <t>Всего по разделу</t>
  </si>
  <si>
    <t>Итого</t>
  </si>
  <si>
    <t>Резерв средств на непредв.расх</t>
  </si>
  <si>
    <t>Резерв средств на непр. расходы 2% (Приказ Минстроя России № 421-пр от 04.08.2020 п. 179а)</t>
  </si>
  <si>
    <t>Итого0</t>
  </si>
  <si>
    <t>НДС 20%</t>
  </si>
  <si>
    <t>Итого2</t>
  </si>
  <si>
    <t>Всего по смете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</si>
  <si>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</si>
  <si>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</si>
  <si>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</si>
  <si>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</si>
  <si>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</si>
  <si>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</si>
  <si>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</si>
  <si>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</si>
  <si>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</si>
  <si>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</si>
  <si>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</si>
  <si>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</si>
  <si>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</si>
  <si>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</si>
  <si>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</si>
  <si>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</si>
  <si>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</si>
  <si>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</si>
  <si>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</si>
  <si>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</si>
  <si>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</si>
  <si>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</si>
  <si>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Упрощенное налогообложение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</si>
  <si>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</si>
  <si>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</si>
  <si>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</si>
  <si>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Хозяйственный способ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</si>
  <si>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</si>
  <si>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</si>
  <si>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</si>
  <si>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"Сложные объекты "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</si>
  <si>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</si>
  <si>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</si>
  <si>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При работе в текущем уровне цен с 27.04.2018 г.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</si>
  <si>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</si>
  <si>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</si>
  <si>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</si>
  <si>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городских в/опт. линий связи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</si>
  <si>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</si>
  <si>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</si>
  <si>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</si>
  <si>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 обслуживающие процессы )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</si>
  <si>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</si>
  <si>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</si>
  <si>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</si>
  <si>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</si>
  <si>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</si>
  <si>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</si>
  <si>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</si>
  <si>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Э/монтаж и контроль сварки на АЭС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</si>
  <si>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</si>
  <si>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</si>
  <si>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</si>
  <si>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</si>
  <si>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</si>
  <si>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</si>
  <si>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</si>
  <si>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</si>
  <si>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</si>
  <si>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</si>
  <si>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</si>
  <si>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</si>
  <si>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</si>
  <si>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</si>
  <si>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</si>
  <si>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</si>
  <si>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</si>
  <si>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</si>
  <si>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</si>
  <si>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</si>
  <si>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</si>
  <si>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</si>
  <si>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</si>
  <si>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</si>
  <si>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</si>
  <si>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</si>
  <si>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</si>
  <si>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</si>
  <si>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</si>
  <si>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</si>
  <si>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</si>
  <si>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</si>
  <si>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Лист_НРиСП</t>
  </si>
  <si>
    <t>Уровень цен</t>
  </si>
  <si>
    <t>Вид цен</t>
  </si>
  <si>
    <t>Новый уровень цен</t>
  </si>
  <si>
    <t>Сборник индексов</t>
  </si>
  <si>
    <t>Индексы к ФЕР-2020 (Стройинформресурс)</t>
  </si>
  <si>
    <t>_OBSM_</t>
  </si>
  <si>
    <t>1-100-31</t>
  </si>
  <si>
    <t>Рабочий среднего разряда 3.1</t>
  </si>
  <si>
    <t>чел.-ч.</t>
  </si>
  <si>
    <t>4-100-00</t>
  </si>
  <si>
    <t>Затраты труда машинистов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</si>
  <si>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</si>
  <si>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</si>
  <si>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</si>
  <si>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маш.-ч</t>
  </si>
  <si>
    <t>01.7.16.02-0001</t>
  </si>
  <si>
    <t>ФССЦ-2001, 01.7.16.02-0001, приказ Минстроя России № 876/пр от 26.12.2019</t>
  </si>
  <si>
    <t>Детали деревянные лесов из пиломатериалов хвойных пород</t>
  </si>
  <si>
    <t>01.7.16.02-0003</t>
  </si>
  <si>
    <t>ФССЦ-2001, 01.7.16.02-0003, приказ Минстроя России № 876/пр от 26.12.2019</t>
  </si>
  <si>
    <t>Детали стальных трубчатых лесов, укомплектованные пробками, крючками и хомутами, окрашенные</t>
  </si>
  <si>
    <t>11.2.13.06-0011</t>
  </si>
  <si>
    <t>ФССЦ-2001, 11.2.13.06-0011, приказ Минстроя России № 876/пр от 26.12.2019</t>
  </si>
  <si>
    <t>Щиты настила, все толщины</t>
  </si>
  <si>
    <t>1-100-23</t>
  </si>
  <si>
    <t>Рабочий среднего разряда 2.3</t>
  </si>
  <si>
    <t>4-100-0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</si>
  <si>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</si>
  <si>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</si>
  <si>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</si>
  <si>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1-100-43</t>
  </si>
  <si>
    <t>Рабочий среднего разряда 4.3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</si>
  <si>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</si>
  <si>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</si>
  <si>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</si>
  <si>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91.06.03-062</t>
  </si>
  <si>
    <t>ФСЭМ-2001, 91.06.03-062 , приказ Минстроя России № 876/пр от 26.12.2019</t>
  </si>
  <si>
    <t>Лебедки электрические тяговым усилием до 31,39 кН (3,2 т)</t>
  </si>
  <si>
    <t>1-100-32</t>
  </si>
  <si>
    <t>Рабочий среднего разряда 3.2</t>
  </si>
  <si>
    <t>01.7.06.02-0001</t>
  </si>
  <si>
    <t>ФССЦ-2001, 01.7.06.02-0001, приказ Минстроя России № 876/пр от 26.12.2019</t>
  </si>
  <si>
    <t>Лента бутиловая</t>
  </si>
  <si>
    <t>м</t>
  </si>
  <si>
    <t>01.7.06.02-0002</t>
  </si>
  <si>
    <t>ФССЦ-2001, 01.7.06.02-0002, приказ Минстроя России № 876/пр от 26.12.2019</t>
  </si>
  <si>
    <t>Лента бутиловая диффузионная</t>
  </si>
  <si>
    <t>01.7.06.11-0001</t>
  </si>
  <si>
    <t>ФССЦ-2001, 01.7.06.11-0001, приказ Минстроя России № 876/пр от 26.12.2019</t>
  </si>
  <si>
    <t>Лента предварительно сжатая, уплотнительная</t>
  </si>
  <si>
    <t>01.7.15.07-0005</t>
  </si>
  <si>
    <t>ФССЦ-2001, 01.7.15.07-0005, приказ Минстроя России № 876/пр от 26.12.2019</t>
  </si>
  <si>
    <t>Дюбели монтажные, размер 10x130 (10x132, 10x150) мм</t>
  </si>
  <si>
    <t>10 ШТ</t>
  </si>
  <si>
    <t>11.3.03.15-0021</t>
  </si>
  <si>
    <t>ФССЦ-2001, 11.3.03.15-0021, приказ Минстроя России № 876/пр от 26.12.2019</t>
  </si>
  <si>
    <t>Клинья пластиковые монтажные</t>
  </si>
  <si>
    <t>14.5.01.10-0003</t>
  </si>
  <si>
    <t>ФССЦ-2001, 14.5.01.10-0003, приказ Минстроя России № 876/пр от 26.12.2019</t>
  </si>
  <si>
    <t>Пена монтажная</t>
  </si>
  <si>
    <t>л</t>
  </si>
  <si>
    <t>91.18.01-508</t>
  </si>
  <si>
    <t>ФСЭМ-2001, 91.18.01-508 , приказ Минстроя России № 876/пр от 26.12.2019</t>
  </si>
  <si>
    <t>Компрессоры передвижные с электродвигателем, производительность до 5,0 м3/мин</t>
  </si>
  <si>
    <t>91.21.10-003</t>
  </si>
  <si>
    <t>ФСЭМ-2001, 91.21.10-003 , приказ Минстроя России № 876/пр от 26.12.2019</t>
  </si>
  <si>
    <t>Молотки при работе от передвижных компрессорных станций отбойные пневматические</t>
  </si>
  <si>
    <t>91.17.04-233</t>
  </si>
  <si>
    <t>ФСЭМ-2001, 91.17.04-233 , приказ Минстроя России № 876/пр от 26.12.2019</t>
  </si>
  <si>
    <t>Установки для сварки ручной дуговой (постоянного тока)</t>
  </si>
  <si>
    <t>01.7.11.07-0032</t>
  </si>
  <si>
    <t>ФССЦ-2001, 01.7.11.07-0032, приказ Минстроя России № 876/пр от 26.12.2019</t>
  </si>
  <si>
    <t>Электроды сварочные Э42, диаметр 4 мм</t>
  </si>
  <si>
    <t>01.7.15.02-0051</t>
  </si>
  <si>
    <t>ФССЦ-2001, 01.7.15.02-0051, приказ Минстроя России № 876/пр от 26.12.2019</t>
  </si>
  <si>
    <t>Болты анкерные</t>
  </si>
  <si>
    <t>14.5.01.10-0029</t>
  </si>
  <si>
    <t>ФССЦ-2001, 14.5.01.10-0029, приказ Минстроя России № 876/пр от 26.12.2019</t>
  </si>
  <si>
    <t>Пена монтажная полиуретановая противопожарная однокомпонентная модифицированная для заполнения, уплотнения, утепления, изоляции и соединения швов и стыков в местах с повышенными требованиями пожарной безопасности (0,88 л)</t>
  </si>
  <si>
    <t>1-1010</t>
  </si>
  <si>
    <t>Рабочий строитель среднего разряда 1</t>
  </si>
  <si>
    <t>чел.-ч</t>
  </si>
  <si>
    <t>400051</t>
  </si>
  <si>
    <t>ФСЭМ-2001, 400051, приказ Минстроя России №899/пр от 11.12.2015 г.</t>
  </si>
  <si>
    <t>Автомобиль-самосвал, грузоподъемность до 7 т</t>
  </si>
  <si>
    <t>01.7.19.07-0003</t>
  </si>
  <si>
    <t>ФССЦ-2001, 01.7.19.07-0003, приказ Минстроя России № 876/пр от 26.12.2019</t>
  </si>
  <si>
    <t>Резина прессованная</t>
  </si>
  <si>
    <t>кг</t>
  </si>
  <si>
    <t>01.8.02.02-0001</t>
  </si>
  <si>
    <t>ФССЦ-2001, 01.8.02.02-0001, приказ Минстроя России № 876/пр от 26.12.2019</t>
  </si>
  <si>
    <t>Стекло армированное листовое бесцветное гладкое, толщина 5,5 мм</t>
  </si>
  <si>
    <t>01.8.02.06-0111</t>
  </si>
  <si>
    <t>ФССЦ-2001, 01.8.02.06-0111, приказ Минстроя России № 876/пр от 26.12.2019</t>
  </si>
  <si>
    <t>Стекло листовое прокатное для витражей бесцветное, толщина 3,5 мм</t>
  </si>
  <si>
    <t>09.3.04.03</t>
  </si>
  <si>
    <t>Алюминиевые конструкции</t>
  </si>
  <si>
    <t>11.3.01.02</t>
  </si>
  <si>
    <t>Блоки дверные входные из поливинилхлоридных профилей</t>
  </si>
  <si>
    <t>07.1.01.01</t>
  </si>
  <si>
    <t>Дверь противопожарная металлическая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</si>
  <si>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</si>
  <si>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Поправка: Сб. 30. п. 1.30. 53  Наименование: При отсутствии прямой расценки на демонтажные работы, затраты на демонтаж конструкций следует определять по соответствующим ФЕР на монтаж (установку, устройство) без учета стоимости демонтируемых конструкций и с применением к нормам затрат труда и оплате труда рабочих-строителей, стоимости эксплуатации машин, в том числе затратам труда рабочих, обслуживающих машины при демонтаже сборных железобетонных, бетонных и деревянных конструкций - 0,8</t>
  </si>
  <si>
    <t>"СОГЛАСОВАНО"</t>
  </si>
  <si>
    <t>"УТВЕРЖДАЮ"</t>
  </si>
  <si>
    <t>"_____"________________ 2021 г.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</si>
  <si>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</si>
  <si>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</si>
  <si>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</si>
  <si>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</si>
  <si>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</si>
  <si>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</si>
  <si>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</si>
  <si>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</si>
  <si>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</si>
  <si>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</si>
  <si>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</si>
  <si>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</si>
  <si>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</si>
  <si>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</si>
  <si>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Строительный объем:</t>
  </si>
  <si>
    <t>Стоимость ед.стр.объема: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</si>
  <si>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</si>
  <si>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</si>
  <si>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</si>
  <si>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</si>
  <si>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</si>
  <si>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</si>
  <si>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</si>
  <si>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</si>
  <si>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</si>
  <si>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</si>
  <si>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</si>
  <si>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</si>
  <si>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Индексы к ФЕР-2020 (Стройинформресурс) май 2021 года</t>
  </si>
  <si>
    <r>
      <t>08-07-002-01</t>
    </r>
    <r>
      <rPr>
        <i/>
        <sz val="10"/>
        <rFont val="Arial"/>
        <family val="2"/>
      </rPr>
      <t xml:space="preserve">
Поправка: М-ка 421/пр 04.08.20 п.58 п.п. б)</t>
    </r>
  </si>
  <si>
    <r>
      <t>Установка и разборка внутренних трубчатых инвентарных лесов: при высоте помещений до 6 м</t>
    </r>
    <r>
      <rPr>
        <i/>
        <sz val="10"/>
        <rFont val="Arial"/>
        <family val="2"/>
      </rPr>
      <t xml:space="preserve">
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  </r>
  </si>
  <si>
    <t>Зарплата</t>
  </si>
  <si>
    <t>в т.ч. зарплата машинистов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</si>
  <si>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</si>
  <si>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</si>
  <si>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</si>
  <si>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</si>
  <si>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</si>
  <si>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</si>
  <si>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r>
      <t>09-03-046-01</t>
    </r>
    <r>
      <rPr>
        <i/>
        <sz val="10"/>
        <rFont val="Arial"/>
        <family val="2"/>
      </rPr>
      <t xml:space="preserve">
Поправка: М-ка 421/пр 04.08.20 п.58 п.п. б)</t>
    </r>
  </si>
  <si>
    <r>
      <t>Монтаж перегородок: из алюминиевых сплавов сборно-разборных с остеклением</t>
    </r>
    <r>
      <rPr>
        <i/>
        <sz val="10"/>
        <rFont val="Arial"/>
        <family val="2"/>
      </rPr>
      <t xml:space="preserve">
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  </r>
  </si>
  <si>
    <r>
      <t>10-01-047-02</t>
    </r>
    <r>
      <rPr>
        <i/>
        <sz val="10"/>
        <rFont val="Arial"/>
        <family val="2"/>
      </rPr>
      <t xml:space="preserve">
Поправка: Сб. 30. п. 1.30. 53</t>
    </r>
  </si>
  <si>
    <r>
      <t>Демонтаж  блоков из ПВХ в наружных  дверных проемах: площадью проема более 3 м2 (Применительно)</t>
    </r>
    <r>
      <rPr>
        <i/>
        <sz val="10"/>
        <rFont val="Arial"/>
        <family val="2"/>
      </rPr>
      <t xml:space="preserve">
Поправка: Сб. 30. п. 1.30. 53  Наименование: При отсутствии прямой расценки на демонтажные работы, затраты на демонтаж конструкций следует определять по соответствующим ФЕР на монтаж (установку, устройство) без учета стоимости демонтируемых конструкций и с применением к нормам затрат труда и оплате труда рабочих-строителей, стоимости эксплуатации машин, в том числе затратам труда рабочих, обслуживающих машины при демонтаже сборных железобетонных, бетонных и деревянных конструкций - 0,8</t>
    </r>
  </si>
  <si>
    <r>
      <t>09-04-013-02</t>
    </r>
    <r>
      <rPr>
        <i/>
        <sz val="10"/>
        <rFont val="Arial"/>
        <family val="2"/>
      </rPr>
      <t xml:space="preserve">
Поправка: М-ка 421/пр 04.08.20 п.58 п.п. б)</t>
    </r>
  </si>
  <si>
    <r>
      <t>Установка противопожарных дверей: двупольных глухих</t>
    </r>
    <r>
      <rPr>
        <i/>
        <sz val="10"/>
        <rFont val="Arial"/>
        <family val="2"/>
      </rPr>
      <t xml:space="preserve">
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  </r>
  </si>
  <si>
    <t xml:space="preserve">   </t>
  </si>
  <si>
    <t xml:space="preserve">Объемы согласовал  </t>
  </si>
  <si>
    <t>[должность,подпись(инициалы,фамилия)]</t>
  </si>
  <si>
    <t xml:space="preserve">Составил  </t>
  </si>
  <si>
    <t xml:space="preserve">Проверил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</si>
  <si>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</si>
  <si>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</si>
  <si>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</si>
  <si>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</si>
  <si>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 xml:space="preserve">Форма по ОКУД </t>
  </si>
  <si>
    <t>0322005</t>
  </si>
  <si>
    <t>Инвестор</t>
  </si>
  <si>
    <t xml:space="preserve">по ОКПО </t>
  </si>
  <si>
    <t>(организация, адрес, телефон, факс)</t>
  </si>
  <si>
    <t>Заказчик (Генподрядчик)</t>
  </si>
  <si>
    <t>(наименование заказчика, структурного подразделения заказчика)</t>
  </si>
  <si>
    <t xml:space="preserve">БЕ </t>
  </si>
  <si>
    <t>Подрядчик (Субподрядчик)</t>
  </si>
  <si>
    <t xml:space="preserve"> (организация, адрес, телефон, факс)</t>
  </si>
  <si>
    <t>Стройка</t>
  </si>
  <si>
    <t>(наименование, адрес)</t>
  </si>
  <si>
    <t>Объект</t>
  </si>
  <si>
    <t xml:space="preserve">Код объекта </t>
  </si>
  <si>
    <t xml:space="preserve">                                                        (наименование)</t>
  </si>
  <si>
    <t xml:space="preserve">Вид деятельности по ОКДП </t>
  </si>
  <si>
    <t xml:space="preserve">Договор подряда(контракт)  </t>
  </si>
  <si>
    <t>номер</t>
  </si>
  <si>
    <t>дата</t>
  </si>
  <si>
    <t xml:space="preserve">Вид операции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</si>
  <si>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</si>
  <si>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</si>
  <si>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</si>
  <si>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</si>
  <si>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</si>
  <si>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</si>
  <si>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</si>
  <si>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Номер</t>
  </si>
  <si>
    <t>Единица измерения</t>
  </si>
  <si>
    <t>Выполнено работ</t>
  </si>
  <si>
    <t>п/п</t>
  </si>
  <si>
    <t>Поз. по смете</t>
  </si>
  <si>
    <t>Количество</t>
  </si>
  <si>
    <t>Цена за единицу измерения, руб.</t>
  </si>
  <si>
    <t>Индекс пере-счета</t>
  </si>
  <si>
    <t>Стоимость строительно-монтажных работ на январь 2000 года</t>
  </si>
  <si>
    <t>Стоимость строительно-монтажных работ на май 2021 года</t>
  </si>
  <si>
    <t>Стоимость в ценах на январь 2000 года</t>
  </si>
  <si>
    <t>Поправки к: ЭМ )*1,25;   ОТм )*1,25;   ОТ )*1,15;   ЗТ )*1,15;   ЗТм )*1,25;   НР *0,9;   СП *0,85</t>
  </si>
  <si>
    <t>Зарплата рабочих</t>
  </si>
  <si>
    <t>ЗТР</t>
  </si>
  <si>
    <t>Исключен
11.1.03.01-0077</t>
  </si>
  <si>
    <t>Исключен
08.2.02.11-0007</t>
  </si>
  <si>
    <t>Исключен
07.2.07.12-0020</t>
  </si>
  <si>
    <t>Исключен
01.7.20.08-0071</t>
  </si>
  <si>
    <t>Поправки к: М )*0;   ЭМ )*0,8;   ОТм )*0,8;   ОТ )*0,8;   ЗТ )*0,8;   ЗТм )*0,8;   НР *0,9;   СП *0,85</t>
  </si>
  <si>
    <t>Сдал</t>
  </si>
  <si>
    <t>(должность)</t>
  </si>
  <si>
    <t>(подпись)</t>
  </si>
  <si>
    <t>(расшифровка подписи)</t>
  </si>
  <si>
    <t>М.П.</t>
  </si>
  <si>
    <t>Принял</t>
  </si>
  <si>
    <t>Объем выполненых работ</t>
  </si>
  <si>
    <t xml:space="preserve">подтверждаю. Качество </t>
  </si>
  <si>
    <t>работ ________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</si>
  <si>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</si>
  <si>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</si>
  <si>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</si>
  <si>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</si>
  <si>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</si>
  <si>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Примечание</t>
  </si>
  <si>
    <t>Заказчик _________________</t>
  </si>
  <si>
    <t>Подрядчик _________________</t>
  </si>
  <si>
    <t>TYPE</t>
  </si>
  <si>
    <t>SOURCE_LINK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</si>
  <si>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</si>
  <si>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</si>
  <si>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</si>
  <si>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</si>
  <si>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</si>
  <si>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</si>
  <si>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</si>
  <si>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</si>
  <si>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</si>
  <si>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</si>
  <si>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</si>
  <si>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</si>
  <si>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</si>
  <si>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</si>
  <si>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</si>
  <si>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</si>
  <si>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</si>
  <si>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</si>
  <si>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</si>
  <si>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</si>
  <si>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</si>
  <si>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RABMAT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</si>
  <si>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</si>
  <si>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</si>
  <si>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</si>
  <si>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</si>
  <si>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</si>
  <si>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</si>
  <si>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</si>
  <si>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</si>
  <si>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</si>
  <si>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</si>
  <si>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UnionOneUchRes</t>
  </si>
  <si>
    <t>IdLevel</t>
  </si>
  <si>
    <t>Ресурсная ведомость на</t>
  </si>
  <si>
    <t>Объект: Реализация выполнения работ по обеспечению пожарной безопасности объекта ИПУ РАН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</si>
  <si>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</si>
  <si>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</si>
  <si>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</si>
  <si>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</si>
  <si>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</si>
  <si>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</si>
  <si>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>Текущая</t>
  </si>
  <si>
    <t>Локальная смета: Реализация выполнения работ по обеспечению пожарной безопастности объекта ИПУ РАН</t>
  </si>
  <si>
    <t xml:space="preserve">Трудовые ресурсы </t>
  </si>
  <si>
    <t xml:space="preserve">Итого трудовые ресурсы </t>
  </si>
  <si>
    <t xml:space="preserve">Машины и механизмы </t>
  </si>
  <si>
    <t xml:space="preserve">Итого машины и механизмы </t>
  </si>
  <si>
    <t xml:space="preserve">Материальные ресурсы </t>
  </si>
  <si>
    <t xml:space="preserve">Итого материальные ресурсы </t>
  </si>
  <si>
    <t>Заместитель главного инженра</t>
  </si>
  <si>
    <t>___________________ Муравьев К.В.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</si>
</sst>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\ #,##0.00"/>
    <numFmt numFmtId="165" formatCode="#,##0.00####;[Red]\-\ #,##0.00####"/>
    <numFmt numFmtId="166" formatCode="dd/mm/yy;@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Arial Cyr"/>
      <family val="0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 quotePrefix="1">
      <alignment horizontal="left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0" fontId="20" fillId="0" borderId="0" xfId="0" applyFont="1" applyAlignment="1">
      <alignment horizontal="right" wrapText="1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0" fontId="13" fillId="0" borderId="12" xfId="0" applyFont="1" applyBorder="1" applyAlignment="1">
      <alignment horizontal="right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 wrapText="1"/>
    </xf>
    <xf numFmtId="164" fontId="13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3" fillId="0" borderId="12" xfId="0" applyFont="1" applyBorder="1" applyAlignment="1" quotePrefix="1">
      <alignment horizontal="right" wrapText="1"/>
    </xf>
    <xf numFmtId="0" fontId="12" fillId="0" borderId="12" xfId="0" applyFont="1" applyBorder="1" applyAlignment="1">
      <alignment horizontal="right"/>
    </xf>
    <xf numFmtId="0" fontId="13" fillId="0" borderId="0" xfId="0" applyFont="1" applyAlignment="1" quotePrefix="1">
      <alignment horizontal="right" wrapText="1"/>
    </xf>
    <xf numFmtId="0" fontId="13" fillId="0" borderId="0" xfId="0" applyFont="1" applyAlignment="1">
      <alignment horizontal="left" vertical="top" wrapText="1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 wrapText="1"/>
    </xf>
    <xf numFmtId="165" fontId="0" fillId="0" borderId="0" xfId="0" applyNumberFormat="1" applyFont="1" applyAlignment="1">
      <alignment horizontal="left"/>
    </xf>
    <xf numFmtId="0" fontId="17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6" fontId="1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6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6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left" vertical="top"/>
    </xf>
    <xf numFmtId="0" fontId="13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horizontal="right" wrapText="1"/>
    </xf>
    <xf numFmtId="0" fontId="13" fillId="0" borderId="14" xfId="0" applyFont="1" applyBorder="1" applyAlignment="1">
      <alignment horizontal="right"/>
    </xf>
    <xf numFmtId="0" fontId="14" fillId="0" borderId="10" xfId="0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164" fontId="16" fillId="0" borderId="15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0" fontId="12" fillId="0" borderId="15" xfId="0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3" fillId="0" borderId="12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4" fontId="13" fillId="0" borderId="16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3" xfId="0" applyNumberFormat="1" applyFont="1" applyBorder="1" applyAlignment="1" applyProtection="1">
      <alignment horizontal="center"/>
      <protection hidden="1"/>
    </xf>
    <xf numFmtId="0" fontId="13" fillId="0" borderId="19" xfId="0" applyNumberFormat="1" applyFont="1" applyBorder="1" applyAlignment="1" applyProtection="1">
      <alignment horizontal="center"/>
      <protection hidden="1"/>
    </xf>
    <xf numFmtId="0" fontId="13" fillId="0" borderId="20" xfId="0" applyNumberFormat="1" applyFont="1" applyBorder="1" applyAlignment="1" applyProtection="1">
      <alignment horizontal="center"/>
      <protection hidden="1"/>
    </xf>
    <xf numFmtId="0" fontId="13" fillId="0" borderId="21" xfId="0" applyNumberFormat="1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0"/>
  <sheetViews>
    <sheetView tabSelected="1" zoomScalePageLayoutView="0" workbookViewId="0" topLeftCell="A7">
      <selection activeCell="D187" sqref="D187:H18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9.7109375" style="0" customWidth="1"/>
    <col min="15" max="29" width="0" style="0" hidden="1" customWidth="1"/>
    <col min="30" max="30" width="147.7109375" style="0" hidden="1" customWidth="1"/>
    <col min="31" max="31" width="161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ht="12.75">
      <c r="A1" s="11" t="str">
        <f>Source!B1</f>
        <v>Smeta.RU  (495) 974-1589</v>
      </c>
    </row>
    <row r="2" spans="1:12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ht="16.5">
      <c r="A3" s="14"/>
      <c r="B3" s="121" t="s">
        <v>392</v>
      </c>
      <c r="C3" s="121"/>
      <c r="D3" s="121"/>
      <c r="E3" s="121"/>
      <c r="F3" s="13"/>
      <c r="G3" s="13"/>
      <c r="H3" s="121" t="s">
        <v>393</v>
      </c>
      <c r="I3" s="121"/>
      <c r="J3" s="121"/>
      <c r="K3" s="121"/>
      <c r="L3" s="121"/>
    </row>
    <row r="4" spans="1:12" ht="14.25">
      <c r="A4" s="13"/>
      <c r="B4" s="103"/>
      <c r="C4" s="103"/>
      <c r="D4" s="103"/>
      <c r="E4" s="103"/>
      <c r="F4" s="13"/>
      <c r="G4" s="13"/>
      <c r="H4" s="103" t="s">
        <v>564</v>
      </c>
      <c r="I4" s="103"/>
      <c r="J4" s="103"/>
      <c r="K4" s="103"/>
      <c r="L4" s="103"/>
    </row>
    <row r="5" spans="1:12" ht="14.25">
      <c r="A5" s="15"/>
      <c r="B5" s="15"/>
      <c r="C5" s="16"/>
      <c r="D5" s="16"/>
      <c r="E5" s="16"/>
      <c r="F5" s="13"/>
      <c r="G5" s="13"/>
      <c r="H5" s="17"/>
      <c r="I5" s="16"/>
      <c r="J5" s="16"/>
      <c r="K5" s="16"/>
      <c r="L5" s="17"/>
    </row>
    <row r="6" spans="1:12" ht="14.25">
      <c r="A6" s="17"/>
      <c r="B6" s="103" t="str">
        <f>CONCATENATE("______________________ ",IF(Source!AL12&lt;&gt;"",Source!AL12,""))</f>
        <v>______________________ </v>
      </c>
      <c r="C6" s="103"/>
      <c r="D6" s="103"/>
      <c r="E6" s="103"/>
      <c r="F6" s="13"/>
      <c r="G6" s="13"/>
      <c r="H6" s="103" t="s">
        <v>565</v>
      </c>
      <c r="I6" s="103"/>
      <c r="J6" s="103"/>
      <c r="K6" s="103"/>
      <c r="L6" s="103"/>
    </row>
    <row r="7" spans="1:12" ht="14.25">
      <c r="A7" s="18"/>
      <c r="B7" s="118" t="s">
        <v>394</v>
      </c>
      <c r="C7" s="118"/>
      <c r="D7" s="118"/>
      <c r="E7" s="118"/>
      <c r="F7" s="13"/>
      <c r="G7" s="13"/>
      <c r="H7" s="118" t="s">
        <v>394</v>
      </c>
      <c r="I7" s="118"/>
      <c r="J7" s="118"/>
      <c r="K7" s="118"/>
      <c r="L7" s="118"/>
    </row>
    <row r="10" spans="1:12" ht="15.75">
      <c r="A10" s="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8"/>
    </row>
    <row r="11" spans="1:12" ht="14.25">
      <c r="A11" s="19"/>
      <c r="B11" s="120" t="s">
        <v>395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8"/>
    </row>
    <row r="12" spans="1:12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4.25">
      <c r="A13" s="13"/>
      <c r="B13" s="13"/>
      <c r="C13" s="13"/>
      <c r="D13" s="13"/>
      <c r="E13" s="13"/>
      <c r="F13" s="104" t="s">
        <v>396</v>
      </c>
      <c r="G13" s="104"/>
      <c r="H13" s="108">
        <f>IF(Source!F12&lt;&gt;"Новый объект",Source!F12,"")</f>
      </c>
      <c r="I13" s="108"/>
      <c r="J13" s="108"/>
      <c r="K13" s="108"/>
      <c r="L13" s="20"/>
    </row>
    <row r="14" spans="1:12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.75">
      <c r="A15" s="21"/>
      <c r="B15" s="119" t="str">
        <f>CONCATENATE("ЛОКАЛЬНАЯ СМЕТА № ",IF(Source!F12&lt;&gt;"Новый объект",Source!F12,""))</f>
        <v>ЛОКАЛЬНАЯ СМЕТА № </v>
      </c>
      <c r="C15" s="119"/>
      <c r="D15" s="119"/>
      <c r="E15" s="119"/>
      <c r="F15" s="119"/>
      <c r="G15" s="119"/>
      <c r="H15" s="119"/>
      <c r="I15" s="119"/>
      <c r="J15" s="119"/>
      <c r="K15" s="119"/>
      <c r="L15" s="21"/>
    </row>
    <row r="16" spans="1:12" ht="15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1"/>
    </row>
    <row r="17" spans="1:12" ht="18" hidden="1">
      <c r="A17" s="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21"/>
    </row>
    <row r="18" spans="1:12" ht="14.25" hidden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30" ht="18">
      <c r="A19" s="13"/>
      <c r="B19" s="123" t="str">
        <f>IF(Source!G12&lt;&gt;"Новый объект",Source!G12,"")</f>
        <v>Реализация выполнения работ по обеспечению пожарной безопасности объекта ИПУ РАН</v>
      </c>
      <c r="C19" s="123"/>
      <c r="D19" s="123"/>
      <c r="E19" s="123"/>
      <c r="F19" s="123"/>
      <c r="G19" s="123"/>
      <c r="H19" s="123"/>
      <c r="I19" s="123"/>
      <c r="J19" s="123"/>
      <c r="K19" s="123"/>
      <c r="L19" s="23"/>
      <c r="AD19" s="64" t="str">
        <f>IF(Source!G12&lt;&gt;"Новый объект",Source!G12,"")</f>
        <v>Реализация выполнения работ по обеспечению пожарной безопасности объекта ИПУ РАН</v>
      </c>
    </row>
    <row r="20" spans="1:12" ht="14.25">
      <c r="A20" s="13"/>
      <c r="B20" s="116" t="s">
        <v>397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8"/>
    </row>
    <row r="21" spans="1:12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4.25">
      <c r="A22" s="108" t="str">
        <f>CONCATENATE("Основание: ",Source!J12)</f>
        <v>Основание: 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4.25">
      <c r="A25" s="13"/>
      <c r="B25" s="13"/>
      <c r="C25" s="13"/>
      <c r="D25" s="13"/>
      <c r="E25" s="24"/>
      <c r="F25" s="24"/>
      <c r="G25" s="117" t="s">
        <v>398</v>
      </c>
      <c r="H25" s="117"/>
      <c r="I25" s="117" t="s">
        <v>399</v>
      </c>
      <c r="J25" s="117"/>
      <c r="K25" s="13"/>
      <c r="L25" s="13"/>
    </row>
    <row r="26" spans="1:12" ht="15">
      <c r="A26" s="13"/>
      <c r="B26" s="13"/>
      <c r="C26" s="113" t="s">
        <v>400</v>
      </c>
      <c r="D26" s="113"/>
      <c r="E26" s="113"/>
      <c r="F26" s="113"/>
      <c r="G26" s="109">
        <f>SUM(O1:O175)/1000</f>
        <v>2091.57053</v>
      </c>
      <c r="H26" s="109"/>
      <c r="I26" s="109">
        <f>(Source!P255/1000)</f>
        <v>2873.61059</v>
      </c>
      <c r="J26" s="109"/>
      <c r="K26" s="114" t="s">
        <v>401</v>
      </c>
      <c r="L26" s="114"/>
    </row>
    <row r="27" spans="1:12" ht="14.25">
      <c r="A27" s="13"/>
      <c r="B27" s="13"/>
      <c r="C27" s="115" t="s">
        <v>402</v>
      </c>
      <c r="D27" s="115"/>
      <c r="E27" s="115"/>
      <c r="F27" s="115"/>
      <c r="G27" s="109">
        <f>SUM(W1:W175)/1000</f>
        <v>2091.57053</v>
      </c>
      <c r="H27" s="109"/>
      <c r="I27" s="109">
        <f>(Source!P239)/1000</f>
        <v>2347.72107</v>
      </c>
      <c r="J27" s="109"/>
      <c r="K27" s="114" t="s">
        <v>401</v>
      </c>
      <c r="L27" s="114"/>
    </row>
    <row r="28" spans="1:12" ht="14.25">
      <c r="A28" s="13"/>
      <c r="B28" s="13"/>
      <c r="C28" s="115" t="s">
        <v>403</v>
      </c>
      <c r="D28" s="115"/>
      <c r="E28" s="115"/>
      <c r="F28" s="115"/>
      <c r="G28" s="109">
        <f>SUM(X1:X175)/1000</f>
        <v>0</v>
      </c>
      <c r="H28" s="109"/>
      <c r="I28" s="109">
        <f>(Source!P240)/1000</f>
        <v>0</v>
      </c>
      <c r="J28" s="109"/>
      <c r="K28" s="114" t="s">
        <v>401</v>
      </c>
      <c r="L28" s="114"/>
    </row>
    <row r="29" spans="1:12" ht="14.25">
      <c r="A29" s="13"/>
      <c r="B29" s="13"/>
      <c r="C29" s="115" t="s">
        <v>404</v>
      </c>
      <c r="D29" s="115"/>
      <c r="E29" s="115"/>
      <c r="F29" s="115"/>
      <c r="G29" s="109">
        <f>SUM(Y1:Y175)/1000</f>
        <v>0</v>
      </c>
      <c r="H29" s="109"/>
      <c r="I29" s="109">
        <f>(Source!P231)/1000</f>
        <v>0</v>
      </c>
      <c r="J29" s="109"/>
      <c r="K29" s="114" t="s">
        <v>401</v>
      </c>
      <c r="L29" s="114"/>
    </row>
    <row r="30" spans="1:12" ht="14.25">
      <c r="A30" s="13"/>
      <c r="B30" s="13"/>
      <c r="C30" s="115" t="s">
        <v>405</v>
      </c>
      <c r="D30" s="115"/>
      <c r="E30" s="115"/>
      <c r="F30" s="115"/>
      <c r="G30" s="109">
        <f>SUM(Z1:Z175)/1000</f>
        <v>0</v>
      </c>
      <c r="H30" s="109"/>
      <c r="I30" s="109">
        <f>(Source!P241+Source!P242)/1000</f>
        <v>0</v>
      </c>
      <c r="J30" s="109"/>
      <c r="K30" s="114" t="s">
        <v>401</v>
      </c>
      <c r="L30" s="114"/>
    </row>
    <row r="31" spans="1:12" ht="15">
      <c r="A31" s="13"/>
      <c r="B31" s="13"/>
      <c r="C31" s="113" t="s">
        <v>406</v>
      </c>
      <c r="D31" s="113"/>
      <c r="E31" s="113"/>
      <c r="F31" s="113"/>
      <c r="G31" s="109">
        <f>I31</f>
        <v>301.25831999999997</v>
      </c>
      <c r="H31" s="109"/>
      <c r="I31" s="109">
        <f>(Source!P244+Source!P245)</f>
        <v>301.25831999999997</v>
      </c>
      <c r="J31" s="109"/>
      <c r="K31" s="114" t="s">
        <v>407</v>
      </c>
      <c r="L31" s="114"/>
    </row>
    <row r="32" spans="1:12" ht="15">
      <c r="A32" s="13"/>
      <c r="B32" s="13"/>
      <c r="C32" s="113" t="s">
        <v>408</v>
      </c>
      <c r="D32" s="113"/>
      <c r="E32" s="113"/>
      <c r="F32" s="113"/>
      <c r="G32" s="109">
        <f>SUM(R1:R175)/1000</f>
        <v>2.9914</v>
      </c>
      <c r="H32" s="109"/>
      <c r="I32" s="109">
        <f>((Source!P237+Source!P236)/1000)</f>
        <v>101.73767</v>
      </c>
      <c r="J32" s="109"/>
      <c r="K32" s="114" t="s">
        <v>401</v>
      </c>
      <c r="L32" s="114"/>
    </row>
    <row r="33" spans="1:12" ht="14.25" hidden="1">
      <c r="A33" s="13"/>
      <c r="B33" s="13"/>
      <c r="C33" s="115" t="s">
        <v>124</v>
      </c>
      <c r="D33" s="115"/>
      <c r="E33" s="115"/>
      <c r="F33" s="115"/>
      <c r="G33" s="109"/>
      <c r="H33" s="109"/>
      <c r="I33" s="109"/>
      <c r="J33" s="109"/>
      <c r="K33" s="25" t="s">
        <v>401</v>
      </c>
      <c r="L33" s="13"/>
    </row>
    <row r="34" spans="1:12" ht="15">
      <c r="A34" s="13"/>
      <c r="B34" s="13"/>
      <c r="C34" s="26"/>
      <c r="D34" s="26"/>
      <c r="E34" s="26"/>
      <c r="F34" s="17"/>
      <c r="G34" s="27"/>
      <c r="H34" s="27"/>
      <c r="I34" s="27"/>
      <c r="J34" s="27"/>
      <c r="K34" s="27"/>
      <c r="L34" s="27"/>
    </row>
    <row r="35" spans="1:12" ht="15" hidden="1">
      <c r="A35" s="17" t="s">
        <v>409</v>
      </c>
      <c r="B35" s="13"/>
      <c r="C35" s="13"/>
      <c r="D35" s="15"/>
      <c r="E35" s="13"/>
      <c r="F35" s="13"/>
      <c r="G35" s="28"/>
      <c r="H35" s="28"/>
      <c r="I35" s="29"/>
      <c r="J35" s="28"/>
      <c r="K35" s="28"/>
      <c r="L35" s="28"/>
    </row>
    <row r="36" spans="1:12" ht="15" hidden="1">
      <c r="A36" s="17" t="s">
        <v>410</v>
      </c>
      <c r="B36" s="13"/>
      <c r="C36" s="13"/>
      <c r="D36" s="15"/>
      <c r="E36" s="13"/>
      <c r="F36" s="13"/>
      <c r="G36" s="28"/>
      <c r="H36" s="28"/>
      <c r="I36" s="29"/>
      <c r="J36" s="28"/>
      <c r="K36" s="28"/>
      <c r="L36" s="28"/>
    </row>
    <row r="37" spans="1:12" ht="15" hidden="1">
      <c r="A37" s="13"/>
      <c r="B37" s="13"/>
      <c r="C37" s="12"/>
      <c r="D37" s="12"/>
      <c r="E37" s="12"/>
      <c r="F37" s="12"/>
      <c r="G37" s="28"/>
      <c r="H37" s="28"/>
      <c r="I37" s="29"/>
      <c r="J37" s="28"/>
      <c r="K37" s="28"/>
      <c r="L37" s="28"/>
    </row>
    <row r="38" spans="1:12" ht="14.25">
      <c r="A38" s="112" t="s">
        <v>423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ht="57">
      <c r="A39" s="30" t="s">
        <v>411</v>
      </c>
      <c r="B39" s="30" t="s">
        <v>412</v>
      </c>
      <c r="C39" s="30" t="s">
        <v>413</v>
      </c>
      <c r="D39" s="30" t="s">
        <v>414</v>
      </c>
      <c r="E39" s="30" t="s">
        <v>415</v>
      </c>
      <c r="F39" s="30" t="s">
        <v>416</v>
      </c>
      <c r="G39" s="30" t="s">
        <v>417</v>
      </c>
      <c r="H39" s="30" t="s">
        <v>418</v>
      </c>
      <c r="I39" s="30" t="s">
        <v>419</v>
      </c>
      <c r="J39" s="30" t="s">
        <v>420</v>
      </c>
      <c r="K39" s="30" t="s">
        <v>421</v>
      </c>
      <c r="L39" s="30" t="s">
        <v>422</v>
      </c>
    </row>
    <row r="40" spans="1:12" ht="14.25">
      <c r="A40" s="31">
        <v>1</v>
      </c>
      <c r="B40" s="31">
        <v>2</v>
      </c>
      <c r="C40" s="31">
        <v>3</v>
      </c>
      <c r="D40" s="31">
        <v>4</v>
      </c>
      <c r="E40" s="31">
        <v>5</v>
      </c>
      <c r="F40" s="31">
        <v>6</v>
      </c>
      <c r="G40" s="31">
        <v>7</v>
      </c>
      <c r="H40" s="31">
        <v>8</v>
      </c>
      <c r="I40" s="31">
        <v>9</v>
      </c>
      <c r="J40" s="31">
        <v>10</v>
      </c>
      <c r="K40" s="31">
        <v>11</v>
      </c>
      <c r="L40" s="32">
        <v>12</v>
      </c>
    </row>
    <row r="42" spans="1:31" ht="16.5">
      <c r="A42" s="111" t="str">
        <f>CONCATENATE("Локальная смета: ",IF(Source!G20&lt;&gt;"Новая локальная смета",Source!G20,""))</f>
        <v>Локальная смета: Реализация выполнения работ по обеспечению пожарной безопастности объекта ИПУ РАН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AE42" s="65" t="str">
        <f>CONCATENATE("Локальная смета: ",IF(Source!G20&lt;&gt;"Новая локальная смета",Source!G20,""))</f>
        <v>Локальная смета: Реализация выполнения работ по обеспечению пожарной безопастности объекта ИПУ РАН</v>
      </c>
    </row>
    <row r="44" spans="1:12" ht="16.5">
      <c r="A44" s="111" t="str">
        <f>CONCATENATE("Раздел: ",IF(Source!G24&lt;&gt;"Новый раздел",Source!G24,""))</f>
        <v>Раздел: Строение 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1:22" ht="208.5">
      <c r="A45" s="25" t="str">
        <f>Source!E29</f>
        <v>1</v>
      </c>
      <c r="B45" s="60" t="s">
        <v>424</v>
      </c>
      <c r="C45" s="60" t="s">
        <v>425</v>
      </c>
      <c r="D45" s="42" t="str">
        <f>Source!H29</f>
        <v>100 м2 горизонтальной проекции</v>
      </c>
      <c r="E45" s="12">
        <f>Source!I29</f>
        <v>0.14</v>
      </c>
      <c r="F45" s="43">
        <f>Source!AL29+Source!AM29+Source!AO29</f>
        <v>997.8299999999999</v>
      </c>
      <c r="G45" s="44"/>
      <c r="H45" s="45"/>
      <c r="I45" s="44" t="str">
        <f>Source!BO29</f>
        <v>08-07-002-01</v>
      </c>
      <c r="J45" s="44"/>
      <c r="K45" s="45"/>
      <c r="L45" s="46"/>
      <c r="S45">
        <f>ROUND((Source!FX29/100)*((ROUND(Source!AF29*Source!I29,2)+ROUND(Source!AE29*Source!I29,2))),2)</f>
        <v>107.63</v>
      </c>
      <c r="T45">
        <f>Source!X29</f>
        <v>3666.92</v>
      </c>
      <c r="U45">
        <f>ROUND((Source!FY29/100)*((ROUND(Source!AF29*Source!I29,2)+ROUND(Source!AE29*Source!I29,2))),2)</f>
        <v>66.65</v>
      </c>
      <c r="V45">
        <f>Source!Y29</f>
        <v>2266.82</v>
      </c>
    </row>
    <row r="46" ht="12.75">
      <c r="C46" s="33" t="str">
        <f>"Объем: "&amp;Source!I29&amp;"=14/"&amp;"100"</f>
        <v>Объем: 0,14=14/100</v>
      </c>
    </row>
    <row r="47" spans="1:18" ht="14.25">
      <c r="A47" s="25"/>
      <c r="B47" s="60"/>
      <c r="C47" s="60" t="s">
        <v>426</v>
      </c>
      <c r="D47" s="42"/>
      <c r="E47" s="12"/>
      <c r="F47" s="43">
        <f>Source!AO29</f>
        <v>606.53</v>
      </c>
      <c r="G47" s="44" t="str">
        <f>Source!DG29</f>
        <v>)*1,15</v>
      </c>
      <c r="H47" s="45">
        <f>ROUND(Source!AF29*Source!I29,2)</f>
        <v>97.65</v>
      </c>
      <c r="I47" s="44"/>
      <c r="J47" s="44">
        <f>IF(Source!BA29&lt;&gt;0,Source!BA29,1)</f>
        <v>34.01</v>
      </c>
      <c r="K47" s="45">
        <f>Source!S29</f>
        <v>3321.12</v>
      </c>
      <c r="L47" s="46"/>
      <c r="R47">
        <f>H47</f>
        <v>97.65</v>
      </c>
    </row>
    <row r="48" spans="1:12" ht="14.25">
      <c r="A48" s="25"/>
      <c r="B48" s="60"/>
      <c r="C48" s="60" t="s">
        <v>106</v>
      </c>
      <c r="D48" s="42"/>
      <c r="E48" s="12"/>
      <c r="F48" s="43">
        <f>Source!AM29</f>
        <v>11.83</v>
      </c>
      <c r="G48" s="44" t="str">
        <f>Source!DE29</f>
        <v>)*1,25</v>
      </c>
      <c r="H48" s="45">
        <f>ROUND(Source!AD29*Source!I29,2)</f>
        <v>2.07</v>
      </c>
      <c r="I48" s="44"/>
      <c r="J48" s="44">
        <f>IF(Source!BB29&lt;&gt;0,Source!BB29,1)</f>
        <v>11.55</v>
      </c>
      <c r="K48" s="45">
        <f>Source!Q29</f>
        <v>23.91</v>
      </c>
      <c r="L48" s="46"/>
    </row>
    <row r="49" spans="1:18" ht="14.25">
      <c r="A49" s="25"/>
      <c r="B49" s="60"/>
      <c r="C49" s="60" t="s">
        <v>427</v>
      </c>
      <c r="D49" s="42"/>
      <c r="E49" s="12"/>
      <c r="F49" s="43">
        <f>Source!AN29</f>
        <v>2.09</v>
      </c>
      <c r="G49" s="44" t="str">
        <f>Source!DF29</f>
        <v>)*1,25</v>
      </c>
      <c r="H49" s="47">
        <f>ROUND(Source!AE29*Source!I29,2)</f>
        <v>0.37</v>
      </c>
      <c r="I49" s="44"/>
      <c r="J49" s="44">
        <f>IF(Source!BS29&lt;&gt;0,Source!BS29,1)</f>
        <v>34.01</v>
      </c>
      <c r="K49" s="47">
        <f>Source!R29</f>
        <v>12.44</v>
      </c>
      <c r="L49" s="46"/>
      <c r="R49">
        <f>H49</f>
        <v>0.37</v>
      </c>
    </row>
    <row r="50" spans="1:12" ht="14.25">
      <c r="A50" s="25"/>
      <c r="B50" s="60"/>
      <c r="C50" s="60" t="s">
        <v>428</v>
      </c>
      <c r="D50" s="42"/>
      <c r="E50" s="12"/>
      <c r="F50" s="43">
        <f>Source!AL29</f>
        <v>379.47</v>
      </c>
      <c r="G50" s="44">
        <f>Source!DD29</f>
      </c>
      <c r="H50" s="45">
        <f>ROUND(Source!AC29*Source!I29,2)</f>
        <v>53.13</v>
      </c>
      <c r="I50" s="44"/>
      <c r="J50" s="44">
        <f>IF(Source!BC29&lt;&gt;0,Source!BC29,1)</f>
        <v>9.14</v>
      </c>
      <c r="K50" s="45">
        <f>Source!P29</f>
        <v>485.57</v>
      </c>
      <c r="L50" s="46"/>
    </row>
    <row r="51" spans="1:12" ht="14.25">
      <c r="A51" s="25"/>
      <c r="B51" s="60"/>
      <c r="C51" s="60" t="s">
        <v>429</v>
      </c>
      <c r="D51" s="42" t="s">
        <v>430</v>
      </c>
      <c r="E51" s="12">
        <f>Source!BZ29</f>
        <v>122</v>
      </c>
      <c r="F51" s="103" t="str">
        <f>CONCATENATE(" )",Source!DL29,Source!FT29,"=",Source!FX29)</f>
        <v> )*0,9=109,8</v>
      </c>
      <c r="G51" s="104"/>
      <c r="H51" s="45">
        <f>SUM(S45:S53)</f>
        <v>107.63</v>
      </c>
      <c r="I51" s="48"/>
      <c r="J51" s="36">
        <f>Source!AT29</f>
        <v>110</v>
      </c>
      <c r="K51" s="45">
        <f>SUM(T45:T53)</f>
        <v>3666.92</v>
      </c>
      <c r="L51" s="46"/>
    </row>
    <row r="52" spans="1:12" ht="14.25">
      <c r="A52" s="25"/>
      <c r="B52" s="60"/>
      <c r="C52" s="60" t="s">
        <v>431</v>
      </c>
      <c r="D52" s="42" t="s">
        <v>430</v>
      </c>
      <c r="E52" s="12">
        <f>Source!CA29</f>
        <v>80</v>
      </c>
      <c r="F52" s="103" t="str">
        <f>CONCATENATE(" )",Source!DM29,Source!FU29,"=",Source!FY29)</f>
        <v> )*0,85=68</v>
      </c>
      <c r="G52" s="104"/>
      <c r="H52" s="45">
        <f>SUM(U45:U53)</f>
        <v>66.65</v>
      </c>
      <c r="I52" s="48"/>
      <c r="J52" s="36">
        <f>Source!AU29</f>
        <v>68</v>
      </c>
      <c r="K52" s="45">
        <f>SUM(V45:V53)</f>
        <v>2266.82</v>
      </c>
      <c r="L52" s="46"/>
    </row>
    <row r="53" spans="1:12" ht="14.25">
      <c r="A53" s="61"/>
      <c r="B53" s="62"/>
      <c r="C53" s="62" t="s">
        <v>432</v>
      </c>
      <c r="D53" s="49" t="s">
        <v>433</v>
      </c>
      <c r="E53" s="50">
        <f>Source!AQ29</f>
        <v>70.2</v>
      </c>
      <c r="F53" s="51"/>
      <c r="G53" s="52" t="str">
        <f>Source!DI29</f>
        <v>)*1,15</v>
      </c>
      <c r="H53" s="53"/>
      <c r="I53" s="52"/>
      <c r="J53" s="52"/>
      <c r="K53" s="53"/>
      <c r="L53" s="54">
        <f>Source!U29</f>
        <v>11.302200000000001</v>
      </c>
    </row>
    <row r="54" spans="7:26" ht="15">
      <c r="G54" s="105">
        <f>H47+H48+H50+H51+H52</f>
        <v>327.13</v>
      </c>
      <c r="H54" s="105"/>
      <c r="J54" s="105">
        <f>K47+K48+K50+K51+K52</f>
        <v>9764.34</v>
      </c>
      <c r="K54" s="105"/>
      <c r="L54" s="55">
        <f>Source!U29</f>
        <v>11.302200000000001</v>
      </c>
      <c r="O54" s="34">
        <f>G54</f>
        <v>327.13</v>
      </c>
      <c r="P54" s="34">
        <f>J54</f>
        <v>9764.34</v>
      </c>
      <c r="Q54" s="34">
        <f>L54</f>
        <v>11.302200000000001</v>
      </c>
      <c r="W54">
        <f>IF(Source!BI29&lt;=1,H47+H48+H50+H51+H52,0)</f>
        <v>327.13</v>
      </c>
      <c r="X54">
        <f>IF(Source!BI29=2,H47+H48+H50+H51+H52,0)</f>
        <v>0</v>
      </c>
      <c r="Y54">
        <f>IF(Source!BI29=3,H47+H48+H50+H51+H52,0)</f>
        <v>0</v>
      </c>
      <c r="Z54">
        <f>IF(Source!BI29=4,H47+H48+H50+H51+H52,0)</f>
        <v>0</v>
      </c>
    </row>
    <row r="55" spans="1:22" ht="28.5">
      <c r="A55" s="25" t="str">
        <f>Source!E31</f>
        <v>2</v>
      </c>
      <c r="B55" s="60" t="str">
        <f>Source!F31</f>
        <v>56-2-2</v>
      </c>
      <c r="C55" s="60" t="str">
        <f>Source!G31</f>
        <v>Демонтаж фасадного остекления (применительно)</v>
      </c>
      <c r="D55" s="42" t="str">
        <f>Source!H31</f>
        <v>100 м2</v>
      </c>
      <c r="E55" s="12">
        <f>Source!I31</f>
        <v>0.04</v>
      </c>
      <c r="F55" s="43">
        <f>Source!AL31+Source!AM31+Source!AO31</f>
        <v>398.87</v>
      </c>
      <c r="G55" s="44"/>
      <c r="H55" s="45"/>
      <c r="I55" s="44" t="str">
        <f>Source!BO31</f>
        <v>56-2-2</v>
      </c>
      <c r="J55" s="44"/>
      <c r="K55" s="45"/>
      <c r="L55" s="46"/>
      <c r="S55">
        <f>ROUND((Source!FX31/100)*((ROUND(Source!AF31*Source!I31,2)+ROUND(Source!AE31*Source!I31,2))),2)</f>
        <v>12.54</v>
      </c>
      <c r="T55">
        <f>Source!X31</f>
        <v>426.54</v>
      </c>
      <c r="U55">
        <f>ROUND((Source!FY31/100)*((ROUND(Source!AF31*Source!I31,2)+ROUND(Source!AE31*Source!I31,2))),2)</f>
        <v>9.48</v>
      </c>
      <c r="V55">
        <f>Source!Y31</f>
        <v>322.51</v>
      </c>
    </row>
    <row r="56" ht="12.75">
      <c r="C56" s="33" t="str">
        <f>"Объем: "&amp;Source!I31&amp;"=4,032/"&amp;"100"</f>
        <v>Объем: 0,04=4,032/100</v>
      </c>
    </row>
    <row r="57" spans="1:18" ht="14.25">
      <c r="A57" s="25"/>
      <c r="B57" s="60"/>
      <c r="C57" s="60" t="s">
        <v>426</v>
      </c>
      <c r="D57" s="42"/>
      <c r="E57" s="12"/>
      <c r="F57" s="43">
        <f>Source!AO31</f>
        <v>369.8</v>
      </c>
      <c r="G57" s="44">
        <f>Source!DG31</f>
      </c>
      <c r="H57" s="45">
        <f>ROUND(Source!AF31*Source!I31,2)</f>
        <v>14.79</v>
      </c>
      <c r="I57" s="44"/>
      <c r="J57" s="44">
        <f>IF(Source!BA31&lt;&gt;0,Source!BA31,1)</f>
        <v>34.01</v>
      </c>
      <c r="K57" s="45">
        <f>Source!S31</f>
        <v>503.08</v>
      </c>
      <c r="L57" s="46"/>
      <c r="R57">
        <f>H57</f>
        <v>14.79</v>
      </c>
    </row>
    <row r="58" spans="1:12" ht="14.25">
      <c r="A58" s="25"/>
      <c r="B58" s="60"/>
      <c r="C58" s="60" t="s">
        <v>106</v>
      </c>
      <c r="D58" s="42"/>
      <c r="E58" s="12"/>
      <c r="F58" s="43">
        <f>Source!AM31</f>
        <v>29.07</v>
      </c>
      <c r="G58" s="44">
        <f>Source!DE31</f>
      </c>
      <c r="H58" s="45">
        <f>ROUND(Source!AD31*Source!I31,2)</f>
        <v>1.16</v>
      </c>
      <c r="I58" s="44"/>
      <c r="J58" s="44">
        <f>IF(Source!BB31&lt;&gt;0,Source!BB31,1)</f>
        <v>15.18</v>
      </c>
      <c r="K58" s="45">
        <f>Source!Q31</f>
        <v>17.65</v>
      </c>
      <c r="L58" s="46"/>
    </row>
    <row r="59" spans="1:18" ht="14.25">
      <c r="A59" s="25"/>
      <c r="B59" s="60"/>
      <c r="C59" s="60" t="s">
        <v>427</v>
      </c>
      <c r="D59" s="42"/>
      <c r="E59" s="12"/>
      <c r="F59" s="43">
        <f>Source!AN31</f>
        <v>12.56</v>
      </c>
      <c r="G59" s="44">
        <f>Source!DF31</f>
      </c>
      <c r="H59" s="47">
        <f>ROUND(Source!AE31*Source!I31,2)</f>
        <v>0.5</v>
      </c>
      <c r="I59" s="44"/>
      <c r="J59" s="44">
        <f>IF(Source!BS31&lt;&gt;0,Source!BS31,1)</f>
        <v>34.01</v>
      </c>
      <c r="K59" s="47">
        <f>Source!R31</f>
        <v>17.09</v>
      </c>
      <c r="L59" s="46"/>
      <c r="R59">
        <f>H59</f>
        <v>0.5</v>
      </c>
    </row>
    <row r="60" spans="1:12" ht="14.25">
      <c r="A60" s="25"/>
      <c r="B60" s="60"/>
      <c r="C60" s="60" t="s">
        <v>429</v>
      </c>
      <c r="D60" s="42" t="s">
        <v>430</v>
      </c>
      <c r="E60" s="12">
        <f>Source!BZ31</f>
        <v>82</v>
      </c>
      <c r="F60" s="63"/>
      <c r="G60" s="44"/>
      <c r="H60" s="45">
        <f>SUM(S55:S63)</f>
        <v>12.54</v>
      </c>
      <c r="I60" s="48"/>
      <c r="J60" s="36">
        <f>Source!AT31</f>
        <v>82</v>
      </c>
      <c r="K60" s="45">
        <f>SUM(T55:T63)</f>
        <v>426.54</v>
      </c>
      <c r="L60" s="46"/>
    </row>
    <row r="61" spans="1:12" ht="14.25">
      <c r="A61" s="25"/>
      <c r="B61" s="60"/>
      <c r="C61" s="60" t="s">
        <v>431</v>
      </c>
      <c r="D61" s="42" t="s">
        <v>430</v>
      </c>
      <c r="E61" s="12">
        <f>Source!CA31</f>
        <v>62</v>
      </c>
      <c r="F61" s="63"/>
      <c r="G61" s="44"/>
      <c r="H61" s="45">
        <f>SUM(U55:U63)</f>
        <v>9.48</v>
      </c>
      <c r="I61" s="48"/>
      <c r="J61" s="36">
        <f>Source!AU31</f>
        <v>62</v>
      </c>
      <c r="K61" s="45">
        <f>SUM(V55:V63)</f>
        <v>322.51</v>
      </c>
      <c r="L61" s="46"/>
    </row>
    <row r="62" spans="1:12" ht="14.25">
      <c r="A62" s="25"/>
      <c r="B62" s="60"/>
      <c r="C62" s="60" t="s">
        <v>432</v>
      </c>
      <c r="D62" s="42" t="s">
        <v>433</v>
      </c>
      <c r="E62" s="12">
        <f>Source!AQ31</f>
        <v>46.11</v>
      </c>
      <c r="F62" s="43"/>
      <c r="G62" s="44">
        <f>Source!DI31</f>
      </c>
      <c r="H62" s="45"/>
      <c r="I62" s="44"/>
      <c r="J62" s="44"/>
      <c r="K62" s="45"/>
      <c r="L62" s="56">
        <f>Source!U31</f>
        <v>1.8444</v>
      </c>
    </row>
    <row r="63" spans="1:26" ht="14.25">
      <c r="A63" s="61" t="str">
        <f>Source!E33</f>
        <v>2,1</v>
      </c>
      <c r="B63" s="62" t="str">
        <f>Source!F33</f>
        <v>999-9900</v>
      </c>
      <c r="C63" s="62" t="str">
        <f>Source!G33</f>
        <v>Строительный мусор</v>
      </c>
      <c r="D63" s="49" t="str">
        <f>Source!H33</f>
        <v>т</v>
      </c>
      <c r="E63" s="50">
        <f>Source!I33</f>
        <v>0.1368</v>
      </c>
      <c r="F63" s="51">
        <f>Source!AL33+Source!AM33+Source!AO33</f>
        <v>0</v>
      </c>
      <c r="G63" s="57" t="s">
        <v>3</v>
      </c>
      <c r="H63" s="53">
        <f>ROUND(Source!AC33*Source!I33,2)+ROUND(Source!AD33*Source!I33,2)+ROUND(Source!AF33*Source!I33,2)</f>
        <v>0</v>
      </c>
      <c r="I63" s="52"/>
      <c r="J63" s="52">
        <f>IF(Source!BC33&lt;&gt;0,Source!BC33,1)</f>
        <v>1</v>
      </c>
      <c r="K63" s="53">
        <f>Source!O33</f>
        <v>0</v>
      </c>
      <c r="L63" s="58"/>
      <c r="S63">
        <f>ROUND((Source!FX33/100)*((ROUND(Source!AF33*Source!I33,2)+ROUND(Source!AE33*Source!I33,2))),2)</f>
        <v>0</v>
      </c>
      <c r="T63">
        <f>Source!X33</f>
        <v>0</v>
      </c>
      <c r="U63">
        <f>ROUND((Source!FY33/100)*((ROUND(Source!AF33*Source!I33,2)+ROUND(Source!AE33*Source!I33,2))),2)</f>
        <v>0</v>
      </c>
      <c r="V63">
        <f>Source!Y33</f>
        <v>0</v>
      </c>
      <c r="W63">
        <f>IF(Source!BI33&lt;=1,H63,0)</f>
        <v>0</v>
      </c>
      <c r="X63">
        <f>IF(Source!BI33=2,H63,0)</f>
        <v>0</v>
      </c>
      <c r="Y63">
        <f>IF(Source!BI33=3,H63,0)</f>
        <v>0</v>
      </c>
      <c r="Z63">
        <f>IF(Source!BI33=4,H63,0)</f>
        <v>0</v>
      </c>
    </row>
    <row r="64" spans="7:26" ht="15">
      <c r="G64" s="105">
        <f>H57+H58+H60+H61+SUM(H63:H63)</f>
        <v>37.97</v>
      </c>
      <c r="H64" s="105"/>
      <c r="J64" s="105">
        <f>K57+K58+K60+K61+SUM(K63:K63)</f>
        <v>1269.78</v>
      </c>
      <c r="K64" s="105"/>
      <c r="L64" s="55">
        <f>Source!U31</f>
        <v>1.8444</v>
      </c>
      <c r="O64" s="34">
        <f>G64</f>
        <v>37.97</v>
      </c>
      <c r="P64" s="34">
        <f>J64</f>
        <v>1269.78</v>
      </c>
      <c r="Q64" s="34">
        <f>L64</f>
        <v>1.8444</v>
      </c>
      <c r="W64">
        <f>IF(Source!BI31&lt;=1,H57+H58+H60+H61,0)</f>
        <v>37.97</v>
      </c>
      <c r="X64">
        <f>IF(Source!BI31=2,H57+H58+H60+H61,0)</f>
        <v>0</v>
      </c>
      <c r="Y64">
        <f>IF(Source!BI31=3,H57+H58+H60+H61,0)</f>
        <v>0</v>
      </c>
      <c r="Z64">
        <f>IF(Source!BI31=4,H57+H58+H60+H61,0)</f>
        <v>0</v>
      </c>
    </row>
    <row r="65" spans="1:22" ht="208.5">
      <c r="A65" s="25" t="str">
        <f>Source!E35</f>
        <v>3</v>
      </c>
      <c r="B65" s="60" t="s">
        <v>434</v>
      </c>
      <c r="C65" s="60" t="s">
        <v>435</v>
      </c>
      <c r="D65" s="42" t="str">
        <f>Source!H35</f>
        <v>100 м2</v>
      </c>
      <c r="E65" s="12">
        <f>Source!I35</f>
        <v>0.41</v>
      </c>
      <c r="F65" s="43">
        <f>Source!AL35+Source!AM35+Source!AO35</f>
        <v>3848.9500000000003</v>
      </c>
      <c r="G65" s="44"/>
      <c r="H65" s="45"/>
      <c r="I65" s="44" t="str">
        <f>Source!BO35</f>
        <v>09-03-046-01</v>
      </c>
      <c r="J65" s="44"/>
      <c r="K65" s="45"/>
      <c r="L65" s="46"/>
      <c r="S65">
        <f>ROUND((Source!FX35/100)*((ROUND(Source!AF35*Source!I35,2)+ROUND(Source!AE35*Source!I35,2))),2)</f>
        <v>1158.62</v>
      </c>
      <c r="T65">
        <f>Source!X35</f>
        <v>39404.45</v>
      </c>
      <c r="U65">
        <f>ROUND((Source!FY35/100)*((ROUND(Source!AF35*Source!I35,2)+ROUND(Source!AE35*Source!I35,2))),2)</f>
        <v>1033.46</v>
      </c>
      <c r="V65">
        <f>Source!Y35</f>
        <v>35026.18</v>
      </c>
    </row>
    <row r="66" ht="12.75">
      <c r="C66" s="33" t="str">
        <f>"Объем: "&amp;Source!I35&amp;"=40,772/"&amp;"100"</f>
        <v>Объем: 0,41=40,772/100</v>
      </c>
    </row>
    <row r="67" spans="1:18" ht="14.25">
      <c r="A67" s="25"/>
      <c r="B67" s="60"/>
      <c r="C67" s="60" t="s">
        <v>426</v>
      </c>
      <c r="D67" s="42"/>
      <c r="E67" s="12"/>
      <c r="F67" s="43">
        <f>Source!AO35</f>
        <v>2997.88</v>
      </c>
      <c r="G67" s="44" t="str">
        <f>Source!DG35</f>
        <v>)*1,15</v>
      </c>
      <c r="H67" s="45">
        <f>ROUND(Source!AF35*Source!I35,2)</f>
        <v>1413.5</v>
      </c>
      <c r="I67" s="44"/>
      <c r="J67" s="44">
        <f>IF(Source!BA35&lt;&gt;0,Source!BA35,1)</f>
        <v>34.01</v>
      </c>
      <c r="K67" s="45">
        <f>Source!S35</f>
        <v>48073.15</v>
      </c>
      <c r="L67" s="46"/>
      <c r="R67">
        <f>H67</f>
        <v>1413.5</v>
      </c>
    </row>
    <row r="68" spans="1:12" ht="14.25">
      <c r="A68" s="25"/>
      <c r="B68" s="60"/>
      <c r="C68" s="60" t="s">
        <v>106</v>
      </c>
      <c r="D68" s="42"/>
      <c r="E68" s="12"/>
      <c r="F68" s="43">
        <f>Source!AM35</f>
        <v>575.19</v>
      </c>
      <c r="G68" s="44" t="str">
        <f>Source!DE35</f>
        <v>)*1,25</v>
      </c>
      <c r="H68" s="45">
        <f>ROUND(Source!AD35*Source!I35,2)</f>
        <v>294.78</v>
      </c>
      <c r="I68" s="44"/>
      <c r="J68" s="44">
        <f>IF(Source!BB35&lt;&gt;0,Source!BB35,1)</f>
        <v>7.05</v>
      </c>
      <c r="K68" s="45">
        <f>Source!Q35</f>
        <v>2078.23</v>
      </c>
      <c r="L68" s="46"/>
    </row>
    <row r="69" spans="1:18" ht="14.25">
      <c r="A69" s="25"/>
      <c r="B69" s="60"/>
      <c r="C69" s="60" t="s">
        <v>427</v>
      </c>
      <c r="D69" s="42"/>
      <c r="E69" s="12"/>
      <c r="F69" s="43">
        <f>Source!AN35</f>
        <v>32.95</v>
      </c>
      <c r="G69" s="44" t="str">
        <f>Source!DF35</f>
        <v>)*1,25</v>
      </c>
      <c r="H69" s="47">
        <f>ROUND(Source!AE35*Source!I35,2)</f>
        <v>16.89</v>
      </c>
      <c r="I69" s="44"/>
      <c r="J69" s="44">
        <f>IF(Source!BS35&lt;&gt;0,Source!BS35,1)</f>
        <v>34.01</v>
      </c>
      <c r="K69" s="47">
        <f>Source!R35</f>
        <v>574.32</v>
      </c>
      <c r="L69" s="46"/>
      <c r="R69">
        <f>H69</f>
        <v>16.89</v>
      </c>
    </row>
    <row r="70" spans="1:12" ht="14.25">
      <c r="A70" s="25"/>
      <c r="B70" s="60"/>
      <c r="C70" s="60" t="s">
        <v>428</v>
      </c>
      <c r="D70" s="42"/>
      <c r="E70" s="12"/>
      <c r="F70" s="43">
        <f>Source!AL35</f>
        <v>275.88</v>
      </c>
      <c r="G70" s="44">
        <f>Source!DD35</f>
      </c>
      <c r="H70" s="45">
        <f>ROUND(Source!AC35*Source!I35,2)</f>
        <v>113.11</v>
      </c>
      <c r="I70" s="44"/>
      <c r="J70" s="44">
        <f>IF(Source!BC35&lt;&gt;0,Source!BC35,1)</f>
        <v>7.28</v>
      </c>
      <c r="K70" s="45">
        <f>Source!P35</f>
        <v>823.45</v>
      </c>
      <c r="L70" s="46"/>
    </row>
    <row r="71" spans="1:12" ht="14.25">
      <c r="A71" s="25"/>
      <c r="B71" s="60"/>
      <c r="C71" s="60" t="s">
        <v>429</v>
      </c>
      <c r="D71" s="42" t="s">
        <v>430</v>
      </c>
      <c r="E71" s="12">
        <f>Source!BZ35</f>
        <v>90</v>
      </c>
      <c r="F71" s="103" t="str">
        <f>CONCATENATE(" )",Source!DL35,Source!FT35,"=",Source!FX35)</f>
        <v> )*0,9=81</v>
      </c>
      <c r="G71" s="104"/>
      <c r="H71" s="45">
        <f>SUM(S65:S80)</f>
        <v>1158.62</v>
      </c>
      <c r="I71" s="48"/>
      <c r="J71" s="36">
        <f>Source!AT35</f>
        <v>81</v>
      </c>
      <c r="K71" s="45">
        <f>SUM(T65:T80)</f>
        <v>39404.45</v>
      </c>
      <c r="L71" s="46"/>
    </row>
    <row r="72" spans="1:12" ht="14.25">
      <c r="A72" s="25"/>
      <c r="B72" s="60"/>
      <c r="C72" s="60" t="s">
        <v>431</v>
      </c>
      <c r="D72" s="42" t="s">
        <v>430</v>
      </c>
      <c r="E72" s="12">
        <f>Source!CA35</f>
        <v>85</v>
      </c>
      <c r="F72" s="103" t="str">
        <f>CONCATENATE(" )",Source!DM35,Source!FU35,"=",Source!FY35)</f>
        <v> )*0,85=72,25</v>
      </c>
      <c r="G72" s="104"/>
      <c r="H72" s="45">
        <f>SUM(U65:U80)</f>
        <v>1033.46</v>
      </c>
      <c r="I72" s="48"/>
      <c r="J72" s="36">
        <f>Source!AU35</f>
        <v>72</v>
      </c>
      <c r="K72" s="45">
        <f>SUM(V65:V80)</f>
        <v>35026.18</v>
      </c>
      <c r="L72" s="46"/>
    </row>
    <row r="73" spans="1:12" ht="14.25">
      <c r="A73" s="25"/>
      <c r="B73" s="60"/>
      <c r="C73" s="60" t="s">
        <v>432</v>
      </c>
      <c r="D73" s="42" t="s">
        <v>433</v>
      </c>
      <c r="E73" s="12">
        <f>Source!AQ35</f>
        <v>298</v>
      </c>
      <c r="F73" s="43"/>
      <c r="G73" s="44" t="str">
        <f>Source!DI35</f>
        <v>)*1,15</v>
      </c>
      <c r="H73" s="45"/>
      <c r="I73" s="44"/>
      <c r="J73" s="44"/>
      <c r="K73" s="45"/>
      <c r="L73" s="56">
        <f>Source!U35</f>
        <v>140.50699999999998</v>
      </c>
    </row>
    <row r="74" spans="1:26" ht="99.75">
      <c r="A74" s="25" t="str">
        <f>Source!E37</f>
        <v>3,1</v>
      </c>
      <c r="B74" s="60" t="str">
        <f>Source!F37</f>
        <v>Цена Поставщика</v>
      </c>
      <c r="C74" s="60" t="str">
        <f>Source!G37</f>
        <v>(Д-6) Перегородка наружная 1920х2100 из алюминиевой системы с дверным блоком 1000х2080 (ШхВ)  (ручка скоба офисная, замок с цилиндром, шпингалеты на пассивную створку). Заполнение 5м1-10-5м1-10-5м1. Окрашенная в цвет RAL</v>
      </c>
      <c r="D74" s="42" t="str">
        <f>Source!H37</f>
        <v>ШТ</v>
      </c>
      <c r="E74" s="12">
        <f>Source!I37</f>
        <v>0.9999999999999999</v>
      </c>
      <c r="F74" s="43">
        <f>Source!AL37+Source!AM37+Source!AO37</f>
        <v>108936.28</v>
      </c>
      <c r="G74" s="59" t="s">
        <v>3</v>
      </c>
      <c r="H74" s="45">
        <f>ROUND(Source!AC37*Source!I37,2)+ROUND(Source!AD37*Source!I37,2)+ROUND(Source!AF37*Source!I37,2)</f>
        <v>108936.28</v>
      </c>
      <c r="I74" s="44"/>
      <c r="J74" s="44">
        <f>IF(Source!BC37&lt;&gt;0,Source!BC37,1)</f>
        <v>1</v>
      </c>
      <c r="K74" s="45">
        <f>Source!O37</f>
        <v>108936.28</v>
      </c>
      <c r="L74" s="46"/>
      <c r="S74">
        <f>ROUND((Source!FX37/100)*((ROUND(Source!AF37*Source!I37,2)+ROUND(Source!AE37*Source!I37,2))),2)</f>
        <v>0</v>
      </c>
      <c r="T74">
        <f>Source!X37</f>
        <v>0</v>
      </c>
      <c r="U74">
        <f>ROUND((Source!FY37/100)*((ROUND(Source!AF37*Source!I37,2)+ROUND(Source!AE37*Source!I37,2))),2)</f>
        <v>0</v>
      </c>
      <c r="V74">
        <f>Source!Y37</f>
        <v>0</v>
      </c>
      <c r="W74">
        <f>IF(Source!BI37&lt;=1,H74,0)</f>
        <v>108936.28</v>
      </c>
      <c r="X74">
        <f>IF(Source!BI37=2,H74,0)</f>
        <v>0</v>
      </c>
      <c r="Y74">
        <f>IF(Source!BI37=3,H74,0)</f>
        <v>0</v>
      </c>
      <c r="Z74">
        <f>IF(Source!BI37=4,H74,0)</f>
        <v>0</v>
      </c>
    </row>
    <row r="75" spans="1:26" ht="71.25">
      <c r="A75" s="25" t="str">
        <f>Source!E39</f>
        <v>3,2</v>
      </c>
      <c r="B75" s="60" t="str">
        <f>Source!F39</f>
        <v>Цена Поставщика</v>
      </c>
      <c r="C75" s="60" t="str">
        <f>Source!G39</f>
        <v>(ПС-3) Внутренняя алюминиевая перегородка светопрозрачная противопожарная EIW-45 2250x4400 (ШхВ) с противопожарным стеклом. Окрашенная в цвет RAL</v>
      </c>
      <c r="D75" s="42" t="str">
        <f>Source!H39</f>
        <v>ШТ</v>
      </c>
      <c r="E75" s="12">
        <f>Source!I39</f>
        <v>0.9999999999999999</v>
      </c>
      <c r="F75" s="43">
        <f>Source!AL39+Source!AM39+Source!AO39</f>
        <v>241294.69</v>
      </c>
      <c r="G75" s="59" t="s">
        <v>3</v>
      </c>
      <c r="H75" s="45">
        <f>ROUND(Source!AC39*Source!I39,2)+ROUND(Source!AD39*Source!I39,2)+ROUND(Source!AF39*Source!I39,2)</f>
        <v>241294.69</v>
      </c>
      <c r="I75" s="44"/>
      <c r="J75" s="44">
        <f>IF(Source!BC39&lt;&gt;0,Source!BC39,1)</f>
        <v>1</v>
      </c>
      <c r="K75" s="45">
        <f>Source!O39</f>
        <v>241294.69</v>
      </c>
      <c r="L75" s="46"/>
      <c r="S75">
        <f>ROUND((Source!FX39/100)*((ROUND(Source!AF39*Source!I39,2)+ROUND(Source!AE39*Source!I39,2))),2)</f>
        <v>0</v>
      </c>
      <c r="T75">
        <f>Source!X39</f>
        <v>0</v>
      </c>
      <c r="U75">
        <f>ROUND((Source!FY39/100)*((ROUND(Source!AF39*Source!I39,2)+ROUND(Source!AE39*Source!I39,2))),2)</f>
        <v>0</v>
      </c>
      <c r="V75">
        <f>Source!Y39</f>
        <v>0</v>
      </c>
      <c r="W75">
        <f>IF(Source!BI39&lt;=1,H75,0)</f>
        <v>241294.69</v>
      </c>
      <c r="X75">
        <f>IF(Source!BI39=2,H75,0)</f>
        <v>0</v>
      </c>
      <c r="Y75">
        <f>IF(Source!BI39=3,H75,0)</f>
        <v>0</v>
      </c>
      <c r="Z75">
        <f>IF(Source!BI39=4,H75,0)</f>
        <v>0</v>
      </c>
    </row>
    <row r="76" spans="1:26" ht="71.25">
      <c r="A76" s="25" t="str">
        <f>Source!E41</f>
        <v>3,3</v>
      </c>
      <c r="B76" s="60" t="str">
        <f>Source!F41</f>
        <v>Цена Поставщика</v>
      </c>
      <c r="C76" s="60" t="str">
        <f>Source!G41</f>
        <v>(ПС-4) Внутренняя алюминиевая перегородка светопрозрачная противопожарная EIW-45 6100x4400 (ШхВ) с противопожарным стеклом. Окрашенная в цвет RAL</v>
      </c>
      <c r="D76" s="42" t="str">
        <f>Source!H41</f>
        <v>ШТ</v>
      </c>
      <c r="E76" s="12">
        <f>Source!I41</f>
        <v>0.9999999999999999</v>
      </c>
      <c r="F76" s="43">
        <f>Source!AL41+Source!AM41+Source!AO41</f>
        <v>587378.89</v>
      </c>
      <c r="G76" s="59" t="s">
        <v>3</v>
      </c>
      <c r="H76" s="45">
        <f>ROUND(Source!AC41*Source!I41,2)+ROUND(Source!AD41*Source!I41,2)+ROUND(Source!AF41*Source!I41,2)</f>
        <v>587378.89</v>
      </c>
      <c r="I76" s="44"/>
      <c r="J76" s="44">
        <f>IF(Source!BC41&lt;&gt;0,Source!BC41,1)</f>
        <v>1</v>
      </c>
      <c r="K76" s="45">
        <f>Source!O41</f>
        <v>587378.89</v>
      </c>
      <c r="L76" s="46"/>
      <c r="S76">
        <f>ROUND((Source!FX41/100)*((ROUND(Source!AF41*Source!I41,2)+ROUND(Source!AE41*Source!I41,2))),2)</f>
        <v>0</v>
      </c>
      <c r="T76">
        <f>Source!X41</f>
        <v>0</v>
      </c>
      <c r="U76">
        <f>ROUND((Source!FY41/100)*((ROUND(Source!AF41*Source!I41,2)+ROUND(Source!AE41*Source!I41,2))),2)</f>
        <v>0</v>
      </c>
      <c r="V76">
        <f>Source!Y41</f>
        <v>0</v>
      </c>
      <c r="W76">
        <f>IF(Source!BI41&lt;=1,H76,0)</f>
        <v>587378.89</v>
      </c>
      <c r="X76">
        <f>IF(Source!BI41=2,H76,0)</f>
        <v>0</v>
      </c>
      <c r="Y76">
        <f>IF(Source!BI41=3,H76,0)</f>
        <v>0</v>
      </c>
      <c r="Z76">
        <f>IF(Source!BI41=4,H76,0)</f>
        <v>0</v>
      </c>
    </row>
    <row r="77" spans="1:26" ht="42.75" hidden="1">
      <c r="A77" s="25" t="str">
        <f>Source!E43</f>
        <v>3,4</v>
      </c>
      <c r="B77" s="60" t="str">
        <f>Source!F43</f>
        <v>11.1.03.01-0077</v>
      </c>
      <c r="C77" s="60" t="str">
        <f>Source!G43</f>
        <v>Бруски обрезные, хвойных пород, длина 4-6,5 м, ширина 75-150 мм, толщина 40-75 мм, сорт I</v>
      </c>
      <c r="D77" s="42" t="str">
        <f>Source!H43</f>
        <v>м3</v>
      </c>
      <c r="E77" s="12">
        <f>Source!I43</f>
        <v>-0.016399999999999998</v>
      </c>
      <c r="F77" s="43">
        <f>Source!AL43+Source!AM43+Source!AO43</f>
        <v>1700</v>
      </c>
      <c r="G77" s="59" t="s">
        <v>3</v>
      </c>
      <c r="H77" s="45">
        <f>ROUND(Source!AC43*Source!I43,2)+ROUND(Source!AD43*Source!I43,2)+ROUND(Source!AF43*Source!I43,2)</f>
        <v>-27.88</v>
      </c>
      <c r="I77" s="44"/>
      <c r="J77" s="44">
        <f>IF(Source!BC43&lt;&gt;0,Source!BC43,1)</f>
        <v>5.55</v>
      </c>
      <c r="K77" s="45">
        <f>Source!O43</f>
        <v>-154.73</v>
      </c>
      <c r="L77" s="46"/>
      <c r="S77">
        <f>ROUND((Source!FX43/100)*((ROUND(Source!AF43*Source!I43,2)+ROUND(Source!AE43*Source!I43,2))),2)</f>
        <v>0</v>
      </c>
      <c r="T77">
        <f>Source!X43</f>
        <v>0</v>
      </c>
      <c r="U77">
        <f>ROUND((Source!FY43/100)*((ROUND(Source!AF43*Source!I43,2)+ROUND(Source!AE43*Source!I43,2))),2)</f>
        <v>0</v>
      </c>
      <c r="V77">
        <f>Source!Y43</f>
        <v>0</v>
      </c>
      <c r="W77">
        <f>IF(Source!BI43&lt;=1,H77,0)</f>
        <v>-27.88</v>
      </c>
      <c r="X77">
        <f>IF(Source!BI43=2,H77,0)</f>
        <v>0</v>
      </c>
      <c r="Y77">
        <f>IF(Source!BI43=3,H77,0)</f>
        <v>0</v>
      </c>
      <c r="Z77">
        <f>IF(Source!BI43=4,H77,0)</f>
        <v>0</v>
      </c>
    </row>
    <row r="78" spans="1:26" ht="57" hidden="1">
      <c r="A78" s="25" t="str">
        <f>Source!E45</f>
        <v>3,5</v>
      </c>
      <c r="B78" s="60" t="str">
        <f>Source!F45</f>
        <v>08.2.02.11-0007</v>
      </c>
      <c r="C78" s="60" t="str">
        <f>Source!G45</f>
        <v>Канат двойной свивки ТК, конструкции 6х19(1+6+12)+1 о.с., оцинкованный, из проволок марки В, маркировочная группа 1770 н/мм2, диаметр 5,5 мм</v>
      </c>
      <c r="D78" s="42" t="str">
        <f>Source!H45</f>
        <v>10 м</v>
      </c>
      <c r="E78" s="12">
        <f>Source!I45</f>
        <v>-0.082</v>
      </c>
      <c r="F78" s="43">
        <f>Source!AL45+Source!AM45+Source!AO45</f>
        <v>50.24</v>
      </c>
      <c r="G78" s="59" t="s">
        <v>3</v>
      </c>
      <c r="H78" s="45">
        <f>ROUND(Source!AC45*Source!I45,2)+ROUND(Source!AD45*Source!I45,2)+ROUND(Source!AF45*Source!I45,2)</f>
        <v>-4.12</v>
      </c>
      <c r="I78" s="44"/>
      <c r="J78" s="44">
        <f>IF(Source!BC45&lt;&gt;0,Source!BC45,1)</f>
        <v>6.09</v>
      </c>
      <c r="K78" s="45">
        <f>Source!O45</f>
        <v>-25.09</v>
      </c>
      <c r="L78" s="46"/>
      <c r="S78">
        <f>ROUND((Source!FX45/100)*((ROUND(Source!AF45*Source!I45,2)+ROUND(Source!AE45*Source!I45,2))),2)</f>
        <v>0</v>
      </c>
      <c r="T78">
        <f>Source!X45</f>
        <v>0</v>
      </c>
      <c r="U78">
        <f>ROUND((Source!FY45/100)*((ROUND(Source!AF45*Source!I45,2)+ROUND(Source!AE45*Source!I45,2))),2)</f>
        <v>0</v>
      </c>
      <c r="V78">
        <f>Source!Y45</f>
        <v>0</v>
      </c>
      <c r="W78">
        <f>IF(Source!BI45&lt;=1,H78,0)</f>
        <v>-4.12</v>
      </c>
      <c r="X78">
        <f>IF(Source!BI45=2,H78,0)</f>
        <v>0</v>
      </c>
      <c r="Y78">
        <f>IF(Source!BI45=3,H78,0)</f>
        <v>0</v>
      </c>
      <c r="Z78">
        <f>IF(Source!BI45=4,H78,0)</f>
        <v>0</v>
      </c>
    </row>
    <row r="79" spans="1:26" ht="71.25" hidden="1">
      <c r="A79" s="25" t="str">
        <f>Source!E47</f>
        <v>3,6</v>
      </c>
      <c r="B79" s="60" t="str">
        <f>Source!F47</f>
        <v>07.2.07.12-0020</v>
      </c>
      <c r="C79" s="60" t="str">
        <f>Source!G47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D79" s="42" t="str">
        <f>Source!H47</f>
        <v>т</v>
      </c>
      <c r="E79" s="12">
        <f>Source!I47</f>
        <v>-0.008199999999999999</v>
      </c>
      <c r="F79" s="43">
        <f>Source!AL47+Source!AM47+Source!AO47</f>
        <v>7712</v>
      </c>
      <c r="G79" s="59" t="s">
        <v>3</v>
      </c>
      <c r="H79" s="45">
        <f>ROUND(Source!AC47*Source!I47,2)+ROUND(Source!AD47*Source!I47,2)+ROUND(Source!AF47*Source!I47,2)</f>
        <v>-63.24</v>
      </c>
      <c r="I79" s="44"/>
      <c r="J79" s="44">
        <f>IF(Source!BC47&lt;&gt;0,Source!BC47,1)</f>
        <v>8.87</v>
      </c>
      <c r="K79" s="45">
        <f>Source!O47</f>
        <v>-560.92</v>
      </c>
      <c r="L79" s="46"/>
      <c r="S79">
        <f>ROUND((Source!FX47/100)*((ROUND(Source!AF47*Source!I47,2)+ROUND(Source!AE47*Source!I47,2))),2)</f>
        <v>0</v>
      </c>
      <c r="T79">
        <f>Source!X47</f>
        <v>0</v>
      </c>
      <c r="U79">
        <f>ROUND((Source!FY47/100)*((ROUND(Source!AF47*Source!I47,2)+ROUND(Source!AE47*Source!I47,2))),2)</f>
        <v>0</v>
      </c>
      <c r="V79">
        <f>Source!Y47</f>
        <v>0</v>
      </c>
      <c r="W79">
        <f>IF(Source!BI47&lt;=1,H79,0)</f>
        <v>-63.24</v>
      </c>
      <c r="X79">
        <f>IF(Source!BI47=2,H79,0)</f>
        <v>0</v>
      </c>
      <c r="Y79">
        <f>IF(Source!BI47=3,H79,0)</f>
        <v>0</v>
      </c>
      <c r="Z79">
        <f>IF(Source!BI47=4,H79,0)</f>
        <v>0</v>
      </c>
    </row>
    <row r="80" spans="1:26" ht="28.5" hidden="1">
      <c r="A80" s="61" t="str">
        <f>Source!E49</f>
        <v>3,7</v>
      </c>
      <c r="B80" s="62" t="str">
        <f>Source!F49</f>
        <v>01.7.20.08-0071</v>
      </c>
      <c r="C80" s="62" t="str">
        <f>Source!G49</f>
        <v>Канат пеньковый пропитанный</v>
      </c>
      <c r="D80" s="49" t="str">
        <f>Source!H49</f>
        <v>т</v>
      </c>
      <c r="E80" s="50">
        <f>Source!I49</f>
        <v>-0.00047149999999999997</v>
      </c>
      <c r="F80" s="51">
        <f>Source!AL49+Source!AM49+Source!AO49</f>
        <v>37900</v>
      </c>
      <c r="G80" s="57" t="s">
        <v>3</v>
      </c>
      <c r="H80" s="53">
        <f>ROUND(Source!AC49*Source!I49,2)+ROUND(Source!AD49*Source!I49,2)+ROUND(Source!AF49*Source!I49,2)</f>
        <v>-17.87</v>
      </c>
      <c r="I80" s="52"/>
      <c r="J80" s="52">
        <f>IF(Source!BC49&lt;&gt;0,Source!BC49,1)</f>
        <v>4.59</v>
      </c>
      <c r="K80" s="53">
        <f>Source!O49</f>
        <v>-82.02</v>
      </c>
      <c r="L80" s="58"/>
      <c r="S80">
        <f>ROUND((Source!FX49/100)*((ROUND(Source!AF49*Source!I49,2)+ROUND(Source!AE49*Source!I49,2))),2)</f>
        <v>0</v>
      </c>
      <c r="T80">
        <f>Source!X49</f>
        <v>0</v>
      </c>
      <c r="U80">
        <f>ROUND((Source!FY49/100)*((ROUND(Source!AF49*Source!I49,2)+ROUND(Source!AE49*Source!I49,2))),2)</f>
        <v>0</v>
      </c>
      <c r="V80">
        <f>Source!Y49</f>
        <v>0</v>
      </c>
      <c r="W80">
        <f>IF(Source!BI49&lt;=1,H80,0)</f>
        <v>-17.87</v>
      </c>
      <c r="X80">
        <f>IF(Source!BI49=2,H80,0)</f>
        <v>0</v>
      </c>
      <c r="Y80">
        <f>IF(Source!BI49=3,H80,0)</f>
        <v>0</v>
      </c>
      <c r="Z80">
        <f>IF(Source!BI49=4,H80,0)</f>
        <v>0</v>
      </c>
    </row>
    <row r="81" spans="7:26" ht="15">
      <c r="G81" s="105">
        <f>H67+H68+H70+H71+H72+SUM(H74:H80)</f>
        <v>941510.22</v>
      </c>
      <c r="H81" s="105"/>
      <c r="J81" s="105">
        <f>K67+K68+K70+K71+K72+SUM(K74:K80)</f>
        <v>1062192.56</v>
      </c>
      <c r="K81" s="105"/>
      <c r="L81" s="55">
        <f>Source!U35</f>
        <v>140.50699999999998</v>
      </c>
      <c r="O81" s="34">
        <f>G81</f>
        <v>941510.22</v>
      </c>
      <c r="P81" s="34">
        <f>J81</f>
        <v>1062192.56</v>
      </c>
      <c r="Q81" s="34">
        <f>L81</f>
        <v>140.50699999999998</v>
      </c>
      <c r="W81">
        <f>IF(Source!BI35&lt;=1,H67+H68+H70+H71+H72,0)</f>
        <v>4013.47</v>
      </c>
      <c r="X81">
        <f>IF(Source!BI35=2,H67+H68+H70+H71+H72,0)</f>
        <v>0</v>
      </c>
      <c r="Y81">
        <f>IF(Source!BI35=3,H67+H68+H70+H71+H72,0)</f>
        <v>0</v>
      </c>
      <c r="Z81">
        <f>IF(Source!BI35=4,H67+H68+H70+H71+H72,0)</f>
        <v>0</v>
      </c>
    </row>
    <row r="83" spans="1:12" ht="15">
      <c r="A83" s="107" t="str">
        <f>CONCATENATE("Итого по разделу: ",IF(Source!G51&lt;&gt;"Новый раздел",Source!G51,""))</f>
        <v>Итого по разделу: Строение 1</v>
      </c>
      <c r="B83" s="107"/>
      <c r="C83" s="107"/>
      <c r="D83" s="107"/>
      <c r="E83" s="107"/>
      <c r="F83" s="107"/>
      <c r="G83" s="106">
        <f>SUM(O44:O82)</f>
        <v>941875.32</v>
      </c>
      <c r="H83" s="106"/>
      <c r="I83" s="39"/>
      <c r="J83" s="106">
        <f>SUM(P44:P82)</f>
        <v>1073226.6800000002</v>
      </c>
      <c r="K83" s="106"/>
      <c r="L83" s="55">
        <f>SUM(Q44:Q82)</f>
        <v>153.65359999999998</v>
      </c>
    </row>
    <row r="86" spans="3:11" ht="14.25">
      <c r="C86" s="108" t="str">
        <f>Source!H80</f>
        <v>итого по разделу</v>
      </c>
      <c r="D86" s="108"/>
      <c r="E86" s="108"/>
      <c r="F86" s="108"/>
      <c r="G86" s="108"/>
      <c r="H86" s="108"/>
      <c r="I86" s="108"/>
      <c r="J86" s="109">
        <f>IF(Source!P80=0,"",Source!P80)</f>
        <v>1073226.68</v>
      </c>
      <c r="K86" s="109"/>
    </row>
    <row r="88" spans="1:12" ht="16.5">
      <c r="A88" s="111" t="str">
        <f>CONCATENATE("Раздел: ",IF(Source!G82&lt;&gt;"Новый раздел",Source!G82,""))</f>
        <v>Раздел: Строение 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22" ht="208.5">
      <c r="A89" s="25" t="str">
        <f>Source!E87</f>
        <v>4</v>
      </c>
      <c r="B89" s="60" t="s">
        <v>424</v>
      </c>
      <c r="C89" s="60" t="s">
        <v>425</v>
      </c>
      <c r="D89" s="42" t="str">
        <f>Source!H87</f>
        <v>100 м2 горизонтальной проекции</v>
      </c>
      <c r="E89" s="12">
        <f>Source!I87</f>
        <v>0.1</v>
      </c>
      <c r="F89" s="43">
        <f>Source!AL87+Source!AM87+Source!AO87</f>
        <v>997.8299999999999</v>
      </c>
      <c r="G89" s="44"/>
      <c r="H89" s="45"/>
      <c r="I89" s="44" t="str">
        <f>Source!BO87</f>
        <v>08-07-002-01</v>
      </c>
      <c r="J89" s="44"/>
      <c r="K89" s="45"/>
      <c r="L89" s="46"/>
      <c r="S89">
        <f>ROUND((Source!FX87/100)*((ROUND(Source!AF87*Source!I87,2)+ROUND(Source!AE87*Source!I87,2))),2)</f>
        <v>76.87</v>
      </c>
      <c r="T89">
        <f>Source!X87</f>
        <v>2619.23</v>
      </c>
      <c r="U89">
        <f>ROUND((Source!FY87/100)*((ROUND(Source!AF87*Source!I87,2)+ROUND(Source!AE87*Source!I87,2))),2)</f>
        <v>47.61</v>
      </c>
      <c r="V89">
        <f>Source!Y87</f>
        <v>1619.16</v>
      </c>
    </row>
    <row r="90" ht="12.75">
      <c r="C90" s="33" t="str">
        <f>"Объем: "&amp;Source!I87&amp;"=10,46/"&amp;"100"</f>
        <v>Объем: 0,1=10,46/100</v>
      </c>
    </row>
    <row r="91" spans="1:18" ht="14.25">
      <c r="A91" s="25"/>
      <c r="B91" s="60"/>
      <c r="C91" s="60" t="s">
        <v>426</v>
      </c>
      <c r="D91" s="42"/>
      <c r="E91" s="12"/>
      <c r="F91" s="43">
        <f>Source!AO87</f>
        <v>606.53</v>
      </c>
      <c r="G91" s="44" t="str">
        <f>Source!DG87</f>
        <v>)*1,15</v>
      </c>
      <c r="H91" s="45">
        <f>ROUND(Source!AF87*Source!I87,2)</f>
        <v>69.75</v>
      </c>
      <c r="I91" s="44"/>
      <c r="J91" s="44">
        <f>IF(Source!BA87&lt;&gt;0,Source!BA87,1)</f>
        <v>34.01</v>
      </c>
      <c r="K91" s="45">
        <f>Source!S87</f>
        <v>2372.23</v>
      </c>
      <c r="L91" s="46"/>
      <c r="R91">
        <f>H91</f>
        <v>69.75</v>
      </c>
    </row>
    <row r="92" spans="1:12" ht="14.25">
      <c r="A92" s="25"/>
      <c r="B92" s="60"/>
      <c r="C92" s="60" t="s">
        <v>106</v>
      </c>
      <c r="D92" s="42"/>
      <c r="E92" s="12"/>
      <c r="F92" s="43">
        <f>Source!AM87</f>
        <v>11.83</v>
      </c>
      <c r="G92" s="44" t="str">
        <f>Source!DE87</f>
        <v>)*1,25</v>
      </c>
      <c r="H92" s="45">
        <f>ROUND(Source!AD87*Source!I87,2)</f>
        <v>1.48</v>
      </c>
      <c r="I92" s="44"/>
      <c r="J92" s="44">
        <f>IF(Source!BB87&lt;&gt;0,Source!BB87,1)</f>
        <v>11.55</v>
      </c>
      <c r="K92" s="45">
        <f>Source!Q87</f>
        <v>17.08</v>
      </c>
      <c r="L92" s="46"/>
    </row>
    <row r="93" spans="1:18" ht="14.25">
      <c r="A93" s="25"/>
      <c r="B93" s="60"/>
      <c r="C93" s="60" t="s">
        <v>427</v>
      </c>
      <c r="D93" s="42"/>
      <c r="E93" s="12"/>
      <c r="F93" s="43">
        <f>Source!AN87</f>
        <v>2.09</v>
      </c>
      <c r="G93" s="44" t="str">
        <f>Source!DF87</f>
        <v>)*1,25</v>
      </c>
      <c r="H93" s="47">
        <f>ROUND(Source!AE87*Source!I87,2)</f>
        <v>0.26</v>
      </c>
      <c r="I93" s="44"/>
      <c r="J93" s="44">
        <f>IF(Source!BS87&lt;&gt;0,Source!BS87,1)</f>
        <v>34.01</v>
      </c>
      <c r="K93" s="47">
        <f>Source!R87</f>
        <v>8.89</v>
      </c>
      <c r="L93" s="46"/>
      <c r="R93">
        <f>H93</f>
        <v>0.26</v>
      </c>
    </row>
    <row r="94" spans="1:12" ht="14.25">
      <c r="A94" s="25"/>
      <c r="B94" s="60"/>
      <c r="C94" s="60" t="s">
        <v>428</v>
      </c>
      <c r="D94" s="42"/>
      <c r="E94" s="12"/>
      <c r="F94" s="43">
        <f>Source!AL87</f>
        <v>379.47</v>
      </c>
      <c r="G94" s="44">
        <f>Source!DD87</f>
      </c>
      <c r="H94" s="45">
        <f>ROUND(Source!AC87*Source!I87,2)</f>
        <v>37.95</v>
      </c>
      <c r="I94" s="44"/>
      <c r="J94" s="44">
        <f>IF(Source!BC87&lt;&gt;0,Source!BC87,1)</f>
        <v>9.14</v>
      </c>
      <c r="K94" s="45">
        <f>Source!P87</f>
        <v>346.84</v>
      </c>
      <c r="L94" s="46"/>
    </row>
    <row r="95" spans="1:12" ht="14.25">
      <c r="A95" s="25"/>
      <c r="B95" s="60"/>
      <c r="C95" s="60" t="s">
        <v>429</v>
      </c>
      <c r="D95" s="42" t="s">
        <v>430</v>
      </c>
      <c r="E95" s="12">
        <f>Source!BZ87</f>
        <v>122</v>
      </c>
      <c r="F95" s="103" t="str">
        <f>CONCATENATE(" )",Source!DL87,Source!FT87,"=",Source!FX87)</f>
        <v> )*0,9=109,8</v>
      </c>
      <c r="G95" s="104"/>
      <c r="H95" s="45">
        <f>SUM(S89:S97)</f>
        <v>76.87</v>
      </c>
      <c r="I95" s="48"/>
      <c r="J95" s="36">
        <f>Source!AT87</f>
        <v>110</v>
      </c>
      <c r="K95" s="45">
        <f>SUM(T89:T97)</f>
        <v>2619.23</v>
      </c>
      <c r="L95" s="46"/>
    </row>
    <row r="96" spans="1:12" ht="14.25">
      <c r="A96" s="25"/>
      <c r="B96" s="60"/>
      <c r="C96" s="60" t="s">
        <v>431</v>
      </c>
      <c r="D96" s="42" t="s">
        <v>430</v>
      </c>
      <c r="E96" s="12">
        <f>Source!CA87</f>
        <v>80</v>
      </c>
      <c r="F96" s="103" t="str">
        <f>CONCATENATE(" )",Source!DM87,Source!FU87,"=",Source!FY87)</f>
        <v> )*0,85=68</v>
      </c>
      <c r="G96" s="104"/>
      <c r="H96" s="45">
        <f>SUM(U89:U97)</f>
        <v>47.61</v>
      </c>
      <c r="I96" s="48"/>
      <c r="J96" s="36">
        <f>Source!AU87</f>
        <v>68</v>
      </c>
      <c r="K96" s="45">
        <f>SUM(V89:V97)</f>
        <v>1619.16</v>
      </c>
      <c r="L96" s="46"/>
    </row>
    <row r="97" spans="1:12" ht="14.25">
      <c r="A97" s="61"/>
      <c r="B97" s="62"/>
      <c r="C97" s="62" t="s">
        <v>432</v>
      </c>
      <c r="D97" s="49" t="s">
        <v>433</v>
      </c>
      <c r="E97" s="50">
        <f>Source!AQ87</f>
        <v>70.2</v>
      </c>
      <c r="F97" s="51"/>
      <c r="G97" s="52" t="str">
        <f>Source!DI87</f>
        <v>)*1,15</v>
      </c>
      <c r="H97" s="53"/>
      <c r="I97" s="52"/>
      <c r="J97" s="52"/>
      <c r="K97" s="53"/>
      <c r="L97" s="54">
        <f>Source!U87</f>
        <v>8.073</v>
      </c>
    </row>
    <row r="98" spans="7:26" ht="15">
      <c r="G98" s="105">
        <f>H91+H92+H94+H95+H96</f>
        <v>233.66000000000003</v>
      </c>
      <c r="H98" s="105"/>
      <c r="J98" s="105">
        <f>K91+K92+K94+K95+K96</f>
        <v>6974.54</v>
      </c>
      <c r="K98" s="105"/>
      <c r="L98" s="55">
        <f>Source!U87</f>
        <v>8.073</v>
      </c>
      <c r="O98" s="34">
        <f>G98</f>
        <v>233.66000000000003</v>
      </c>
      <c r="P98" s="34">
        <f>J98</f>
        <v>6974.54</v>
      </c>
      <c r="Q98" s="34">
        <f>L98</f>
        <v>8.073</v>
      </c>
      <c r="W98">
        <f>IF(Source!BI87&lt;=1,H91+H92+H94+H95+H96,0)</f>
        <v>233.66000000000003</v>
      </c>
      <c r="X98">
        <f>IF(Source!BI87=2,H91+H92+H94+H95+H96,0)</f>
        <v>0</v>
      </c>
      <c r="Y98">
        <f>IF(Source!BI87=3,H91+H92+H94+H95+H96,0)</f>
        <v>0</v>
      </c>
      <c r="Z98">
        <f>IF(Source!BI87=4,H91+H92+H94+H95+H96,0)</f>
        <v>0</v>
      </c>
    </row>
    <row r="99" spans="1:22" ht="28.5">
      <c r="A99" s="25" t="str">
        <f>Source!E89</f>
        <v>5</v>
      </c>
      <c r="B99" s="60" t="str">
        <f>Source!F89</f>
        <v>56-2-2</v>
      </c>
      <c r="C99" s="60" t="str">
        <f>Source!G89</f>
        <v>Демонтаж фасадного остекления (применительно)</v>
      </c>
      <c r="D99" s="42" t="str">
        <f>Source!H89</f>
        <v>100 м2</v>
      </c>
      <c r="E99" s="12">
        <f>Source!I89</f>
        <v>0.08</v>
      </c>
      <c r="F99" s="43">
        <f>Source!AL89+Source!AM89+Source!AO89</f>
        <v>398.87</v>
      </c>
      <c r="G99" s="44"/>
      <c r="H99" s="45"/>
      <c r="I99" s="44" t="str">
        <f>Source!BO89</f>
        <v>56-2-2</v>
      </c>
      <c r="J99" s="44"/>
      <c r="K99" s="45"/>
      <c r="L99" s="46"/>
      <c r="S99">
        <f>ROUND((Source!FX89/100)*((ROUND(Source!AF89*Source!I89,2)+ROUND(Source!AE89*Source!I89,2))),2)</f>
        <v>25.08</v>
      </c>
      <c r="T99">
        <f>Source!X89</f>
        <v>853.06</v>
      </c>
      <c r="U99">
        <f>ROUND((Source!FY89/100)*((ROUND(Source!AF89*Source!I89,2)+ROUND(Source!AE89*Source!I89,2))),2)</f>
        <v>18.96</v>
      </c>
      <c r="V99">
        <f>Source!Y89</f>
        <v>645</v>
      </c>
    </row>
    <row r="100" ht="12.75">
      <c r="C100" s="33" t="str">
        <f>"Объем: "&amp;Source!I89&amp;"=8,064/"&amp;"100"</f>
        <v>Объем: 0,08=8,064/100</v>
      </c>
    </row>
    <row r="101" spans="1:18" ht="14.25">
      <c r="A101" s="25"/>
      <c r="B101" s="60"/>
      <c r="C101" s="60" t="s">
        <v>426</v>
      </c>
      <c r="D101" s="42"/>
      <c r="E101" s="12"/>
      <c r="F101" s="43">
        <f>Source!AO89</f>
        <v>369.8</v>
      </c>
      <c r="G101" s="44">
        <f>Source!DG89</f>
      </c>
      <c r="H101" s="45">
        <f>ROUND(Source!AF89*Source!I89,2)</f>
        <v>29.58</v>
      </c>
      <c r="I101" s="44"/>
      <c r="J101" s="44">
        <f>IF(Source!BA89&lt;&gt;0,Source!BA89,1)</f>
        <v>34.01</v>
      </c>
      <c r="K101" s="45">
        <f>Source!S89</f>
        <v>1006.15</v>
      </c>
      <c r="L101" s="46"/>
      <c r="R101">
        <f>H101</f>
        <v>29.58</v>
      </c>
    </row>
    <row r="102" spans="1:12" ht="14.25">
      <c r="A102" s="25"/>
      <c r="B102" s="60"/>
      <c r="C102" s="60" t="s">
        <v>106</v>
      </c>
      <c r="D102" s="42"/>
      <c r="E102" s="12"/>
      <c r="F102" s="43">
        <f>Source!AM89</f>
        <v>29.07</v>
      </c>
      <c r="G102" s="44">
        <f>Source!DE89</f>
      </c>
      <c r="H102" s="45">
        <f>ROUND(Source!AD89*Source!I89,2)</f>
        <v>2.33</v>
      </c>
      <c r="I102" s="44"/>
      <c r="J102" s="44">
        <f>IF(Source!BB89&lt;&gt;0,Source!BB89,1)</f>
        <v>15.18</v>
      </c>
      <c r="K102" s="45">
        <f>Source!Q89</f>
        <v>35.3</v>
      </c>
      <c r="L102" s="46"/>
    </row>
    <row r="103" spans="1:18" ht="14.25">
      <c r="A103" s="25"/>
      <c r="B103" s="60"/>
      <c r="C103" s="60" t="s">
        <v>427</v>
      </c>
      <c r="D103" s="42"/>
      <c r="E103" s="12"/>
      <c r="F103" s="43">
        <f>Source!AN89</f>
        <v>12.56</v>
      </c>
      <c r="G103" s="44">
        <f>Source!DF89</f>
      </c>
      <c r="H103" s="47">
        <f>ROUND(Source!AE89*Source!I89,2)</f>
        <v>1</v>
      </c>
      <c r="I103" s="44"/>
      <c r="J103" s="44">
        <f>IF(Source!BS89&lt;&gt;0,Source!BS89,1)</f>
        <v>34.01</v>
      </c>
      <c r="K103" s="47">
        <f>Source!R89</f>
        <v>34.17</v>
      </c>
      <c r="L103" s="46"/>
      <c r="R103">
        <f>H103</f>
        <v>1</v>
      </c>
    </row>
    <row r="104" spans="1:12" ht="14.25">
      <c r="A104" s="25"/>
      <c r="B104" s="60"/>
      <c r="C104" s="60" t="s">
        <v>429</v>
      </c>
      <c r="D104" s="42" t="s">
        <v>430</v>
      </c>
      <c r="E104" s="12">
        <f>Source!BZ89</f>
        <v>82</v>
      </c>
      <c r="F104" s="63"/>
      <c r="G104" s="44"/>
      <c r="H104" s="45">
        <f>SUM(S99:S107)</f>
        <v>25.08</v>
      </c>
      <c r="I104" s="48"/>
      <c r="J104" s="36">
        <f>Source!AT89</f>
        <v>82</v>
      </c>
      <c r="K104" s="45">
        <f>SUM(T99:T107)</f>
        <v>853.06</v>
      </c>
      <c r="L104" s="46"/>
    </row>
    <row r="105" spans="1:12" ht="14.25">
      <c r="A105" s="25"/>
      <c r="B105" s="60"/>
      <c r="C105" s="60" t="s">
        <v>431</v>
      </c>
      <c r="D105" s="42" t="s">
        <v>430</v>
      </c>
      <c r="E105" s="12">
        <f>Source!CA89</f>
        <v>62</v>
      </c>
      <c r="F105" s="63"/>
      <c r="G105" s="44"/>
      <c r="H105" s="45">
        <f>SUM(U99:U107)</f>
        <v>18.96</v>
      </c>
      <c r="I105" s="48"/>
      <c r="J105" s="36">
        <f>Source!AU89</f>
        <v>62</v>
      </c>
      <c r="K105" s="45">
        <f>SUM(V99:V107)</f>
        <v>645</v>
      </c>
      <c r="L105" s="46"/>
    </row>
    <row r="106" spans="1:12" ht="14.25">
      <c r="A106" s="25"/>
      <c r="B106" s="60"/>
      <c r="C106" s="60" t="s">
        <v>432</v>
      </c>
      <c r="D106" s="42" t="s">
        <v>433</v>
      </c>
      <c r="E106" s="12">
        <f>Source!AQ89</f>
        <v>46.11</v>
      </c>
      <c r="F106" s="43"/>
      <c r="G106" s="44">
        <f>Source!DI89</f>
      </c>
      <c r="H106" s="45"/>
      <c r="I106" s="44"/>
      <c r="J106" s="44"/>
      <c r="K106" s="45"/>
      <c r="L106" s="56">
        <f>Source!U89</f>
        <v>3.6888</v>
      </c>
    </row>
    <row r="107" spans="1:26" ht="14.25">
      <c r="A107" s="61" t="str">
        <f>Source!E91</f>
        <v>5,1</v>
      </c>
      <c r="B107" s="62" t="str">
        <f>Source!F91</f>
        <v>999-9900</v>
      </c>
      <c r="C107" s="62" t="str">
        <f>Source!G91</f>
        <v>Строительный мусор</v>
      </c>
      <c r="D107" s="49" t="str">
        <f>Source!H91</f>
        <v>т</v>
      </c>
      <c r="E107" s="50">
        <f>Source!I91</f>
        <v>0.2736</v>
      </c>
      <c r="F107" s="51">
        <f>Source!AL91+Source!AM91+Source!AO91</f>
        <v>0</v>
      </c>
      <c r="G107" s="57" t="s">
        <v>3</v>
      </c>
      <c r="H107" s="53">
        <f>ROUND(Source!AC91*Source!I91,2)+ROUND(Source!AD91*Source!I91,2)+ROUND(Source!AF91*Source!I91,2)</f>
        <v>0</v>
      </c>
      <c r="I107" s="52"/>
      <c r="J107" s="52">
        <f>IF(Source!BC91&lt;&gt;0,Source!BC91,1)</f>
        <v>1</v>
      </c>
      <c r="K107" s="53">
        <f>Source!O91</f>
        <v>0</v>
      </c>
      <c r="L107" s="58"/>
      <c r="S107">
        <f>ROUND((Source!FX91/100)*((ROUND(Source!AF91*Source!I91,2)+ROUND(Source!AE91*Source!I91,2))),2)</f>
        <v>0</v>
      </c>
      <c r="T107">
        <f>Source!X91</f>
        <v>0</v>
      </c>
      <c r="U107">
        <f>ROUND((Source!FY91/100)*((ROUND(Source!AF91*Source!I91,2)+ROUND(Source!AE91*Source!I91,2))),2)</f>
        <v>0</v>
      </c>
      <c r="V107">
        <f>Source!Y91</f>
        <v>0</v>
      </c>
      <c r="W107">
        <f>IF(Source!BI91&lt;=1,H107,0)</f>
        <v>0</v>
      </c>
      <c r="X107">
        <f>IF(Source!BI91=2,H107,0)</f>
        <v>0</v>
      </c>
      <c r="Y107">
        <f>IF(Source!BI91=3,H107,0)</f>
        <v>0</v>
      </c>
      <c r="Z107">
        <f>IF(Source!BI91=4,H107,0)</f>
        <v>0</v>
      </c>
    </row>
    <row r="108" spans="7:26" ht="15">
      <c r="G108" s="105">
        <f>H101+H102+H104+H105+SUM(H107:H107)</f>
        <v>75.94999999999999</v>
      </c>
      <c r="H108" s="105"/>
      <c r="J108" s="105">
        <f>K101+K102+K104+K105+SUM(K107:K107)</f>
        <v>2539.51</v>
      </c>
      <c r="K108" s="105"/>
      <c r="L108" s="55">
        <f>Source!U89</f>
        <v>3.6888</v>
      </c>
      <c r="O108" s="34">
        <f>G108</f>
        <v>75.94999999999999</v>
      </c>
      <c r="P108" s="34">
        <f>J108</f>
        <v>2539.51</v>
      </c>
      <c r="Q108" s="34">
        <f>L108</f>
        <v>3.6888</v>
      </c>
      <c r="W108">
        <f>IF(Source!BI89&lt;=1,H101+H102+H104+H105,0)</f>
        <v>75.94999999999999</v>
      </c>
      <c r="X108">
        <f>IF(Source!BI89=2,H101+H102+H104+H105,0)</f>
        <v>0</v>
      </c>
      <c r="Y108">
        <f>IF(Source!BI89=3,H101+H102+H104+H105,0)</f>
        <v>0</v>
      </c>
      <c r="Z108">
        <f>IF(Source!BI89=4,H101+H102+H104+H105,0)</f>
        <v>0</v>
      </c>
    </row>
    <row r="109" spans="1:22" ht="234">
      <c r="A109" s="25" t="str">
        <f>Source!E93</f>
        <v>6</v>
      </c>
      <c r="B109" s="60" t="s">
        <v>436</v>
      </c>
      <c r="C109" s="60" t="s">
        <v>437</v>
      </c>
      <c r="D109" s="42" t="str">
        <f>Source!H93</f>
        <v>100 м2</v>
      </c>
      <c r="E109" s="12">
        <f>Source!I93</f>
        <v>0.04</v>
      </c>
      <c r="F109" s="43">
        <f>Source!AL93+Source!AM93+Source!AO93</f>
        <v>7069.360000000001</v>
      </c>
      <c r="G109" s="44"/>
      <c r="H109" s="45"/>
      <c r="I109" s="44" t="str">
        <f>Source!BO93</f>
        <v>10-01-047-02</v>
      </c>
      <c r="J109" s="44"/>
      <c r="K109" s="45"/>
      <c r="L109" s="46"/>
      <c r="S109">
        <f>ROUND((Source!FX93/100)*((ROUND(Source!AF93*Source!I93,2)+ROUND(Source!AE93*Source!I93,2))),2)</f>
        <v>37.93</v>
      </c>
      <c r="T109">
        <f>Source!X93</f>
        <v>1287.82</v>
      </c>
      <c r="U109">
        <f>ROUND((Source!FY93/100)*((ROUND(Source!AF93*Source!I93,2)+ROUND(Source!AE93*Source!I93,2))),2)</f>
        <v>19.13</v>
      </c>
      <c r="V109">
        <f>Source!Y93</f>
        <v>656.06</v>
      </c>
    </row>
    <row r="110" ht="12.75">
      <c r="C110" s="33" t="str">
        <f>"Объем: "&amp;Source!I93&amp;"=4,032/"&amp;"100"</f>
        <v>Объем: 0,04=4,032/100</v>
      </c>
    </row>
    <row r="111" spans="1:18" ht="14.25">
      <c r="A111" s="25"/>
      <c r="B111" s="60"/>
      <c r="C111" s="60" t="s">
        <v>426</v>
      </c>
      <c r="D111" s="42"/>
      <c r="E111" s="12"/>
      <c r="F111" s="43">
        <f>Source!AO93</f>
        <v>1071.26</v>
      </c>
      <c r="G111" s="44" t="str">
        <f>Source!DG93</f>
        <v>)*0,8</v>
      </c>
      <c r="H111" s="45">
        <f>ROUND(Source!AF93*Source!I93,2)</f>
        <v>34.28</v>
      </c>
      <c r="I111" s="44"/>
      <c r="J111" s="44">
        <f>IF(Source!BA93&lt;&gt;0,Source!BA93,1)</f>
        <v>34.01</v>
      </c>
      <c r="K111" s="45">
        <f>Source!S93</f>
        <v>1165.87</v>
      </c>
      <c r="L111" s="46"/>
      <c r="R111">
        <f>H111</f>
        <v>34.28</v>
      </c>
    </row>
    <row r="112" spans="1:12" ht="14.25">
      <c r="A112" s="25"/>
      <c r="B112" s="60"/>
      <c r="C112" s="60" t="s">
        <v>106</v>
      </c>
      <c r="D112" s="42"/>
      <c r="E112" s="12"/>
      <c r="F112" s="43">
        <f>Source!AM93</f>
        <v>231.79</v>
      </c>
      <c r="G112" s="44" t="str">
        <f>Source!DE93</f>
        <v>)*0,8</v>
      </c>
      <c r="H112" s="45">
        <f>ROUND(Source!AD93*Source!I93,2)</f>
        <v>7.42</v>
      </c>
      <c r="I112" s="44"/>
      <c r="J112" s="44">
        <f>IF(Source!BB93&lt;&gt;0,Source!BB93,1)</f>
        <v>11.81</v>
      </c>
      <c r="K112" s="45">
        <f>Source!Q93</f>
        <v>87.6</v>
      </c>
      <c r="L112" s="46"/>
    </row>
    <row r="113" spans="1:18" ht="14.25">
      <c r="A113" s="25"/>
      <c r="B113" s="60"/>
      <c r="C113" s="60" t="s">
        <v>427</v>
      </c>
      <c r="D113" s="42"/>
      <c r="E113" s="12"/>
      <c r="F113" s="43">
        <f>Source!AN93</f>
        <v>45.07</v>
      </c>
      <c r="G113" s="44" t="str">
        <f>Source!DF93</f>
        <v>)*0,8</v>
      </c>
      <c r="H113" s="47">
        <f>ROUND(Source!AE93*Source!I93,2)</f>
        <v>1.44</v>
      </c>
      <c r="I113" s="44"/>
      <c r="J113" s="44">
        <f>IF(Source!BS93&lt;&gt;0,Source!BS93,1)</f>
        <v>34.01</v>
      </c>
      <c r="K113" s="47">
        <f>Source!R93</f>
        <v>49.05</v>
      </c>
      <c r="L113" s="46"/>
      <c r="R113">
        <f>H113</f>
        <v>1.44</v>
      </c>
    </row>
    <row r="114" spans="1:12" ht="14.25">
      <c r="A114" s="25"/>
      <c r="B114" s="60"/>
      <c r="C114" s="60" t="s">
        <v>429</v>
      </c>
      <c r="D114" s="42" t="s">
        <v>430</v>
      </c>
      <c r="E114" s="12">
        <f>Source!BZ93</f>
        <v>118</v>
      </c>
      <c r="F114" s="103" t="str">
        <f>CONCATENATE(" )",Source!DL93,Source!FT93,"=",Source!FX93)</f>
        <v> )*0,9=106,2</v>
      </c>
      <c r="G114" s="104"/>
      <c r="H114" s="45">
        <f>SUM(S109:S116)</f>
        <v>37.93</v>
      </c>
      <c r="I114" s="48"/>
      <c r="J114" s="36">
        <f>Source!AT93</f>
        <v>106</v>
      </c>
      <c r="K114" s="45">
        <f>SUM(T109:T116)</f>
        <v>1287.82</v>
      </c>
      <c r="L114" s="46"/>
    </row>
    <row r="115" spans="1:12" ht="14.25">
      <c r="A115" s="25"/>
      <c r="B115" s="60"/>
      <c r="C115" s="60" t="s">
        <v>431</v>
      </c>
      <c r="D115" s="42" t="s">
        <v>430</v>
      </c>
      <c r="E115" s="12">
        <f>Source!CA93</f>
        <v>63</v>
      </c>
      <c r="F115" s="103" t="str">
        <f>CONCATENATE(" )",Source!DM93,Source!FU93,"=",Source!FY93)</f>
        <v> )*0,85=53,55</v>
      </c>
      <c r="G115" s="104"/>
      <c r="H115" s="45">
        <f>SUM(U109:U116)</f>
        <v>19.13</v>
      </c>
      <c r="I115" s="48"/>
      <c r="J115" s="36">
        <f>Source!AU93</f>
        <v>54</v>
      </c>
      <c r="K115" s="45">
        <f>SUM(V109:V116)</f>
        <v>656.06</v>
      </c>
      <c r="L115" s="46"/>
    </row>
    <row r="116" spans="1:12" ht="14.25">
      <c r="A116" s="61"/>
      <c r="B116" s="62"/>
      <c r="C116" s="62" t="s">
        <v>432</v>
      </c>
      <c r="D116" s="49" t="s">
        <v>433</v>
      </c>
      <c r="E116" s="50">
        <f>Source!AQ93</f>
        <v>122.57</v>
      </c>
      <c r="F116" s="51"/>
      <c r="G116" s="52" t="str">
        <f>Source!DI93</f>
        <v>)*0,8</v>
      </c>
      <c r="H116" s="53"/>
      <c r="I116" s="52"/>
      <c r="J116" s="52"/>
      <c r="K116" s="53"/>
      <c r="L116" s="54">
        <f>Source!U93</f>
        <v>3.92224</v>
      </c>
    </row>
    <row r="117" spans="7:26" ht="15">
      <c r="G117" s="105">
        <f>H111+H112+H114+H115</f>
        <v>98.75999999999999</v>
      </c>
      <c r="H117" s="105"/>
      <c r="J117" s="105">
        <f>K111+K112+K114+K115</f>
        <v>3197.35</v>
      </c>
      <c r="K117" s="105"/>
      <c r="L117" s="55">
        <f>Source!U93</f>
        <v>3.92224</v>
      </c>
      <c r="O117" s="34">
        <f>G117</f>
        <v>98.75999999999999</v>
      </c>
      <c r="P117" s="34">
        <f>J117</f>
        <v>3197.35</v>
      </c>
      <c r="Q117" s="34">
        <f>L117</f>
        <v>3.92224</v>
      </c>
      <c r="W117">
        <f>IF(Source!BI93&lt;=1,H111+H112+H114+H115,0)</f>
        <v>98.75999999999999</v>
      </c>
      <c r="X117">
        <f>IF(Source!BI93=2,H111+H112+H114+H115,0)</f>
        <v>0</v>
      </c>
      <c r="Y117">
        <f>IF(Source!BI93=3,H111+H112+H114+H115,0)</f>
        <v>0</v>
      </c>
      <c r="Z117">
        <f>IF(Source!BI93=4,H111+H112+H114+H115,0)</f>
        <v>0</v>
      </c>
    </row>
    <row r="118" spans="1:22" ht="208.5">
      <c r="A118" s="25" t="str">
        <f>Source!E95</f>
        <v>7</v>
      </c>
      <c r="B118" s="60" t="s">
        <v>434</v>
      </c>
      <c r="C118" s="60" t="s">
        <v>435</v>
      </c>
      <c r="D118" s="42" t="str">
        <f>Source!H95</f>
        <v>100 м2</v>
      </c>
      <c r="E118" s="12">
        <f>Source!I95</f>
        <v>0.35</v>
      </c>
      <c r="F118" s="43">
        <f>Source!AL95+Source!AM95+Source!AO95</f>
        <v>3848.9500000000003</v>
      </c>
      <c r="G118" s="44"/>
      <c r="H118" s="45"/>
      <c r="I118" s="44" t="str">
        <f>Source!BO95</f>
        <v>09-03-046-01</v>
      </c>
      <c r="J118" s="44"/>
      <c r="K118" s="45"/>
      <c r="L118" s="46"/>
      <c r="S118">
        <f>ROUND((Source!FX95/100)*((ROUND(Source!AF95*Source!I95,2)+ROUND(Source!AE95*Source!I95,2))),2)</f>
        <v>989.07</v>
      </c>
      <c r="T118">
        <f>Source!X95</f>
        <v>33637.95</v>
      </c>
      <c r="U118">
        <f>ROUND((Source!FY95/100)*((ROUND(Source!AF95*Source!I95,2)+ROUND(Source!AE95*Source!I95,2))),2)</f>
        <v>882.22</v>
      </c>
      <c r="V118">
        <f>Source!Y95</f>
        <v>29900.4</v>
      </c>
    </row>
    <row r="119" ht="12.75">
      <c r="C119" s="33" t="str">
        <f>"Объем: "&amp;Source!I95&amp;"=34,54/"&amp;"100"</f>
        <v>Объем: 0,35=34,54/100</v>
      </c>
    </row>
    <row r="120" spans="1:18" ht="14.25">
      <c r="A120" s="25"/>
      <c r="B120" s="60"/>
      <c r="C120" s="60" t="s">
        <v>426</v>
      </c>
      <c r="D120" s="42"/>
      <c r="E120" s="12"/>
      <c r="F120" s="43">
        <f>Source!AO95</f>
        <v>2997.88</v>
      </c>
      <c r="G120" s="44" t="str">
        <f>Source!DG95</f>
        <v>)*1,15</v>
      </c>
      <c r="H120" s="45">
        <f>ROUND(Source!AF95*Source!I95,2)</f>
        <v>1206.65</v>
      </c>
      <c r="I120" s="44"/>
      <c r="J120" s="44">
        <f>IF(Source!BA95&lt;&gt;0,Source!BA95,1)</f>
        <v>34.01</v>
      </c>
      <c r="K120" s="45">
        <f>Source!S95</f>
        <v>41038.05</v>
      </c>
      <c r="L120" s="46"/>
      <c r="R120">
        <f>H120</f>
        <v>1206.65</v>
      </c>
    </row>
    <row r="121" spans="1:12" ht="14.25">
      <c r="A121" s="25"/>
      <c r="B121" s="60"/>
      <c r="C121" s="60" t="s">
        <v>106</v>
      </c>
      <c r="D121" s="42"/>
      <c r="E121" s="12"/>
      <c r="F121" s="43">
        <f>Source!AM95</f>
        <v>575.19</v>
      </c>
      <c r="G121" s="44" t="str">
        <f>Source!DE95</f>
        <v>)*1,25</v>
      </c>
      <c r="H121" s="45">
        <f>ROUND(Source!AD95*Source!I95,2)</f>
        <v>251.65</v>
      </c>
      <c r="I121" s="44"/>
      <c r="J121" s="44">
        <f>IF(Source!BB95&lt;&gt;0,Source!BB95,1)</f>
        <v>7.05</v>
      </c>
      <c r="K121" s="45">
        <f>Source!Q95</f>
        <v>1774.1</v>
      </c>
      <c r="L121" s="46"/>
    </row>
    <row r="122" spans="1:18" ht="14.25">
      <c r="A122" s="25"/>
      <c r="B122" s="60"/>
      <c r="C122" s="60" t="s">
        <v>427</v>
      </c>
      <c r="D122" s="42"/>
      <c r="E122" s="12"/>
      <c r="F122" s="43">
        <f>Source!AN95</f>
        <v>32.95</v>
      </c>
      <c r="G122" s="44" t="str">
        <f>Source!DF95</f>
        <v>)*1,25</v>
      </c>
      <c r="H122" s="47">
        <f>ROUND(Source!AE95*Source!I95,2)</f>
        <v>14.42</v>
      </c>
      <c r="I122" s="44"/>
      <c r="J122" s="44">
        <f>IF(Source!BS95&lt;&gt;0,Source!BS95,1)</f>
        <v>34.01</v>
      </c>
      <c r="K122" s="47">
        <f>Source!R95</f>
        <v>490.28</v>
      </c>
      <c r="L122" s="46"/>
      <c r="R122">
        <f>H122</f>
        <v>14.42</v>
      </c>
    </row>
    <row r="123" spans="1:12" ht="14.25">
      <c r="A123" s="25"/>
      <c r="B123" s="60"/>
      <c r="C123" s="60" t="s">
        <v>428</v>
      </c>
      <c r="D123" s="42"/>
      <c r="E123" s="12"/>
      <c r="F123" s="43">
        <f>Source!AL95</f>
        <v>275.88</v>
      </c>
      <c r="G123" s="44">
        <f>Source!DD95</f>
      </c>
      <c r="H123" s="45">
        <f>ROUND(Source!AC95*Source!I95,2)</f>
        <v>96.56</v>
      </c>
      <c r="I123" s="44"/>
      <c r="J123" s="44">
        <f>IF(Source!BC95&lt;&gt;0,Source!BC95,1)</f>
        <v>7.28</v>
      </c>
      <c r="K123" s="45">
        <f>Source!P95</f>
        <v>702.94</v>
      </c>
      <c r="L123" s="46"/>
    </row>
    <row r="124" spans="1:12" ht="14.25">
      <c r="A124" s="25"/>
      <c r="B124" s="60"/>
      <c r="C124" s="60" t="s">
        <v>429</v>
      </c>
      <c r="D124" s="42" t="s">
        <v>430</v>
      </c>
      <c r="E124" s="12">
        <f>Source!BZ95</f>
        <v>90</v>
      </c>
      <c r="F124" s="103" t="str">
        <f>CONCATENATE(" )",Source!DL95,Source!FT95,"=",Source!FX95)</f>
        <v> )*0,9=81</v>
      </c>
      <c r="G124" s="104"/>
      <c r="H124" s="45">
        <f>SUM(S118:S133)</f>
        <v>989.07</v>
      </c>
      <c r="I124" s="48"/>
      <c r="J124" s="36">
        <f>Source!AT95</f>
        <v>81</v>
      </c>
      <c r="K124" s="45">
        <f>SUM(T118:T133)</f>
        <v>33637.95</v>
      </c>
      <c r="L124" s="46"/>
    </row>
    <row r="125" spans="1:12" ht="14.25">
      <c r="A125" s="25"/>
      <c r="B125" s="60"/>
      <c r="C125" s="60" t="s">
        <v>431</v>
      </c>
      <c r="D125" s="42" t="s">
        <v>430</v>
      </c>
      <c r="E125" s="12">
        <f>Source!CA95</f>
        <v>85</v>
      </c>
      <c r="F125" s="103" t="str">
        <f>CONCATENATE(" )",Source!DM95,Source!FU95,"=",Source!FY95)</f>
        <v> )*0,85=72,25</v>
      </c>
      <c r="G125" s="104"/>
      <c r="H125" s="45">
        <f>SUM(U118:U133)</f>
        <v>882.22</v>
      </c>
      <c r="I125" s="48"/>
      <c r="J125" s="36">
        <f>Source!AU95</f>
        <v>72</v>
      </c>
      <c r="K125" s="45">
        <f>SUM(V118:V133)</f>
        <v>29900.4</v>
      </c>
      <c r="L125" s="46"/>
    </row>
    <row r="126" spans="1:12" ht="14.25">
      <c r="A126" s="25"/>
      <c r="B126" s="60"/>
      <c r="C126" s="60" t="s">
        <v>432</v>
      </c>
      <c r="D126" s="42" t="s">
        <v>433</v>
      </c>
      <c r="E126" s="12">
        <f>Source!AQ95</f>
        <v>298</v>
      </c>
      <c r="F126" s="43"/>
      <c r="G126" s="44" t="str">
        <f>Source!DI95</f>
        <v>)*1,15</v>
      </c>
      <c r="H126" s="45"/>
      <c r="I126" s="44"/>
      <c r="J126" s="44"/>
      <c r="K126" s="45"/>
      <c r="L126" s="56">
        <f>Source!U95</f>
        <v>119.945</v>
      </c>
    </row>
    <row r="127" spans="1:26" ht="99.75">
      <c r="A127" s="25" t="str">
        <f>Source!E97</f>
        <v>7,1</v>
      </c>
      <c r="B127" s="60" t="str">
        <f>Source!F97</f>
        <v>Цена Поставщика</v>
      </c>
      <c r="C127" s="60" t="str">
        <f>Source!G97</f>
        <v>(Д-2) Перегородка наружная 1920х2100 из алюминиевой системы с дверным блоком 1400х2080 (ШхВ) (ручка скоба офисная, замок с цилиндром, шпингалеты на пассивную створку). Заполнение 5м1-10-5м1-10-5м1. Окрашенная в цвет RAL</v>
      </c>
      <c r="D127" s="42" t="str">
        <f>Source!H97</f>
        <v>ШТ</v>
      </c>
      <c r="E127" s="12">
        <f>Source!I97</f>
        <v>2.9999999999999996</v>
      </c>
      <c r="F127" s="43">
        <f>Source!AL97+Source!AM97+Source!AO97</f>
        <v>97157.83</v>
      </c>
      <c r="G127" s="59" t="s">
        <v>3</v>
      </c>
      <c r="H127" s="45">
        <f>ROUND(Source!AC97*Source!I97,2)+ROUND(Source!AD97*Source!I97,2)+ROUND(Source!AF97*Source!I97,2)</f>
        <v>291473.49</v>
      </c>
      <c r="I127" s="44"/>
      <c r="J127" s="44">
        <f>IF(Source!BC97&lt;&gt;0,Source!BC97,1)</f>
        <v>1</v>
      </c>
      <c r="K127" s="45">
        <f>Source!O97</f>
        <v>291473.49</v>
      </c>
      <c r="L127" s="46"/>
      <c r="S127">
        <f>ROUND((Source!FX97/100)*((ROUND(Source!AF97*Source!I97,2)+ROUND(Source!AE97*Source!I97,2))),2)</f>
        <v>0</v>
      </c>
      <c r="T127">
        <f>Source!X97</f>
        <v>0</v>
      </c>
      <c r="U127">
        <f>ROUND((Source!FY97/100)*((ROUND(Source!AF97*Source!I97,2)+ROUND(Source!AE97*Source!I97,2))),2)</f>
        <v>0</v>
      </c>
      <c r="V127">
        <f>Source!Y97</f>
        <v>0</v>
      </c>
      <c r="W127">
        <f>IF(Source!BI97&lt;=1,H127,0)</f>
        <v>291473.49</v>
      </c>
      <c r="X127">
        <f>IF(Source!BI97=2,H127,0)</f>
        <v>0</v>
      </c>
      <c r="Y127">
        <f>IF(Source!BI97=3,H127,0)</f>
        <v>0</v>
      </c>
      <c r="Z127">
        <f>IF(Source!BI97=4,H127,0)</f>
        <v>0</v>
      </c>
    </row>
    <row r="128" spans="1:26" ht="71.25">
      <c r="A128" s="25" t="str">
        <f>Source!E99</f>
        <v>7,2</v>
      </c>
      <c r="B128" s="60" t="str">
        <f>Source!F99</f>
        <v>Цена Поставщика</v>
      </c>
      <c r="C128" s="60" t="str">
        <f>Source!G99</f>
        <v>(ПС-1) Внутренняя алюминиевая перегородка светопрозрачная противопожарная EIW-45 6150x4400 (ШхВ) с противопожарным стеклом. Окрашенная в цвет RAL</v>
      </c>
      <c r="D128" s="42" t="str">
        <f>Source!H99</f>
        <v>ШТ</v>
      </c>
      <c r="E128" s="12">
        <f>Source!I99</f>
        <v>1</v>
      </c>
      <c r="F128" s="43">
        <f>Source!AL99+Source!AM99+Source!AO99</f>
        <v>591873.49</v>
      </c>
      <c r="G128" s="59" t="s">
        <v>3</v>
      </c>
      <c r="H128" s="45">
        <f>ROUND(Source!AC99*Source!I99,2)+ROUND(Source!AD99*Source!I99,2)+ROUND(Source!AF99*Source!I99,2)</f>
        <v>591873.49</v>
      </c>
      <c r="I128" s="44"/>
      <c r="J128" s="44">
        <f>IF(Source!BC99&lt;&gt;0,Source!BC99,1)</f>
        <v>1</v>
      </c>
      <c r="K128" s="45">
        <f>Source!O99</f>
        <v>591873.49</v>
      </c>
      <c r="L128" s="46"/>
      <c r="S128">
        <f>ROUND((Source!FX99/100)*((ROUND(Source!AF99*Source!I99,2)+ROUND(Source!AE99*Source!I99,2))),2)</f>
        <v>0</v>
      </c>
      <c r="T128">
        <f>Source!X99</f>
        <v>0</v>
      </c>
      <c r="U128">
        <f>ROUND((Source!FY99/100)*((ROUND(Source!AF99*Source!I99,2)+ROUND(Source!AE99*Source!I99,2))),2)</f>
        <v>0</v>
      </c>
      <c r="V128">
        <f>Source!Y99</f>
        <v>0</v>
      </c>
      <c r="W128">
        <f>IF(Source!BI99&lt;=1,H128,0)</f>
        <v>591873.49</v>
      </c>
      <c r="X128">
        <f>IF(Source!BI99=2,H128,0)</f>
        <v>0</v>
      </c>
      <c r="Y128">
        <f>IF(Source!BI99=3,H128,0)</f>
        <v>0</v>
      </c>
      <c r="Z128">
        <f>IF(Source!BI99=4,H128,0)</f>
        <v>0</v>
      </c>
    </row>
    <row r="129" spans="1:26" ht="71.25">
      <c r="A129" s="25" t="str">
        <f>Source!E101</f>
        <v>7,3</v>
      </c>
      <c r="B129" s="60" t="str">
        <f>Source!F101</f>
        <v>Цена Поставщика</v>
      </c>
      <c r="C129" s="60" t="str">
        <f>Source!G101</f>
        <v>(ПС-2) Внутренняя алюминиевая перегородка светопрозрачная противопожарная EIW-45 1700x4400 (ШхВ) с противопожарным стеклом. Окрашенная цвет RAL</v>
      </c>
      <c r="D129" s="42" t="str">
        <f>Source!H101</f>
        <v>ШТ</v>
      </c>
      <c r="E129" s="12">
        <f>Source!I101</f>
        <v>1</v>
      </c>
      <c r="F129" s="43">
        <f>Source!AL101+Source!AM101+Source!AO101</f>
        <v>191854.09</v>
      </c>
      <c r="G129" s="59" t="s">
        <v>3</v>
      </c>
      <c r="H129" s="45">
        <f>ROUND(Source!AC101*Source!I101,2)+ROUND(Source!AD101*Source!I101,2)+ROUND(Source!AF101*Source!I101,2)</f>
        <v>191854.09</v>
      </c>
      <c r="I129" s="44"/>
      <c r="J129" s="44">
        <f>IF(Source!BC101&lt;&gt;0,Source!BC101,1)</f>
        <v>1</v>
      </c>
      <c r="K129" s="45">
        <f>Source!O101</f>
        <v>191854.09</v>
      </c>
      <c r="L129" s="46"/>
      <c r="S129">
        <f>ROUND((Source!FX101/100)*((ROUND(Source!AF101*Source!I101,2)+ROUND(Source!AE101*Source!I101,2))),2)</f>
        <v>0</v>
      </c>
      <c r="T129">
        <f>Source!X101</f>
        <v>0</v>
      </c>
      <c r="U129">
        <f>ROUND((Source!FY101/100)*((ROUND(Source!AF101*Source!I101,2)+ROUND(Source!AE101*Source!I101,2))),2)</f>
        <v>0</v>
      </c>
      <c r="V129">
        <f>Source!Y101</f>
        <v>0</v>
      </c>
      <c r="W129">
        <f>IF(Source!BI101&lt;=1,H129,0)</f>
        <v>191854.09</v>
      </c>
      <c r="X129">
        <f>IF(Source!BI101=2,H129,0)</f>
        <v>0</v>
      </c>
      <c r="Y129">
        <f>IF(Source!BI101=3,H129,0)</f>
        <v>0</v>
      </c>
      <c r="Z129">
        <f>IF(Source!BI101=4,H129,0)</f>
        <v>0</v>
      </c>
    </row>
    <row r="130" spans="1:26" ht="71.25" hidden="1">
      <c r="A130" s="25" t="str">
        <f>Source!E103</f>
        <v>7,4</v>
      </c>
      <c r="B130" s="60" t="str">
        <f>Source!F103</f>
        <v>07.2.07.12-0020</v>
      </c>
      <c r="C130" s="60" t="str">
        <f>Source!G103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D130" s="42" t="str">
        <f>Source!H103</f>
        <v>т</v>
      </c>
      <c r="E130" s="12">
        <f>Source!I103</f>
        <v>-0.006999999999999999</v>
      </c>
      <c r="F130" s="43">
        <f>Source!AL103+Source!AM103+Source!AO103</f>
        <v>7712</v>
      </c>
      <c r="G130" s="59" t="s">
        <v>3</v>
      </c>
      <c r="H130" s="45">
        <f>ROUND(Source!AC103*Source!I103,2)+ROUND(Source!AD103*Source!I103,2)+ROUND(Source!AF103*Source!I103,2)</f>
        <v>-53.98</v>
      </c>
      <c r="I130" s="44"/>
      <c r="J130" s="44">
        <f>IF(Source!BC103&lt;&gt;0,Source!BC103,1)</f>
        <v>8.87</v>
      </c>
      <c r="K130" s="45">
        <f>Source!O103</f>
        <v>-478.84</v>
      </c>
      <c r="L130" s="46"/>
      <c r="S130">
        <f>ROUND((Source!FX103/100)*((ROUND(Source!AF103*Source!I103,2)+ROUND(Source!AE103*Source!I103,2))),2)</f>
        <v>0</v>
      </c>
      <c r="T130">
        <f>Source!X103</f>
        <v>0</v>
      </c>
      <c r="U130">
        <f>ROUND((Source!FY103/100)*((ROUND(Source!AF103*Source!I103,2)+ROUND(Source!AE103*Source!I103,2))),2)</f>
        <v>0</v>
      </c>
      <c r="V130">
        <f>Source!Y103</f>
        <v>0</v>
      </c>
      <c r="W130">
        <f>IF(Source!BI103&lt;=1,H130,0)</f>
        <v>-53.98</v>
      </c>
      <c r="X130">
        <f>IF(Source!BI103=2,H130,0)</f>
        <v>0</v>
      </c>
      <c r="Y130">
        <f>IF(Source!BI103=3,H130,0)</f>
        <v>0</v>
      </c>
      <c r="Z130">
        <f>IF(Source!BI103=4,H130,0)</f>
        <v>0</v>
      </c>
    </row>
    <row r="131" spans="1:26" ht="57" hidden="1">
      <c r="A131" s="25" t="str">
        <f>Source!E105</f>
        <v>7,5</v>
      </c>
      <c r="B131" s="60" t="str">
        <f>Source!F105</f>
        <v>08.2.02.11-0007</v>
      </c>
      <c r="C131" s="60" t="str">
        <f>Source!G105</f>
        <v>Канат двойной свивки ТК, конструкции 6х19(1+6+12)+1 о.с., оцинкованный, из проволок марки В, маркировочная группа 1770 н/мм2, диаметр 5,5 мм</v>
      </c>
      <c r="D131" s="42" t="str">
        <f>Source!H105</f>
        <v>10 м</v>
      </c>
      <c r="E131" s="12">
        <f>Source!I105</f>
        <v>-0.07</v>
      </c>
      <c r="F131" s="43">
        <f>Source!AL105+Source!AM105+Source!AO105</f>
        <v>50.24</v>
      </c>
      <c r="G131" s="59" t="s">
        <v>3</v>
      </c>
      <c r="H131" s="45">
        <f>ROUND(Source!AC105*Source!I105,2)+ROUND(Source!AD105*Source!I105,2)+ROUND(Source!AF105*Source!I105,2)</f>
        <v>-3.52</v>
      </c>
      <c r="I131" s="44"/>
      <c r="J131" s="44">
        <f>IF(Source!BC105&lt;&gt;0,Source!BC105,1)</f>
        <v>6.09</v>
      </c>
      <c r="K131" s="45">
        <f>Source!O105</f>
        <v>-21.42</v>
      </c>
      <c r="L131" s="46"/>
      <c r="S131">
        <f>ROUND((Source!FX105/100)*((ROUND(Source!AF105*Source!I105,2)+ROUND(Source!AE105*Source!I105,2))),2)</f>
        <v>0</v>
      </c>
      <c r="T131">
        <f>Source!X105</f>
        <v>0</v>
      </c>
      <c r="U131">
        <f>ROUND((Source!FY105/100)*((ROUND(Source!AF105*Source!I105,2)+ROUND(Source!AE105*Source!I105,2))),2)</f>
        <v>0</v>
      </c>
      <c r="V131">
        <f>Source!Y105</f>
        <v>0</v>
      </c>
      <c r="W131">
        <f>IF(Source!BI105&lt;=1,H131,0)</f>
        <v>-3.52</v>
      </c>
      <c r="X131">
        <f>IF(Source!BI105=2,H131,0)</f>
        <v>0</v>
      </c>
      <c r="Y131">
        <f>IF(Source!BI105=3,H131,0)</f>
        <v>0</v>
      </c>
      <c r="Z131">
        <f>IF(Source!BI105=4,H131,0)</f>
        <v>0</v>
      </c>
    </row>
    <row r="132" spans="1:26" ht="42.75" hidden="1">
      <c r="A132" s="25" t="str">
        <f>Source!E107</f>
        <v>7,6</v>
      </c>
      <c r="B132" s="60" t="str">
        <f>Source!F107</f>
        <v>11.1.03.01-0077</v>
      </c>
      <c r="C132" s="60" t="str">
        <f>Source!G107</f>
        <v>Бруски обрезные, хвойных пород, длина 4-6,5 м, ширина 75-150 мм, толщина 40-75 мм, сорт I</v>
      </c>
      <c r="D132" s="42" t="str">
        <f>Source!H107</f>
        <v>м3</v>
      </c>
      <c r="E132" s="12">
        <f>Source!I107</f>
        <v>-0.013999999999999999</v>
      </c>
      <c r="F132" s="43">
        <f>Source!AL107+Source!AM107+Source!AO107</f>
        <v>1700</v>
      </c>
      <c r="G132" s="59" t="s">
        <v>3</v>
      </c>
      <c r="H132" s="45">
        <f>ROUND(Source!AC107*Source!I107,2)+ROUND(Source!AD107*Source!I107,2)+ROUND(Source!AF107*Source!I107,2)</f>
        <v>-23.8</v>
      </c>
      <c r="I132" s="44"/>
      <c r="J132" s="44">
        <f>IF(Source!BC107&lt;&gt;0,Source!BC107,1)</f>
        <v>5.55</v>
      </c>
      <c r="K132" s="45">
        <f>Source!O107</f>
        <v>-132.09</v>
      </c>
      <c r="L132" s="46"/>
      <c r="S132">
        <f>ROUND((Source!FX107/100)*((ROUND(Source!AF107*Source!I107,2)+ROUND(Source!AE107*Source!I107,2))),2)</f>
        <v>0</v>
      </c>
      <c r="T132">
        <f>Source!X107</f>
        <v>0</v>
      </c>
      <c r="U132">
        <f>ROUND((Source!FY107/100)*((ROUND(Source!AF107*Source!I107,2)+ROUND(Source!AE107*Source!I107,2))),2)</f>
        <v>0</v>
      </c>
      <c r="V132">
        <f>Source!Y107</f>
        <v>0</v>
      </c>
      <c r="W132">
        <f>IF(Source!BI107&lt;=1,H132,0)</f>
        <v>-23.8</v>
      </c>
      <c r="X132">
        <f>IF(Source!BI107=2,H132,0)</f>
        <v>0</v>
      </c>
      <c r="Y132">
        <f>IF(Source!BI107=3,H132,0)</f>
        <v>0</v>
      </c>
      <c r="Z132">
        <f>IF(Source!BI107=4,H132,0)</f>
        <v>0</v>
      </c>
    </row>
    <row r="133" spans="1:26" ht="28.5" hidden="1">
      <c r="A133" s="61" t="str">
        <f>Source!E109</f>
        <v>7,7</v>
      </c>
      <c r="B133" s="62" t="str">
        <f>Source!F109</f>
        <v>01.7.20.08-0071</v>
      </c>
      <c r="C133" s="62" t="str">
        <f>Source!G109</f>
        <v>Канат пеньковый пропитанный</v>
      </c>
      <c r="D133" s="49" t="str">
        <f>Source!H109</f>
        <v>т</v>
      </c>
      <c r="E133" s="50">
        <f>Source!I109</f>
        <v>-0.000403</v>
      </c>
      <c r="F133" s="51">
        <f>Source!AL109+Source!AM109+Source!AO109</f>
        <v>37900</v>
      </c>
      <c r="G133" s="57" t="s">
        <v>3</v>
      </c>
      <c r="H133" s="53">
        <f>ROUND(Source!AC109*Source!I109,2)+ROUND(Source!AD109*Source!I109,2)+ROUND(Source!AF109*Source!I109,2)</f>
        <v>-15.27</v>
      </c>
      <c r="I133" s="52"/>
      <c r="J133" s="52">
        <f>IF(Source!BC109&lt;&gt;0,Source!BC109,1)</f>
        <v>4.59</v>
      </c>
      <c r="K133" s="53">
        <f>Source!O109</f>
        <v>-70.11</v>
      </c>
      <c r="L133" s="58"/>
      <c r="S133">
        <f>ROUND((Source!FX109/100)*((ROUND(Source!AF109*Source!I109,2)+ROUND(Source!AE109*Source!I109,2))),2)</f>
        <v>0</v>
      </c>
      <c r="T133">
        <f>Source!X109</f>
        <v>0</v>
      </c>
      <c r="U133">
        <f>ROUND((Source!FY109/100)*((ROUND(Source!AF109*Source!I109,2)+ROUND(Source!AE109*Source!I109,2))),2)</f>
        <v>0</v>
      </c>
      <c r="V133">
        <f>Source!Y109</f>
        <v>0</v>
      </c>
      <c r="W133">
        <f>IF(Source!BI109&lt;=1,H133,0)</f>
        <v>-15.27</v>
      </c>
      <c r="X133">
        <f>IF(Source!BI109=2,H133,0)</f>
        <v>0</v>
      </c>
      <c r="Y133">
        <f>IF(Source!BI109=3,H133,0)</f>
        <v>0</v>
      </c>
      <c r="Z133">
        <f>IF(Source!BI109=4,H133,0)</f>
        <v>0</v>
      </c>
    </row>
    <row r="134" spans="7:26" ht="15">
      <c r="G134" s="105">
        <f>H120+H121+H123+H124+H125+SUM(H127:H133)</f>
        <v>1078530.65</v>
      </c>
      <c r="H134" s="105"/>
      <c r="J134" s="105">
        <f>K120+K121+K123+K124+K125+SUM(K127:K133)</f>
        <v>1181552.0499999998</v>
      </c>
      <c r="K134" s="105"/>
      <c r="L134" s="55">
        <f>Source!U95</f>
        <v>119.945</v>
      </c>
      <c r="O134" s="34">
        <f>G134</f>
        <v>1078530.65</v>
      </c>
      <c r="P134" s="34">
        <f>J134</f>
        <v>1181552.0499999998</v>
      </c>
      <c r="Q134" s="34">
        <f>L134</f>
        <v>119.945</v>
      </c>
      <c r="W134">
        <f>IF(Source!BI95&lt;=1,H120+H121+H123+H124+H125,0)</f>
        <v>3426.1500000000005</v>
      </c>
      <c r="X134">
        <f>IF(Source!BI95=2,H120+H121+H123+H124+H125,0)</f>
        <v>0</v>
      </c>
      <c r="Y134">
        <f>IF(Source!BI95=3,H120+H121+H123+H124+H125,0)</f>
        <v>0</v>
      </c>
      <c r="Z134">
        <f>IF(Source!BI95=4,H120+H121+H123+H124+H125,0)</f>
        <v>0</v>
      </c>
    </row>
    <row r="135" spans="1:22" ht="42.75">
      <c r="A135" s="25" t="str">
        <f>Source!E111</f>
        <v>8</v>
      </c>
      <c r="B135" s="60" t="str">
        <f>Source!F111</f>
        <v>56-9-1</v>
      </c>
      <c r="C135" s="60" t="str">
        <f>Source!G111</f>
        <v>Демонтаж дверных коробок: в каменных стенах с отбивкой штукатурки в откосах</v>
      </c>
      <c r="D135" s="42" t="str">
        <f>Source!H111</f>
        <v>100 ШТ</v>
      </c>
      <c r="E135" s="12">
        <f>Source!I111</f>
        <v>0.01</v>
      </c>
      <c r="F135" s="43">
        <f>Source!AL111+Source!AM111+Source!AO111</f>
        <v>1643.9</v>
      </c>
      <c r="G135" s="44"/>
      <c r="H135" s="45"/>
      <c r="I135" s="44" t="str">
        <f>Source!BO111</f>
        <v>56-9-1</v>
      </c>
      <c r="J135" s="44"/>
      <c r="K135" s="45"/>
      <c r="L135" s="46"/>
      <c r="S135">
        <f>ROUND((Source!FX111/100)*((ROUND(Source!AF111*Source!I111,2)+ROUND(Source!AE111*Source!I111,2))),2)</f>
        <v>11.79</v>
      </c>
      <c r="T135">
        <f>Source!X111</f>
        <v>401.03</v>
      </c>
      <c r="U135">
        <f>ROUND((Source!FY111/100)*((ROUND(Source!AF111*Source!I111,2)+ROUND(Source!AE111*Source!I111,2))),2)</f>
        <v>8.92</v>
      </c>
      <c r="V135">
        <f>Source!Y111</f>
        <v>303.22</v>
      </c>
    </row>
    <row r="136" ht="12.75">
      <c r="C136" s="33" t="str">
        <f>"Объем: "&amp;Source!I111&amp;"=1/"&amp;"100"</f>
        <v>Объем: 0,01=1/100</v>
      </c>
    </row>
    <row r="137" spans="1:18" ht="14.25">
      <c r="A137" s="25"/>
      <c r="B137" s="60"/>
      <c r="C137" s="60" t="s">
        <v>426</v>
      </c>
      <c r="D137" s="42"/>
      <c r="E137" s="12"/>
      <c r="F137" s="43">
        <f>Source!AO111</f>
        <v>1437.99</v>
      </c>
      <c r="G137" s="44">
        <f>Source!DG111</f>
      </c>
      <c r="H137" s="45">
        <f>ROUND(Source!AF111*Source!I111,2)</f>
        <v>14.38</v>
      </c>
      <c r="I137" s="44"/>
      <c r="J137" s="44">
        <f>IF(Source!BA111&lt;&gt;0,Source!BA111,1)</f>
        <v>34.01</v>
      </c>
      <c r="K137" s="45">
        <f>Source!S111</f>
        <v>489.06</v>
      </c>
      <c r="L137" s="46"/>
      <c r="R137">
        <f>H137</f>
        <v>14.38</v>
      </c>
    </row>
    <row r="138" spans="1:12" ht="14.25">
      <c r="A138" s="25"/>
      <c r="B138" s="60"/>
      <c r="C138" s="60" t="s">
        <v>106</v>
      </c>
      <c r="D138" s="42"/>
      <c r="E138" s="12"/>
      <c r="F138" s="43">
        <f>Source!AM111</f>
        <v>205.91</v>
      </c>
      <c r="G138" s="44">
        <f>Source!DE111</f>
      </c>
      <c r="H138" s="45">
        <f>ROUND(Source!AD111*Source!I111,2)</f>
        <v>2.06</v>
      </c>
      <c r="I138" s="44"/>
      <c r="J138" s="44">
        <f>IF(Source!BB111&lt;&gt;0,Source!BB111,1)</f>
        <v>2.89</v>
      </c>
      <c r="K138" s="45">
        <f>Source!Q111</f>
        <v>5.95</v>
      </c>
      <c r="L138" s="46"/>
    </row>
    <row r="139" spans="1:12" ht="14.25">
      <c r="A139" s="25"/>
      <c r="B139" s="60"/>
      <c r="C139" s="60" t="s">
        <v>429</v>
      </c>
      <c r="D139" s="42" t="s">
        <v>430</v>
      </c>
      <c r="E139" s="12">
        <f>Source!BZ111</f>
        <v>82</v>
      </c>
      <c r="F139" s="63"/>
      <c r="G139" s="44"/>
      <c r="H139" s="45">
        <f>SUM(S135:S142)</f>
        <v>11.79</v>
      </c>
      <c r="I139" s="48"/>
      <c r="J139" s="36">
        <f>Source!AT111</f>
        <v>82</v>
      </c>
      <c r="K139" s="45">
        <f>SUM(T135:T142)</f>
        <v>401.03</v>
      </c>
      <c r="L139" s="46"/>
    </row>
    <row r="140" spans="1:12" ht="14.25">
      <c r="A140" s="25"/>
      <c r="B140" s="60"/>
      <c r="C140" s="60" t="s">
        <v>431</v>
      </c>
      <c r="D140" s="42" t="s">
        <v>430</v>
      </c>
      <c r="E140" s="12">
        <f>Source!CA111</f>
        <v>62</v>
      </c>
      <c r="F140" s="63"/>
      <c r="G140" s="44"/>
      <c r="H140" s="45">
        <f>SUM(U135:U142)</f>
        <v>8.92</v>
      </c>
      <c r="I140" s="48"/>
      <c r="J140" s="36">
        <f>Source!AU111</f>
        <v>62</v>
      </c>
      <c r="K140" s="45">
        <f>SUM(V135:V142)</f>
        <v>303.22</v>
      </c>
      <c r="L140" s="46"/>
    </row>
    <row r="141" spans="1:12" ht="14.25">
      <c r="A141" s="25"/>
      <c r="B141" s="60"/>
      <c r="C141" s="60" t="s">
        <v>432</v>
      </c>
      <c r="D141" s="42" t="s">
        <v>433</v>
      </c>
      <c r="E141" s="12">
        <f>Source!AQ111</f>
        <v>179.3</v>
      </c>
      <c r="F141" s="43"/>
      <c r="G141" s="44">
        <f>Source!DI111</f>
      </c>
      <c r="H141" s="45"/>
      <c r="I141" s="44"/>
      <c r="J141" s="44"/>
      <c r="K141" s="45"/>
      <c r="L141" s="56">
        <f>Source!U111</f>
        <v>1.7930000000000001</v>
      </c>
    </row>
    <row r="142" spans="1:26" ht="14.25">
      <c r="A142" s="61" t="str">
        <f>Source!E113</f>
        <v>8,1</v>
      </c>
      <c r="B142" s="62" t="str">
        <f>Source!F113</f>
        <v>999-9900</v>
      </c>
      <c r="C142" s="62" t="str">
        <f>Source!G113</f>
        <v>Строительный мусор</v>
      </c>
      <c r="D142" s="49" t="str">
        <f>Source!H113</f>
        <v>т</v>
      </c>
      <c r="E142" s="50">
        <f>Source!I113</f>
        <v>0.105</v>
      </c>
      <c r="F142" s="51">
        <f>Source!AL113+Source!AM113+Source!AO113</f>
        <v>0</v>
      </c>
      <c r="G142" s="57" t="s">
        <v>3</v>
      </c>
      <c r="H142" s="53">
        <f>ROUND(Source!AC113*Source!I113,2)+ROUND(Source!AD113*Source!I113,2)+ROUND(Source!AF113*Source!I113,2)</f>
        <v>0</v>
      </c>
      <c r="I142" s="52"/>
      <c r="J142" s="52">
        <f>IF(Source!BC113&lt;&gt;0,Source!BC113,1)</f>
        <v>1</v>
      </c>
      <c r="K142" s="53">
        <f>Source!O113</f>
        <v>0</v>
      </c>
      <c r="L142" s="58"/>
      <c r="S142">
        <f>ROUND((Source!FX113/100)*((ROUND(Source!AF113*Source!I113,2)+ROUND(Source!AE113*Source!I113,2))),2)</f>
        <v>0</v>
      </c>
      <c r="T142">
        <f>Source!X113</f>
        <v>0</v>
      </c>
      <c r="U142">
        <f>ROUND((Source!FY113/100)*((ROUND(Source!AF113*Source!I113,2)+ROUND(Source!AE113*Source!I113,2))),2)</f>
        <v>0</v>
      </c>
      <c r="V142">
        <f>Source!Y113</f>
        <v>0</v>
      </c>
      <c r="W142">
        <f>IF(Source!BI113&lt;=1,H142,0)</f>
        <v>0</v>
      </c>
      <c r="X142">
        <f>IF(Source!BI113=2,H142,0)</f>
        <v>0</v>
      </c>
      <c r="Y142">
        <f>IF(Source!BI113=3,H142,0)</f>
        <v>0</v>
      </c>
      <c r="Z142">
        <f>IF(Source!BI113=4,H142,0)</f>
        <v>0</v>
      </c>
    </row>
    <row r="143" spans="7:26" ht="15">
      <c r="G143" s="105">
        <f>H137+H138+H139+H140+SUM(H142:H142)</f>
        <v>37.15</v>
      </c>
      <c r="H143" s="105"/>
      <c r="J143" s="105">
        <f>K137+K138+K139+K140+SUM(K142:K142)</f>
        <v>1199.26</v>
      </c>
      <c r="K143" s="105"/>
      <c r="L143" s="55">
        <f>Source!U111</f>
        <v>1.7930000000000001</v>
      </c>
      <c r="O143" s="34">
        <f>G143</f>
        <v>37.15</v>
      </c>
      <c r="P143" s="34">
        <f>J143</f>
        <v>1199.26</v>
      </c>
      <c r="Q143" s="34">
        <f>L143</f>
        <v>1.7930000000000001</v>
      </c>
      <c r="W143">
        <f>IF(Source!BI111&lt;=1,H137+H138+H139+H140,0)</f>
        <v>37.15</v>
      </c>
      <c r="X143">
        <f>IF(Source!BI111=2,H137+H138+H139+H140,0)</f>
        <v>0</v>
      </c>
      <c r="Y143">
        <f>IF(Source!BI111=3,H137+H138+H139+H140,0)</f>
        <v>0</v>
      </c>
      <c r="Z143">
        <f>IF(Source!BI111=4,H137+H138+H139+H140,0)</f>
        <v>0</v>
      </c>
    </row>
    <row r="144" spans="1:22" ht="194.25">
      <c r="A144" s="25" t="str">
        <f>Source!E115</f>
        <v>9</v>
      </c>
      <c r="B144" s="60" t="s">
        <v>438</v>
      </c>
      <c r="C144" s="60" t="s">
        <v>439</v>
      </c>
      <c r="D144" s="42" t="str">
        <f>Source!H115</f>
        <v>м2</v>
      </c>
      <c r="E144" s="12">
        <f>Source!I115</f>
        <v>2.34</v>
      </c>
      <c r="F144" s="43">
        <f>Source!AL115+Source!AM115+Source!AO115</f>
        <v>87.14</v>
      </c>
      <c r="G144" s="44"/>
      <c r="H144" s="45"/>
      <c r="I144" s="44" t="str">
        <f>Source!BO115</f>
        <v>09-04-013-02</v>
      </c>
      <c r="J144" s="44"/>
      <c r="K144" s="45"/>
      <c r="L144" s="46"/>
      <c r="S144">
        <f>ROUND((Source!FX115/100)*((ROUND(Source!AF115*Source!I115,2)+ROUND(Source!AE115*Source!I115,2))),2)</f>
        <v>61.51</v>
      </c>
      <c r="T144">
        <f>Source!X115</f>
        <v>2092</v>
      </c>
      <c r="U144">
        <f>ROUND((Source!FY115/100)*((ROUND(Source!AF115*Source!I115,2)+ROUND(Source!AE115*Source!I115,2))),2)</f>
        <v>54.87</v>
      </c>
      <c r="V144">
        <f>Source!Y115</f>
        <v>1859.56</v>
      </c>
    </row>
    <row r="145" spans="1:18" ht="14.25">
      <c r="A145" s="25"/>
      <c r="B145" s="60"/>
      <c r="C145" s="60" t="s">
        <v>426</v>
      </c>
      <c r="D145" s="42"/>
      <c r="E145" s="12"/>
      <c r="F145" s="43">
        <f>Source!AO115</f>
        <v>27.97</v>
      </c>
      <c r="G145" s="44" t="str">
        <f>Source!DG115</f>
        <v>)*1,15</v>
      </c>
      <c r="H145" s="45">
        <f>ROUND(Source!AF115*Source!I115,2)</f>
        <v>75.27</v>
      </c>
      <c r="I145" s="44"/>
      <c r="J145" s="44">
        <f>IF(Source!BA115&lt;&gt;0,Source!BA115,1)</f>
        <v>34.01</v>
      </c>
      <c r="K145" s="45">
        <f>Source!S115</f>
        <v>2559.84</v>
      </c>
      <c r="L145" s="46"/>
      <c r="R145">
        <f>H145</f>
        <v>75.27</v>
      </c>
    </row>
    <row r="146" spans="1:12" ht="14.25">
      <c r="A146" s="25"/>
      <c r="B146" s="60"/>
      <c r="C146" s="60" t="s">
        <v>106</v>
      </c>
      <c r="D146" s="42"/>
      <c r="E146" s="12"/>
      <c r="F146" s="43">
        <f>Source!AM115</f>
        <v>7.22</v>
      </c>
      <c r="G146" s="44" t="str">
        <f>Source!DE115</f>
        <v>)*1,25</v>
      </c>
      <c r="H146" s="45">
        <f>ROUND(Source!AD115*Source!I115,2)</f>
        <v>21.12</v>
      </c>
      <c r="I146" s="44"/>
      <c r="J146" s="44">
        <f>IF(Source!BB115&lt;&gt;0,Source!BB115,1)</f>
        <v>6.24</v>
      </c>
      <c r="K146" s="45">
        <f>Source!Q115</f>
        <v>131.78</v>
      </c>
      <c r="L146" s="46"/>
    </row>
    <row r="147" spans="1:18" ht="14.25">
      <c r="A147" s="25"/>
      <c r="B147" s="60"/>
      <c r="C147" s="60" t="s">
        <v>427</v>
      </c>
      <c r="D147" s="42"/>
      <c r="E147" s="12"/>
      <c r="F147" s="43">
        <f>Source!AN115</f>
        <v>0.23</v>
      </c>
      <c r="G147" s="44" t="str">
        <f>Source!DF115</f>
        <v>)*1,25</v>
      </c>
      <c r="H147" s="47">
        <f>ROUND(Source!AE115*Source!I115,2)</f>
        <v>0.67</v>
      </c>
      <c r="I147" s="44"/>
      <c r="J147" s="44">
        <f>IF(Source!BS115&lt;&gt;0,Source!BS115,1)</f>
        <v>34.01</v>
      </c>
      <c r="K147" s="47">
        <f>Source!R115</f>
        <v>22.88</v>
      </c>
      <c r="L147" s="46"/>
      <c r="R147">
        <f>H147</f>
        <v>0.67</v>
      </c>
    </row>
    <row r="148" spans="1:12" ht="14.25">
      <c r="A148" s="25"/>
      <c r="B148" s="60"/>
      <c r="C148" s="60" t="s">
        <v>428</v>
      </c>
      <c r="D148" s="42"/>
      <c r="E148" s="12"/>
      <c r="F148" s="43">
        <f>Source!AL115</f>
        <v>51.95</v>
      </c>
      <c r="G148" s="44">
        <f>Source!DD115</f>
      </c>
      <c r="H148" s="45">
        <f>ROUND(Source!AC115*Source!I115,2)</f>
        <v>121.56</v>
      </c>
      <c r="I148" s="44"/>
      <c r="J148" s="44">
        <f>IF(Source!BC115&lt;&gt;0,Source!BC115,1)</f>
        <v>12.37</v>
      </c>
      <c r="K148" s="45">
        <f>Source!P115</f>
        <v>1503.73</v>
      </c>
      <c r="L148" s="46"/>
    </row>
    <row r="149" spans="1:12" ht="14.25">
      <c r="A149" s="25"/>
      <c r="B149" s="60"/>
      <c r="C149" s="60" t="s">
        <v>429</v>
      </c>
      <c r="D149" s="42" t="s">
        <v>430</v>
      </c>
      <c r="E149" s="12">
        <f>Source!BZ115</f>
        <v>90</v>
      </c>
      <c r="F149" s="103" t="str">
        <f>CONCATENATE(" )",Source!DL115,Source!FT115,"=",Source!FX115)</f>
        <v> )*0,9=81</v>
      </c>
      <c r="G149" s="104"/>
      <c r="H149" s="45">
        <f>SUM(S144:S152)</f>
        <v>61.51</v>
      </c>
      <c r="I149" s="48"/>
      <c r="J149" s="36">
        <f>Source!AT115</f>
        <v>81</v>
      </c>
      <c r="K149" s="45">
        <f>SUM(T144:T152)</f>
        <v>2092</v>
      </c>
      <c r="L149" s="46"/>
    </row>
    <row r="150" spans="1:12" ht="14.25">
      <c r="A150" s="25"/>
      <c r="B150" s="60"/>
      <c r="C150" s="60" t="s">
        <v>431</v>
      </c>
      <c r="D150" s="42" t="s">
        <v>430</v>
      </c>
      <c r="E150" s="12">
        <f>Source!CA115</f>
        <v>85</v>
      </c>
      <c r="F150" s="103" t="str">
        <f>CONCATENATE(" )",Source!DM115,Source!FU115,"=",Source!FY115)</f>
        <v> )*0,85=72,25</v>
      </c>
      <c r="G150" s="104"/>
      <c r="H150" s="45">
        <f>SUM(U144:U152)</f>
        <v>54.87</v>
      </c>
      <c r="I150" s="48"/>
      <c r="J150" s="36">
        <f>Source!AU115</f>
        <v>72</v>
      </c>
      <c r="K150" s="45">
        <f>SUM(V144:V152)</f>
        <v>1859.56</v>
      </c>
      <c r="L150" s="46"/>
    </row>
    <row r="151" spans="1:12" ht="14.25">
      <c r="A151" s="25"/>
      <c r="B151" s="60"/>
      <c r="C151" s="60" t="s">
        <v>432</v>
      </c>
      <c r="D151" s="42" t="s">
        <v>433</v>
      </c>
      <c r="E151" s="12">
        <f>Source!AQ115</f>
        <v>2.78</v>
      </c>
      <c r="F151" s="43"/>
      <c r="G151" s="44" t="str">
        <f>Source!DI115</f>
        <v>)*1,15</v>
      </c>
      <c r="H151" s="45"/>
      <c r="I151" s="44"/>
      <c r="J151" s="44"/>
      <c r="K151" s="45"/>
      <c r="L151" s="56">
        <f>Source!U115</f>
        <v>7.480979999999999</v>
      </c>
    </row>
    <row r="152" spans="1:26" ht="57">
      <c r="A152" s="61" t="str">
        <f>Source!E117</f>
        <v>9,1</v>
      </c>
      <c r="B152" s="62" t="str">
        <f>Source!F117</f>
        <v>Цена Поставщика</v>
      </c>
      <c r="C152" s="62" t="str">
        <f>Source!G117</f>
        <v>(Д-1)  Дверь металлическая 1300х1800, ДПМ-02 EI60, нажимной гарнитур, замок, цилиндр ключ-ключ, доводчик на одну створку, шпингалеты (2шт).</v>
      </c>
      <c r="D152" s="49" t="str">
        <f>Source!H117</f>
        <v>ШТ</v>
      </c>
      <c r="E152" s="50">
        <f>Source!I117</f>
        <v>0.999999</v>
      </c>
      <c r="F152" s="51">
        <f>Source!AL117+Source!AM117+Source!AO117</f>
        <v>70334.19</v>
      </c>
      <c r="G152" s="57" t="s">
        <v>3</v>
      </c>
      <c r="H152" s="53">
        <f>ROUND(Source!AC117*Source!I117,2)+ROUND(Source!AD117*Source!I117,2)+ROUND(Source!AF117*Source!I117,2)</f>
        <v>70334.12</v>
      </c>
      <c r="I152" s="52"/>
      <c r="J152" s="52">
        <f>IF(Source!BC117&lt;&gt;0,Source!BC117,1)</f>
        <v>1</v>
      </c>
      <c r="K152" s="53">
        <f>Source!O117</f>
        <v>70334.12</v>
      </c>
      <c r="L152" s="58"/>
      <c r="S152">
        <f>ROUND((Source!FX117/100)*((ROUND(Source!AF117*Source!I117,2)+ROUND(Source!AE117*Source!I117,2))),2)</f>
        <v>0</v>
      </c>
      <c r="T152">
        <f>Source!X117</f>
        <v>0</v>
      </c>
      <c r="U152">
        <f>ROUND((Source!FY117/100)*((ROUND(Source!AF117*Source!I117,2)+ROUND(Source!AE117*Source!I117,2))),2)</f>
        <v>0</v>
      </c>
      <c r="V152">
        <f>Source!Y117</f>
        <v>0</v>
      </c>
      <c r="W152">
        <f>IF(Source!BI117&lt;=1,H152,0)</f>
        <v>70334.12</v>
      </c>
      <c r="X152">
        <f>IF(Source!BI117=2,H152,0)</f>
        <v>0</v>
      </c>
      <c r="Y152">
        <f>IF(Source!BI117=3,H152,0)</f>
        <v>0</v>
      </c>
      <c r="Z152">
        <f>IF(Source!BI117=4,H152,0)</f>
        <v>0</v>
      </c>
    </row>
    <row r="153" spans="7:26" ht="15">
      <c r="G153" s="105">
        <f>H145+H146+H148+H149+H150+SUM(H152:H152)</f>
        <v>70668.45</v>
      </c>
      <c r="H153" s="105"/>
      <c r="J153" s="105">
        <f>K145+K146+K148+K149+K150+SUM(K152:K152)</f>
        <v>78481.03</v>
      </c>
      <c r="K153" s="105"/>
      <c r="L153" s="55">
        <f>Source!U115</f>
        <v>7.480979999999999</v>
      </c>
      <c r="O153" s="34">
        <f>G153</f>
        <v>70668.45</v>
      </c>
      <c r="P153" s="34">
        <f>J153</f>
        <v>78481.03</v>
      </c>
      <c r="Q153" s="34">
        <f>L153</f>
        <v>7.480979999999999</v>
      </c>
      <c r="W153">
        <f>IF(Source!BI115&lt;=1,H145+H146+H148+H149+H150,0)</f>
        <v>334.33</v>
      </c>
      <c r="X153">
        <f>IF(Source!BI115=2,H145+H146+H148+H149+H150,0)</f>
        <v>0</v>
      </c>
      <c r="Y153">
        <f>IF(Source!BI115=3,H145+H146+H148+H149+H150,0)</f>
        <v>0</v>
      </c>
      <c r="Z153">
        <f>IF(Source!BI115=4,H145+H146+H148+H149+H150,0)</f>
        <v>0</v>
      </c>
    </row>
    <row r="155" spans="1:12" ht="15">
      <c r="A155" s="107" t="str">
        <f>CONCATENATE("Итого по разделу: ",IF(Source!G119&lt;&gt;"Новый раздел",Source!G119,""))</f>
        <v>Итого по разделу: Строение 2</v>
      </c>
      <c r="B155" s="107"/>
      <c r="C155" s="107"/>
      <c r="D155" s="107"/>
      <c r="E155" s="107"/>
      <c r="F155" s="107"/>
      <c r="G155" s="106">
        <f>SUM(O88:O154)</f>
        <v>1149644.6199999999</v>
      </c>
      <c r="H155" s="106"/>
      <c r="I155" s="39"/>
      <c r="J155" s="106">
        <f>SUM(P88:P154)</f>
        <v>1273943.7399999998</v>
      </c>
      <c r="K155" s="106"/>
      <c r="L155" s="55">
        <f>SUM(Q88:Q154)</f>
        <v>144.90302</v>
      </c>
    </row>
    <row r="159" spans="1:12" ht="16.5">
      <c r="A159" s="111" t="str">
        <f>CONCATENATE("Раздел: ",IF(Source!G149&lt;&gt;"Новый раздел",Source!G149,""))</f>
        <v>Раздел: Разные работы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1:22" ht="42.75">
      <c r="A160" s="61" t="str">
        <f>Source!E154</f>
        <v>10</v>
      </c>
      <c r="B160" s="62" t="str">
        <f>Source!F154</f>
        <v>т01-01-01-041</v>
      </c>
      <c r="C160" s="62" t="str">
        <f>Source!G154</f>
        <v>Погрузочные работы при автомобильных перевозках мусора строительного с погрузкой вручную</v>
      </c>
      <c r="D160" s="49" t="str">
        <f>Source!H154</f>
        <v>1 Т ГРУЗА</v>
      </c>
      <c r="E160" s="50">
        <f>Source!I154</f>
        <v>0.52</v>
      </c>
      <c r="F160" s="51">
        <f>Source!AK154</f>
        <v>42.98</v>
      </c>
      <c r="G160" s="52">
        <f>Source!DC154</f>
      </c>
      <c r="H160" s="53">
        <f>ROUND(Source!AB154*Source!I154,2)</f>
        <v>22.35</v>
      </c>
      <c r="I160" s="52" t="str">
        <f>Source!BO154</f>
        <v>т01-01-01-041</v>
      </c>
      <c r="J160" s="52">
        <f>Source!AZ154</f>
        <v>13.67</v>
      </c>
      <c r="K160" s="53">
        <f>Source!GM154</f>
        <v>305.52</v>
      </c>
      <c r="L160" s="58"/>
      <c r="S160">
        <f>ROUND((Source!FX154/100)*((ROUND(0*Source!I154,2)+ROUND(0*Source!I154,2))),2)</f>
        <v>0</v>
      </c>
      <c r="T160">
        <f>Source!X154</f>
        <v>0</v>
      </c>
      <c r="U160">
        <f>ROUND((Source!FY154/100)*((ROUND(0*Source!I154,2)+ROUND(0*Source!I154,2))),2)</f>
        <v>0</v>
      </c>
      <c r="V160">
        <f>Source!Y154</f>
        <v>0</v>
      </c>
    </row>
    <row r="161" spans="7:26" ht="15">
      <c r="G161" s="105">
        <f>H160</f>
        <v>22.35</v>
      </c>
      <c r="H161" s="105"/>
      <c r="J161" s="105">
        <f>K160</f>
        <v>305.52</v>
      </c>
      <c r="K161" s="105"/>
      <c r="L161" s="55">
        <f>Source!U154</f>
        <v>0</v>
      </c>
      <c r="O161" s="34">
        <f>G161</f>
        <v>22.35</v>
      </c>
      <c r="P161" s="34">
        <f>J161</f>
        <v>305.52</v>
      </c>
      <c r="Q161" s="34">
        <f>L161</f>
        <v>0</v>
      </c>
      <c r="W161">
        <f>IF(Source!BI154&lt;=1,H160,0)</f>
        <v>22.35</v>
      </c>
      <c r="X161">
        <f>IF(Source!BI154=2,H160,0)</f>
        <v>0</v>
      </c>
      <c r="Y161">
        <f>IF(Source!BI154=3,H160,0)</f>
        <v>0</v>
      </c>
      <c r="Z161">
        <f>IF(Source!BI154=4,H160,0)</f>
        <v>0</v>
      </c>
    </row>
    <row r="162" spans="1:22" ht="57">
      <c r="A162" s="61" t="str">
        <f>Source!E156</f>
        <v>11</v>
      </c>
      <c r="B162" s="62" t="str">
        <f>Source!F156</f>
        <v>т03-02-01-063</v>
      </c>
      <c r="C162" s="62" t="str">
        <f>Source!G156</f>
        <v>Перевозка грузов I класса автомобилями бортовыми грузоподъемностью до 5 т на расстояние: до 63 км</v>
      </c>
      <c r="D162" s="49" t="str">
        <f>Source!H156</f>
        <v>1 Т ГРУЗА</v>
      </c>
      <c r="E162" s="50">
        <f>Source!I156</f>
        <v>0.52</v>
      </c>
      <c r="F162" s="51">
        <f>Source!AK156</f>
        <v>54.31</v>
      </c>
      <c r="G162" s="52">
        <f>Source!DC156</f>
      </c>
      <c r="H162" s="53">
        <f>ROUND(Source!AB156*Source!I156,2)</f>
        <v>28.24</v>
      </c>
      <c r="I162" s="52" t="str">
        <f>Source!BO156</f>
        <v>т03-02-01-063</v>
      </c>
      <c r="J162" s="52">
        <f>Source!AZ156</f>
        <v>8.68</v>
      </c>
      <c r="K162" s="53">
        <f>Source!GM156</f>
        <v>245.13</v>
      </c>
      <c r="L162" s="58"/>
      <c r="S162">
        <f>ROUND((Source!FX156/100)*((ROUND(0*Source!I156,2)+ROUND(0*Source!I156,2))),2)</f>
        <v>0</v>
      </c>
      <c r="T162">
        <f>Source!X156</f>
        <v>0</v>
      </c>
      <c r="U162">
        <f>ROUND((Source!FY156/100)*((ROUND(0*Source!I156,2)+ROUND(0*Source!I156,2))),2)</f>
        <v>0</v>
      </c>
      <c r="V162">
        <f>Source!Y156</f>
        <v>0</v>
      </c>
    </row>
    <row r="163" spans="7:26" ht="15">
      <c r="G163" s="105">
        <f>H162</f>
        <v>28.24</v>
      </c>
      <c r="H163" s="105"/>
      <c r="J163" s="105">
        <f>K162</f>
        <v>245.13</v>
      </c>
      <c r="K163" s="105"/>
      <c r="L163" s="55">
        <f>Source!U156</f>
        <v>0</v>
      </c>
      <c r="O163" s="34">
        <f>G163</f>
        <v>28.24</v>
      </c>
      <c r="P163" s="34">
        <f>J163</f>
        <v>245.13</v>
      </c>
      <c r="Q163" s="34">
        <f>L163</f>
        <v>0</v>
      </c>
      <c r="W163">
        <f>IF(Source!BI156&lt;=1,H162,0)</f>
        <v>28.24</v>
      </c>
      <c r="X163">
        <f>IF(Source!BI156=2,H162,0)</f>
        <v>0</v>
      </c>
      <c r="Y163">
        <f>IF(Source!BI156=3,H162,0)</f>
        <v>0</v>
      </c>
      <c r="Z163">
        <f>IF(Source!BI156=4,H162,0)</f>
        <v>0</v>
      </c>
    </row>
    <row r="165" spans="1:12" ht="15">
      <c r="A165" s="107" t="str">
        <f>CONCATENATE("Итого по разделу: ",IF(Source!G158&lt;&gt;"Новый раздел",Source!G158,""))</f>
        <v>Итого по разделу: Разные работы</v>
      </c>
      <c r="B165" s="107"/>
      <c r="C165" s="107"/>
      <c r="D165" s="107"/>
      <c r="E165" s="107"/>
      <c r="F165" s="107"/>
      <c r="G165" s="106">
        <f>SUM(O159:O164)</f>
        <v>50.59</v>
      </c>
      <c r="H165" s="106"/>
      <c r="I165" s="39"/>
      <c r="J165" s="106">
        <f>SUM(P159:P164)</f>
        <v>550.65</v>
      </c>
      <c r="K165" s="106"/>
      <c r="L165" s="55">
        <f>SUM(Q159:Q164)</f>
        <v>0</v>
      </c>
    </row>
    <row r="168" spans="3:11" ht="14.25">
      <c r="C168" s="108" t="str">
        <f>Source!H187</f>
        <v>итого по разделу</v>
      </c>
      <c r="D168" s="108"/>
      <c r="E168" s="108"/>
      <c r="F168" s="108"/>
      <c r="G168" s="108"/>
      <c r="H168" s="108"/>
      <c r="I168" s="108"/>
      <c r="J168" s="109">
        <f>IF(Source!P187=0,"",Source!P187)</f>
        <v>550.65</v>
      </c>
      <c r="K168" s="109"/>
    </row>
    <row r="170" spans="1:32" ht="30">
      <c r="A170" s="107" t="str">
        <f>CONCATENATE("Итого по локальной смете: ",IF(Source!G189&lt;&gt;"Новая локальная смета",Source!G189,""))</f>
        <v>Итого по локальной смете: Реализация выполнения работ по обеспечению пожарной безопастности объекта ИПУ РАН</v>
      </c>
      <c r="B170" s="107"/>
      <c r="C170" s="107"/>
      <c r="D170" s="107"/>
      <c r="E170" s="107"/>
      <c r="F170" s="107"/>
      <c r="G170" s="106">
        <f>SUM(O42:O169)</f>
        <v>2091570.5299999998</v>
      </c>
      <c r="H170" s="106"/>
      <c r="I170" s="39"/>
      <c r="J170" s="106">
        <f>SUM(P42:P169)</f>
        <v>2347721.0699999994</v>
      </c>
      <c r="K170" s="106"/>
      <c r="L170" s="55">
        <f>SUM(Q42:Q169)</f>
        <v>298.55661999999995</v>
      </c>
      <c r="AF170" s="66" t="str">
        <f>CONCATENATE("Итого по локальной смете: ",IF(Source!G189&lt;&gt;"Новая локальная смета",Source!G189,""))</f>
        <v>Итого по локальной смете: Реализация выполнения работ по обеспечению пожарной безопастности объекта ИПУ РАН</v>
      </c>
    </row>
    <row r="174" spans="1:32" ht="30">
      <c r="A174" s="107" t="str">
        <f>CONCATENATE("Итого по смете: ",IF(Source!G222&lt;&gt;"Новый объект",Source!G222,""))</f>
        <v>Итого по смете: Реализация выполнения работ по обеспечению пожарной безопасности объекта ИПУ РАН</v>
      </c>
      <c r="B174" s="107"/>
      <c r="C174" s="107"/>
      <c r="D174" s="107"/>
      <c r="E174" s="107"/>
      <c r="F174" s="107"/>
      <c r="G174" s="106">
        <f>SUM(O1:O173)</f>
        <v>2091570.5299999998</v>
      </c>
      <c r="H174" s="106"/>
      <c r="I174" s="39"/>
      <c r="J174" s="106">
        <f>SUM(P1:P173)</f>
        <v>2347721.0699999994</v>
      </c>
      <c r="K174" s="106"/>
      <c r="L174" s="55">
        <f>SUM(Q1:Q173)</f>
        <v>298.55661999999995</v>
      </c>
      <c r="AF174" s="66" t="str">
        <f>CONCATENATE("Итого по смете: ",IF(Source!G222&lt;&gt;"Новый объект",Source!G222,""))</f>
        <v>Итого по смете: Реализация выполнения работ по обеспечению пожарной безопасности объекта ИПУ РАН</v>
      </c>
    </row>
    <row r="176" spans="3:11" ht="14.25">
      <c r="C176" s="108" t="str">
        <f>Source!H251</f>
        <v>Всего</v>
      </c>
      <c r="D176" s="108"/>
      <c r="E176" s="108"/>
      <c r="F176" s="108"/>
      <c r="G176" s="108"/>
      <c r="H176" s="108"/>
      <c r="I176" s="108"/>
      <c r="J176" s="109">
        <f>IF(Source!P251=0,"",Source!P251)</f>
        <v>2347721.07</v>
      </c>
      <c r="K176" s="109"/>
    </row>
    <row r="177" spans="3:34" ht="14.25">
      <c r="C177" s="108" t="str">
        <f>Source!H252</f>
        <v>Резерв средств на непр. расходы 2% (Приказ Минстроя России № 421-пр от 04.08.2020 п. 179а)</v>
      </c>
      <c r="D177" s="108"/>
      <c r="E177" s="108"/>
      <c r="F177" s="108"/>
      <c r="G177" s="108"/>
      <c r="H177" s="108"/>
      <c r="I177" s="108"/>
      <c r="J177" s="109">
        <f>IF(Source!P252=0,"",Source!P252)</f>
        <v>46954.42</v>
      </c>
      <c r="K177" s="109"/>
      <c r="AH177" s="37" t="s">
        <v>201</v>
      </c>
    </row>
    <row r="178" spans="3:11" ht="14.25">
      <c r="C178" s="108" t="str">
        <f>Source!H253</f>
        <v>Итого</v>
      </c>
      <c r="D178" s="108"/>
      <c r="E178" s="108"/>
      <c r="F178" s="108"/>
      <c r="G178" s="108"/>
      <c r="H178" s="108"/>
      <c r="I178" s="108"/>
      <c r="J178" s="109">
        <f>IF(Source!P253=0,"",Source!P253)</f>
        <v>2394675.49</v>
      </c>
      <c r="K178" s="109"/>
    </row>
    <row r="179" spans="3:11" ht="14.25">
      <c r="C179" s="108" t="str">
        <f>Source!H254</f>
        <v>НДС 20%</v>
      </c>
      <c r="D179" s="108"/>
      <c r="E179" s="108"/>
      <c r="F179" s="108"/>
      <c r="G179" s="108"/>
      <c r="H179" s="108"/>
      <c r="I179" s="108"/>
      <c r="J179" s="109">
        <f>IF(Source!P254=0,"",Source!P254)</f>
        <v>478935.1</v>
      </c>
      <c r="K179" s="109"/>
    </row>
    <row r="180" spans="3:11" ht="14.25">
      <c r="C180" s="108" t="str">
        <f>Source!H255</f>
        <v>Всего по смете</v>
      </c>
      <c r="D180" s="108"/>
      <c r="E180" s="108"/>
      <c r="F180" s="108"/>
      <c r="G180" s="108"/>
      <c r="H180" s="108"/>
      <c r="I180" s="108"/>
      <c r="J180" s="109">
        <f>IF(Source!P255=0,"",Source!P255)</f>
        <v>2873610.59</v>
      </c>
      <c r="K180" s="109"/>
    </row>
    <row r="183" spans="1:12" ht="14.25">
      <c r="A183" s="38" t="s">
        <v>440</v>
      </c>
      <c r="B183" s="38"/>
      <c r="C183" s="12" t="s">
        <v>441</v>
      </c>
      <c r="D183" s="35" t="str">
        <f>IF(Source!CP12&lt;&gt;"",Source!CP12," ")</f>
        <v> </v>
      </c>
      <c r="E183" s="35"/>
      <c r="F183" s="35"/>
      <c r="G183" s="35"/>
      <c r="H183" s="35"/>
      <c r="I183" s="13" t="str">
        <f>IF(Source!CO12&lt;&gt;"",Source!CO12," ")</f>
        <v> </v>
      </c>
      <c r="J183" s="12"/>
      <c r="K183" s="13"/>
      <c r="L183" s="13"/>
    </row>
    <row r="184" spans="1:12" ht="14.25">
      <c r="A184" s="13"/>
      <c r="B184" s="13"/>
      <c r="C184" s="12"/>
      <c r="D184" s="110" t="s">
        <v>442</v>
      </c>
      <c r="E184" s="110"/>
      <c r="F184" s="110"/>
      <c r="G184" s="110"/>
      <c r="H184" s="110"/>
      <c r="I184" s="13"/>
      <c r="J184" s="12"/>
      <c r="K184" s="13"/>
      <c r="L184" s="13"/>
    </row>
    <row r="185" spans="1:12" ht="14.25">
      <c r="A185" s="13"/>
      <c r="B185" s="13"/>
      <c r="C185" s="12"/>
      <c r="D185" s="13"/>
      <c r="E185" s="13"/>
      <c r="F185" s="13"/>
      <c r="G185" s="13"/>
      <c r="H185" s="13"/>
      <c r="I185" s="13"/>
      <c r="J185" s="12"/>
      <c r="K185" s="13"/>
      <c r="L185" s="13"/>
    </row>
    <row r="186" spans="1:12" ht="14.25">
      <c r="A186" s="38" t="s">
        <v>440</v>
      </c>
      <c r="B186" s="38"/>
      <c r="C186" s="12" t="s">
        <v>443</v>
      </c>
      <c r="D186" s="35" t="str">
        <f>IF(Source!AC12&lt;&gt;"",Source!AC12," ")</f>
        <v>Вед. инженер по эксплуатации и ремонту</v>
      </c>
      <c r="E186" s="35"/>
      <c r="F186" s="35"/>
      <c r="G186" s="35"/>
      <c r="H186" s="35"/>
      <c r="I186" s="13" t="str">
        <f>IF(Source!AB12&lt;&gt;"",Source!AB12," ")</f>
        <v>Степанова А.М.</v>
      </c>
      <c r="J186" s="12"/>
      <c r="K186" s="13"/>
      <c r="L186" s="13"/>
    </row>
    <row r="187" spans="1:12" ht="14.25">
      <c r="A187" s="13"/>
      <c r="B187" s="13"/>
      <c r="C187" s="13"/>
      <c r="D187" s="110" t="s">
        <v>442</v>
      </c>
      <c r="E187" s="110"/>
      <c r="F187" s="110"/>
      <c r="G187" s="110"/>
      <c r="H187" s="110"/>
      <c r="I187" s="13"/>
      <c r="J187" s="13"/>
      <c r="K187" s="13"/>
      <c r="L187" s="13"/>
    </row>
    <row r="188" spans="1:12" ht="14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4.25">
      <c r="A189" s="13"/>
      <c r="B189" s="13"/>
      <c r="C189" s="12" t="s">
        <v>444</v>
      </c>
      <c r="D189" s="35" t="str">
        <f>IF(Source!AE12&lt;&gt;"",Source!AE12," ")</f>
        <v>Заместитель заведующего РеСО</v>
      </c>
      <c r="E189" s="35"/>
      <c r="F189" s="35"/>
      <c r="G189" s="35"/>
      <c r="H189" s="35"/>
      <c r="I189" s="13" t="s">
        <v>9</v>
      </c>
      <c r="J189" s="12"/>
      <c r="K189" s="13"/>
      <c r="L189" s="13"/>
    </row>
    <row r="190" spans="1:12" ht="14.25">
      <c r="A190" s="13"/>
      <c r="B190" s="13"/>
      <c r="C190" s="13"/>
      <c r="D190" s="110" t="s">
        <v>442</v>
      </c>
      <c r="E190" s="110"/>
      <c r="F190" s="110"/>
      <c r="G190" s="110"/>
      <c r="H190" s="110"/>
      <c r="I190" s="13"/>
      <c r="J190" s="13"/>
      <c r="K190" s="13"/>
      <c r="L190" s="13"/>
    </row>
  </sheetData>
  <sheetProtection/>
  <mergeCells count="121">
    <mergeCell ref="B3:E3"/>
    <mergeCell ref="H3:L3"/>
    <mergeCell ref="B4:E4"/>
    <mergeCell ref="H4:L4"/>
    <mergeCell ref="B6:E6"/>
    <mergeCell ref="H6:L6"/>
    <mergeCell ref="B15:K15"/>
    <mergeCell ref="B17:K17"/>
    <mergeCell ref="B19:K19"/>
    <mergeCell ref="B20:K20"/>
    <mergeCell ref="A22:L22"/>
    <mergeCell ref="G25:H25"/>
    <mergeCell ref="I25:J25"/>
    <mergeCell ref="B7:E7"/>
    <mergeCell ref="H7:L7"/>
    <mergeCell ref="B10:K10"/>
    <mergeCell ref="B11:K11"/>
    <mergeCell ref="F13:G13"/>
    <mergeCell ref="H13:K13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C32:F32"/>
    <mergeCell ref="G32:H32"/>
    <mergeCell ref="I32:J32"/>
    <mergeCell ref="K32:L32"/>
    <mergeCell ref="C33:F33"/>
    <mergeCell ref="G33:H33"/>
    <mergeCell ref="I33:J33"/>
    <mergeCell ref="C30:F30"/>
    <mergeCell ref="G30:H30"/>
    <mergeCell ref="I30:J30"/>
    <mergeCell ref="K30:L30"/>
    <mergeCell ref="C31:F31"/>
    <mergeCell ref="G31:H31"/>
    <mergeCell ref="I31:J31"/>
    <mergeCell ref="K31:L31"/>
    <mergeCell ref="A38:L38"/>
    <mergeCell ref="C86:I86"/>
    <mergeCell ref="J86:K86"/>
    <mergeCell ref="C168:I168"/>
    <mergeCell ref="J168:K168"/>
    <mergeCell ref="C176:I176"/>
    <mergeCell ref="J176:K176"/>
    <mergeCell ref="F115:G115"/>
    <mergeCell ref="F114:G114"/>
    <mergeCell ref="J108:K108"/>
    <mergeCell ref="G98:H98"/>
    <mergeCell ref="F96:G96"/>
    <mergeCell ref="F95:G95"/>
    <mergeCell ref="A88:L88"/>
    <mergeCell ref="F51:G51"/>
    <mergeCell ref="A44:L44"/>
    <mergeCell ref="A42:L42"/>
    <mergeCell ref="F71:G71"/>
    <mergeCell ref="J64:K64"/>
    <mergeCell ref="G64:H64"/>
    <mergeCell ref="J54:K54"/>
    <mergeCell ref="G54:H54"/>
    <mergeCell ref="F52:G52"/>
    <mergeCell ref="G83:H83"/>
    <mergeCell ref="C180:I180"/>
    <mergeCell ref="J180:K180"/>
    <mergeCell ref="D184:H184"/>
    <mergeCell ref="D187:H187"/>
    <mergeCell ref="D190:H190"/>
    <mergeCell ref="J117:K117"/>
    <mergeCell ref="G117:H117"/>
    <mergeCell ref="A159:L159"/>
    <mergeCell ref="G155:H155"/>
    <mergeCell ref="J155:K155"/>
    <mergeCell ref="C177:I177"/>
    <mergeCell ref="J177:K177"/>
    <mergeCell ref="C178:I178"/>
    <mergeCell ref="J178:K178"/>
    <mergeCell ref="C179:I179"/>
    <mergeCell ref="J179:K179"/>
    <mergeCell ref="G165:H165"/>
    <mergeCell ref="J165:K165"/>
    <mergeCell ref="A165:F165"/>
    <mergeCell ref="J163:K163"/>
    <mergeCell ref="G163:H163"/>
    <mergeCell ref="J161:K161"/>
    <mergeCell ref="G161:H161"/>
    <mergeCell ref="G174:H174"/>
    <mergeCell ref="J83:K83"/>
    <mergeCell ref="A83:F83"/>
    <mergeCell ref="J81:K81"/>
    <mergeCell ref="G81:H81"/>
    <mergeCell ref="F72:G72"/>
    <mergeCell ref="G108:H108"/>
    <mergeCell ref="J98:K98"/>
    <mergeCell ref="J134:K134"/>
    <mergeCell ref="G134:H134"/>
    <mergeCell ref="F125:G125"/>
    <mergeCell ref="F124:G124"/>
    <mergeCell ref="F149:G149"/>
    <mergeCell ref="J143:K143"/>
    <mergeCell ref="G143:H143"/>
    <mergeCell ref="J174:K174"/>
    <mergeCell ref="A174:F174"/>
    <mergeCell ref="G170:H170"/>
    <mergeCell ref="J170:K170"/>
    <mergeCell ref="A170:F170"/>
    <mergeCell ref="A155:F155"/>
    <mergeCell ref="J153:K153"/>
    <mergeCell ref="G153:H153"/>
    <mergeCell ref="F150:G150"/>
  </mergeCells>
  <printOptions/>
  <pageMargins left="0.4" right="0.2" top="0.2" bottom="0.4" header="0.2" footer="0.2"/>
  <pageSetup fitToHeight="0" fitToWidth="1" orientation="portrait" paperSize="9" scale="59" r:id="rId1"/>
  <headerFooter>
    <oddHeader>&amp;L&amp;8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50961389</v>
      </c>
      <c r="C1">
        <v>50961388</v>
      </c>
      <c r="D1">
        <v>44800255</v>
      </c>
      <c r="E1">
        <v>54</v>
      </c>
      <c r="F1">
        <v>1</v>
      </c>
      <c r="G1">
        <v>1</v>
      </c>
      <c r="H1">
        <v>1</v>
      </c>
      <c r="I1" t="s">
        <v>295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70.2</v>
      </c>
      <c r="Y1">
        <v>0</v>
      </c>
      <c r="Z1">
        <v>0</v>
      </c>
      <c r="AA1">
        <v>0</v>
      </c>
      <c r="AB1">
        <v>8.64</v>
      </c>
      <c r="AC1">
        <v>0</v>
      </c>
      <c r="AD1">
        <v>1</v>
      </c>
      <c r="AE1">
        <v>1</v>
      </c>
      <c r="AF1" t="s">
        <v>32</v>
      </c>
      <c r="AG1">
        <v>80.73</v>
      </c>
      <c r="AH1">
        <v>2</v>
      </c>
      <c r="AI1">
        <v>50961389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50961390</v>
      </c>
      <c r="C2">
        <v>50961388</v>
      </c>
      <c r="D2">
        <v>44800452</v>
      </c>
      <c r="E2">
        <v>54</v>
      </c>
      <c r="F2">
        <v>1</v>
      </c>
      <c r="G2">
        <v>1</v>
      </c>
      <c r="H2">
        <v>1</v>
      </c>
      <c r="I2" t="s">
        <v>298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0.18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31</v>
      </c>
      <c r="AG2">
        <v>0.22499999999999998</v>
      </c>
      <c r="AH2">
        <v>2</v>
      </c>
      <c r="AI2">
        <v>50961390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50961391</v>
      </c>
      <c r="C3">
        <v>50961388</v>
      </c>
      <c r="D3">
        <v>44977280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0.18</v>
      </c>
      <c r="Y3">
        <v>0</v>
      </c>
      <c r="Z3">
        <v>65.71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31</v>
      </c>
      <c r="AG3">
        <v>0.22499999999999998</v>
      </c>
      <c r="AH3">
        <v>2</v>
      </c>
      <c r="AI3">
        <v>50961391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50961392</v>
      </c>
      <c r="C4">
        <v>50961388</v>
      </c>
      <c r="D4">
        <v>44815662</v>
      </c>
      <c r="E4">
        <v>1</v>
      </c>
      <c r="F4">
        <v>1</v>
      </c>
      <c r="G4">
        <v>1</v>
      </c>
      <c r="H4">
        <v>3</v>
      </c>
      <c r="I4" t="s">
        <v>304</v>
      </c>
      <c r="J4" t="s">
        <v>305</v>
      </c>
      <c r="K4" t="s">
        <v>306</v>
      </c>
      <c r="L4">
        <v>1339</v>
      </c>
      <c r="N4">
        <v>1007</v>
      </c>
      <c r="O4" t="s">
        <v>70</v>
      </c>
      <c r="P4" t="s">
        <v>70</v>
      </c>
      <c r="Q4">
        <v>1</v>
      </c>
      <c r="X4">
        <v>0.008</v>
      </c>
      <c r="Y4">
        <v>1100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0.008</v>
      </c>
      <c r="AH4">
        <v>2</v>
      </c>
      <c r="AI4">
        <v>50961392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50961393</v>
      </c>
      <c r="C5">
        <v>50961388</v>
      </c>
      <c r="D5">
        <v>44815664</v>
      </c>
      <c r="E5">
        <v>1</v>
      </c>
      <c r="F5">
        <v>1</v>
      </c>
      <c r="G5">
        <v>1</v>
      </c>
      <c r="H5">
        <v>3</v>
      </c>
      <c r="I5" t="s">
        <v>307</v>
      </c>
      <c r="J5" t="s">
        <v>308</v>
      </c>
      <c r="K5" t="s">
        <v>309</v>
      </c>
      <c r="L5">
        <v>1348</v>
      </c>
      <c r="N5">
        <v>1009</v>
      </c>
      <c r="O5" t="s">
        <v>50</v>
      </c>
      <c r="P5" t="s">
        <v>50</v>
      </c>
      <c r="Q5">
        <v>1000</v>
      </c>
      <c r="X5">
        <v>0.029</v>
      </c>
      <c r="Y5">
        <v>6102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0.029</v>
      </c>
      <c r="AH5">
        <v>2</v>
      </c>
      <c r="AI5">
        <v>50961393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50961394</v>
      </c>
      <c r="C6">
        <v>50961388</v>
      </c>
      <c r="D6">
        <v>44841949</v>
      </c>
      <c r="E6">
        <v>1</v>
      </c>
      <c r="F6">
        <v>1</v>
      </c>
      <c r="G6">
        <v>1</v>
      </c>
      <c r="H6">
        <v>3</v>
      </c>
      <c r="I6" t="s">
        <v>310</v>
      </c>
      <c r="J6" t="s">
        <v>311</v>
      </c>
      <c r="K6" t="s">
        <v>312</v>
      </c>
      <c r="L6">
        <v>1327</v>
      </c>
      <c r="N6">
        <v>1005</v>
      </c>
      <c r="O6" t="s">
        <v>174</v>
      </c>
      <c r="P6" t="s">
        <v>174</v>
      </c>
      <c r="Q6">
        <v>1</v>
      </c>
      <c r="X6">
        <v>5.5</v>
      </c>
      <c r="Y6">
        <v>35.22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5.5</v>
      </c>
      <c r="AH6">
        <v>2</v>
      </c>
      <c r="AI6">
        <v>50961394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50961389</v>
      </c>
      <c r="C7">
        <v>50961388</v>
      </c>
      <c r="D7">
        <v>44800255</v>
      </c>
      <c r="E7">
        <v>54</v>
      </c>
      <c r="F7">
        <v>1</v>
      </c>
      <c r="G7">
        <v>1</v>
      </c>
      <c r="H7">
        <v>1</v>
      </c>
      <c r="I7" t="s">
        <v>295</v>
      </c>
      <c r="K7" t="s">
        <v>296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70.2</v>
      </c>
      <c r="Y7">
        <v>0</v>
      </c>
      <c r="Z7">
        <v>0</v>
      </c>
      <c r="AA7">
        <v>0</v>
      </c>
      <c r="AB7">
        <v>8.64</v>
      </c>
      <c r="AC7">
        <v>0</v>
      </c>
      <c r="AD7">
        <v>1</v>
      </c>
      <c r="AE7">
        <v>1</v>
      </c>
      <c r="AF7" t="s">
        <v>32</v>
      </c>
      <c r="AG7">
        <v>80.73</v>
      </c>
      <c r="AH7">
        <v>2</v>
      </c>
      <c r="AI7">
        <v>50961389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50961390</v>
      </c>
      <c r="C8">
        <v>50961388</v>
      </c>
      <c r="D8">
        <v>44800452</v>
      </c>
      <c r="E8">
        <v>54</v>
      </c>
      <c r="F8">
        <v>1</v>
      </c>
      <c r="G8">
        <v>1</v>
      </c>
      <c r="H8">
        <v>1</v>
      </c>
      <c r="I8" t="s">
        <v>298</v>
      </c>
      <c r="K8" t="s">
        <v>299</v>
      </c>
      <c r="L8">
        <v>1191</v>
      </c>
      <c r="N8">
        <v>1013</v>
      </c>
      <c r="O8" t="s">
        <v>297</v>
      </c>
      <c r="P8" t="s">
        <v>297</v>
      </c>
      <c r="Q8">
        <v>1</v>
      </c>
      <c r="X8">
        <v>0.18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31</v>
      </c>
      <c r="AG8">
        <v>0.22499999999999998</v>
      </c>
      <c r="AH8">
        <v>2</v>
      </c>
      <c r="AI8">
        <v>50961390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50961391</v>
      </c>
      <c r="C9">
        <v>50961388</v>
      </c>
      <c r="D9">
        <v>44977280</v>
      </c>
      <c r="E9">
        <v>1</v>
      </c>
      <c r="F9">
        <v>1</v>
      </c>
      <c r="G9">
        <v>1</v>
      </c>
      <c r="H9">
        <v>2</v>
      </c>
      <c r="I9" t="s">
        <v>300</v>
      </c>
      <c r="J9" t="s">
        <v>301</v>
      </c>
      <c r="K9" t="s">
        <v>302</v>
      </c>
      <c r="L9">
        <v>1368</v>
      </c>
      <c r="N9">
        <v>1011</v>
      </c>
      <c r="O9" t="s">
        <v>303</v>
      </c>
      <c r="P9" t="s">
        <v>303</v>
      </c>
      <c r="Q9">
        <v>1</v>
      </c>
      <c r="X9">
        <v>0.18</v>
      </c>
      <c r="Y9">
        <v>0</v>
      </c>
      <c r="Z9">
        <v>65.71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31</v>
      </c>
      <c r="AG9">
        <v>0.22499999999999998</v>
      </c>
      <c r="AH9">
        <v>2</v>
      </c>
      <c r="AI9">
        <v>50961391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50961392</v>
      </c>
      <c r="C10">
        <v>50961388</v>
      </c>
      <c r="D10">
        <v>44815662</v>
      </c>
      <c r="E10">
        <v>1</v>
      </c>
      <c r="F10">
        <v>1</v>
      </c>
      <c r="G10">
        <v>1</v>
      </c>
      <c r="H10">
        <v>3</v>
      </c>
      <c r="I10" t="s">
        <v>304</v>
      </c>
      <c r="J10" t="s">
        <v>305</v>
      </c>
      <c r="K10" t="s">
        <v>306</v>
      </c>
      <c r="L10">
        <v>1339</v>
      </c>
      <c r="N10">
        <v>1007</v>
      </c>
      <c r="O10" t="s">
        <v>70</v>
      </c>
      <c r="P10" t="s">
        <v>70</v>
      </c>
      <c r="Q10">
        <v>1</v>
      </c>
      <c r="X10">
        <v>0.008</v>
      </c>
      <c r="Y10">
        <v>1100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0.008</v>
      </c>
      <c r="AH10">
        <v>2</v>
      </c>
      <c r="AI10">
        <v>50961392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50961393</v>
      </c>
      <c r="C11">
        <v>50961388</v>
      </c>
      <c r="D11">
        <v>44815664</v>
      </c>
      <c r="E11">
        <v>1</v>
      </c>
      <c r="F11">
        <v>1</v>
      </c>
      <c r="G11">
        <v>1</v>
      </c>
      <c r="H11">
        <v>3</v>
      </c>
      <c r="I11" t="s">
        <v>307</v>
      </c>
      <c r="J11" t="s">
        <v>308</v>
      </c>
      <c r="K11" t="s">
        <v>309</v>
      </c>
      <c r="L11">
        <v>1348</v>
      </c>
      <c r="N11">
        <v>1009</v>
      </c>
      <c r="O11" t="s">
        <v>50</v>
      </c>
      <c r="P11" t="s">
        <v>50</v>
      </c>
      <c r="Q11">
        <v>1000</v>
      </c>
      <c r="X11">
        <v>0.029</v>
      </c>
      <c r="Y11">
        <v>6102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0.029</v>
      </c>
      <c r="AH11">
        <v>2</v>
      </c>
      <c r="AI11">
        <v>50961393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50961394</v>
      </c>
      <c r="C12">
        <v>50961388</v>
      </c>
      <c r="D12">
        <v>44841949</v>
      </c>
      <c r="E12">
        <v>1</v>
      </c>
      <c r="F12">
        <v>1</v>
      </c>
      <c r="G12">
        <v>1</v>
      </c>
      <c r="H12">
        <v>3</v>
      </c>
      <c r="I12" t="s">
        <v>310</v>
      </c>
      <c r="J12" t="s">
        <v>311</v>
      </c>
      <c r="K12" t="s">
        <v>312</v>
      </c>
      <c r="L12">
        <v>1327</v>
      </c>
      <c r="N12">
        <v>1005</v>
      </c>
      <c r="O12" t="s">
        <v>174</v>
      </c>
      <c r="P12" t="s">
        <v>174</v>
      </c>
      <c r="Q12">
        <v>1</v>
      </c>
      <c r="X12">
        <v>5.5</v>
      </c>
      <c r="Y12">
        <v>35.22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5.5</v>
      </c>
      <c r="AH12">
        <v>2</v>
      </c>
      <c r="AI12">
        <v>50961394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50961370</v>
      </c>
      <c r="C13">
        <v>50961369</v>
      </c>
      <c r="D13">
        <v>49459365</v>
      </c>
      <c r="E13">
        <v>58</v>
      </c>
      <c r="F13">
        <v>1</v>
      </c>
      <c r="G13">
        <v>1</v>
      </c>
      <c r="H13">
        <v>1</v>
      </c>
      <c r="I13" t="s">
        <v>313</v>
      </c>
      <c r="K13" t="s">
        <v>314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46.11</v>
      </c>
      <c r="Y13">
        <v>0</v>
      </c>
      <c r="Z13">
        <v>0</v>
      </c>
      <c r="AA13">
        <v>0</v>
      </c>
      <c r="AB13">
        <v>8.02</v>
      </c>
      <c r="AC13">
        <v>0</v>
      </c>
      <c r="AD13">
        <v>1</v>
      </c>
      <c r="AE13">
        <v>1</v>
      </c>
      <c r="AG13">
        <v>46.11</v>
      </c>
      <c r="AH13">
        <v>2</v>
      </c>
      <c r="AI13">
        <v>50961370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ROW(Source!A30)</f>
        <v>30</v>
      </c>
      <c r="B14">
        <v>50961371</v>
      </c>
      <c r="C14">
        <v>50961369</v>
      </c>
      <c r="D14">
        <v>49459566</v>
      </c>
      <c r="E14">
        <v>58</v>
      </c>
      <c r="F14">
        <v>1</v>
      </c>
      <c r="G14">
        <v>1</v>
      </c>
      <c r="H14">
        <v>1</v>
      </c>
      <c r="I14" t="s">
        <v>315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0.93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0.93</v>
      </c>
      <c r="AH14">
        <v>2</v>
      </c>
      <c r="AI14">
        <v>50961371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ROW(Source!A30)</f>
        <v>30</v>
      </c>
      <c r="B15">
        <v>50961372</v>
      </c>
      <c r="C15">
        <v>50961369</v>
      </c>
      <c r="D15">
        <v>49620537</v>
      </c>
      <c r="E15">
        <v>1</v>
      </c>
      <c r="F15">
        <v>1</v>
      </c>
      <c r="G15">
        <v>1</v>
      </c>
      <c r="H15">
        <v>2</v>
      </c>
      <c r="I15" t="s">
        <v>316</v>
      </c>
      <c r="J15" t="s">
        <v>317</v>
      </c>
      <c r="K15" t="s">
        <v>318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0.93</v>
      </c>
      <c r="Y15">
        <v>0</v>
      </c>
      <c r="Z15">
        <v>31.26</v>
      </c>
      <c r="AA15">
        <v>13.5</v>
      </c>
      <c r="AB15">
        <v>0</v>
      </c>
      <c r="AC15">
        <v>0</v>
      </c>
      <c r="AD15">
        <v>1</v>
      </c>
      <c r="AE15">
        <v>0</v>
      </c>
      <c r="AG15">
        <v>0.93</v>
      </c>
      <c r="AH15">
        <v>2</v>
      </c>
      <c r="AI15">
        <v>50961372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ROW(Source!A30)</f>
        <v>30</v>
      </c>
      <c r="B16">
        <v>50961373</v>
      </c>
      <c r="C16">
        <v>50961369</v>
      </c>
      <c r="D16">
        <v>49463934</v>
      </c>
      <c r="E16">
        <v>58</v>
      </c>
      <c r="F16">
        <v>1</v>
      </c>
      <c r="G16">
        <v>1</v>
      </c>
      <c r="H16">
        <v>3</v>
      </c>
      <c r="I16" t="s">
        <v>48</v>
      </c>
      <c r="K16" t="s">
        <v>49</v>
      </c>
      <c r="L16">
        <v>1348</v>
      </c>
      <c r="N16">
        <v>1009</v>
      </c>
      <c r="O16" t="s">
        <v>50</v>
      </c>
      <c r="P16" t="s">
        <v>50</v>
      </c>
      <c r="Q16">
        <v>1000</v>
      </c>
      <c r="X16">
        <v>3.42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G16">
        <v>3.42</v>
      </c>
      <c r="AH16">
        <v>2</v>
      </c>
      <c r="AI16">
        <v>50961373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50961370</v>
      </c>
      <c r="C17">
        <v>50961369</v>
      </c>
      <c r="D17">
        <v>49459365</v>
      </c>
      <c r="E17">
        <v>58</v>
      </c>
      <c r="F17">
        <v>1</v>
      </c>
      <c r="G17">
        <v>1</v>
      </c>
      <c r="H17">
        <v>1</v>
      </c>
      <c r="I17" t="s">
        <v>313</v>
      </c>
      <c r="K17" t="s">
        <v>314</v>
      </c>
      <c r="L17">
        <v>1191</v>
      </c>
      <c r="N17">
        <v>1013</v>
      </c>
      <c r="O17" t="s">
        <v>297</v>
      </c>
      <c r="P17" t="s">
        <v>297</v>
      </c>
      <c r="Q17">
        <v>1</v>
      </c>
      <c r="X17">
        <v>46.11</v>
      </c>
      <c r="Y17">
        <v>0</v>
      </c>
      <c r="Z17">
        <v>0</v>
      </c>
      <c r="AA17">
        <v>0</v>
      </c>
      <c r="AB17">
        <v>8.02</v>
      </c>
      <c r="AC17">
        <v>0</v>
      </c>
      <c r="AD17">
        <v>1</v>
      </c>
      <c r="AE17">
        <v>1</v>
      </c>
      <c r="AG17">
        <v>46.11</v>
      </c>
      <c r="AH17">
        <v>2</v>
      </c>
      <c r="AI17">
        <v>50961370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50961371</v>
      </c>
      <c r="C18">
        <v>50961369</v>
      </c>
      <c r="D18">
        <v>49459566</v>
      </c>
      <c r="E18">
        <v>58</v>
      </c>
      <c r="F18">
        <v>1</v>
      </c>
      <c r="G18">
        <v>1</v>
      </c>
      <c r="H18">
        <v>1</v>
      </c>
      <c r="I18" t="s">
        <v>315</v>
      </c>
      <c r="K18" t="s">
        <v>299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X18">
        <v>0.93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G18">
        <v>0.93</v>
      </c>
      <c r="AH18">
        <v>2</v>
      </c>
      <c r="AI18">
        <v>50961371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50961372</v>
      </c>
      <c r="C19">
        <v>50961369</v>
      </c>
      <c r="D19">
        <v>49620537</v>
      </c>
      <c r="E19">
        <v>1</v>
      </c>
      <c r="F19">
        <v>1</v>
      </c>
      <c r="G19">
        <v>1</v>
      </c>
      <c r="H19">
        <v>2</v>
      </c>
      <c r="I19" t="s">
        <v>316</v>
      </c>
      <c r="J19" t="s">
        <v>317</v>
      </c>
      <c r="K19" t="s">
        <v>318</v>
      </c>
      <c r="L19">
        <v>1368</v>
      </c>
      <c r="N19">
        <v>1011</v>
      </c>
      <c r="O19" t="s">
        <v>303</v>
      </c>
      <c r="P19" t="s">
        <v>303</v>
      </c>
      <c r="Q19">
        <v>1</v>
      </c>
      <c r="X19">
        <v>0.93</v>
      </c>
      <c r="Y19">
        <v>0</v>
      </c>
      <c r="Z19">
        <v>31.26</v>
      </c>
      <c r="AA19">
        <v>13.5</v>
      </c>
      <c r="AB19">
        <v>0</v>
      </c>
      <c r="AC19">
        <v>0</v>
      </c>
      <c r="AD19">
        <v>1</v>
      </c>
      <c r="AE19">
        <v>0</v>
      </c>
      <c r="AG19">
        <v>0.93</v>
      </c>
      <c r="AH19">
        <v>2</v>
      </c>
      <c r="AI19">
        <v>50961372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ROW(Source!A31)</f>
        <v>31</v>
      </c>
      <c r="B20">
        <v>50961373</v>
      </c>
      <c r="C20">
        <v>50961369</v>
      </c>
      <c r="D20">
        <v>49463934</v>
      </c>
      <c r="E20">
        <v>58</v>
      </c>
      <c r="F20">
        <v>1</v>
      </c>
      <c r="G20">
        <v>1</v>
      </c>
      <c r="H20">
        <v>3</v>
      </c>
      <c r="I20" t="s">
        <v>48</v>
      </c>
      <c r="K20" t="s">
        <v>49</v>
      </c>
      <c r="L20">
        <v>1348</v>
      </c>
      <c r="N20">
        <v>1009</v>
      </c>
      <c r="O20" t="s">
        <v>50</v>
      </c>
      <c r="P20" t="s">
        <v>50</v>
      </c>
      <c r="Q20">
        <v>1000</v>
      </c>
      <c r="X20">
        <v>3.42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3.42</v>
      </c>
      <c r="AH20">
        <v>2</v>
      </c>
      <c r="AI20">
        <v>50961373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ROW(Source!A34)</f>
        <v>34</v>
      </c>
      <c r="B21">
        <v>50962917</v>
      </c>
      <c r="C21">
        <v>50962916</v>
      </c>
      <c r="D21">
        <v>47860458</v>
      </c>
      <c r="E21">
        <v>56</v>
      </c>
      <c r="F21">
        <v>1</v>
      </c>
      <c r="G21">
        <v>1</v>
      </c>
      <c r="H21">
        <v>1</v>
      </c>
      <c r="I21" t="s">
        <v>319</v>
      </c>
      <c r="K21" t="s">
        <v>320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298</v>
      </c>
      <c r="Y21">
        <v>0</v>
      </c>
      <c r="Z21">
        <v>0</v>
      </c>
      <c r="AA21">
        <v>0</v>
      </c>
      <c r="AB21">
        <v>10.06</v>
      </c>
      <c r="AC21">
        <v>0</v>
      </c>
      <c r="AD21">
        <v>1</v>
      </c>
      <c r="AE21">
        <v>1</v>
      </c>
      <c r="AF21" t="s">
        <v>32</v>
      </c>
      <c r="AG21">
        <v>342.7</v>
      </c>
      <c r="AH21">
        <v>2</v>
      </c>
      <c r="AI21">
        <v>50962917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ROW(Source!A34)</f>
        <v>34</v>
      </c>
      <c r="B22">
        <v>50962918</v>
      </c>
      <c r="C22">
        <v>50962916</v>
      </c>
      <c r="D22">
        <v>47860585</v>
      </c>
      <c r="E22">
        <v>56</v>
      </c>
      <c r="F22">
        <v>1</v>
      </c>
      <c r="G22">
        <v>1</v>
      </c>
      <c r="H22">
        <v>1</v>
      </c>
      <c r="I22" t="s">
        <v>298</v>
      </c>
      <c r="K22" t="s">
        <v>299</v>
      </c>
      <c r="L22">
        <v>1191</v>
      </c>
      <c r="N22">
        <v>1013</v>
      </c>
      <c r="O22" t="s">
        <v>297</v>
      </c>
      <c r="P22" t="s">
        <v>297</v>
      </c>
      <c r="Q22">
        <v>1</v>
      </c>
      <c r="X22">
        <v>2.48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31</v>
      </c>
      <c r="AG22">
        <v>3.1</v>
      </c>
      <c r="AH22">
        <v>2</v>
      </c>
      <c r="AI22">
        <v>50962918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ROW(Source!A34)</f>
        <v>34</v>
      </c>
      <c r="B23">
        <v>50962919</v>
      </c>
      <c r="C23">
        <v>50962916</v>
      </c>
      <c r="D23">
        <v>48021211</v>
      </c>
      <c r="E23">
        <v>1</v>
      </c>
      <c r="F23">
        <v>1</v>
      </c>
      <c r="G23">
        <v>1</v>
      </c>
      <c r="H23">
        <v>2</v>
      </c>
      <c r="I23" t="s">
        <v>321</v>
      </c>
      <c r="J23" t="s">
        <v>322</v>
      </c>
      <c r="K23" t="s">
        <v>323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2.2</v>
      </c>
      <c r="Y23">
        <v>0</v>
      </c>
      <c r="Z23">
        <v>115.4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31</v>
      </c>
      <c r="AG23">
        <v>2.75</v>
      </c>
      <c r="AH23">
        <v>2</v>
      </c>
      <c r="AI23">
        <v>50962919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ROW(Source!A34)</f>
        <v>34</v>
      </c>
      <c r="B24">
        <v>50962920</v>
      </c>
      <c r="C24">
        <v>50962916</v>
      </c>
      <c r="D24">
        <v>48021352</v>
      </c>
      <c r="E24">
        <v>1</v>
      </c>
      <c r="F24">
        <v>1</v>
      </c>
      <c r="G24">
        <v>1</v>
      </c>
      <c r="H24">
        <v>2</v>
      </c>
      <c r="I24" t="s">
        <v>324</v>
      </c>
      <c r="J24" t="s">
        <v>325</v>
      </c>
      <c r="K24" t="s">
        <v>326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43.9</v>
      </c>
      <c r="Y24">
        <v>0</v>
      </c>
      <c r="Z24">
        <v>6.9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31</v>
      </c>
      <c r="AG24">
        <v>54.875</v>
      </c>
      <c r="AH24">
        <v>2</v>
      </c>
      <c r="AI24">
        <v>50962920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ROW(Source!A34)</f>
        <v>34</v>
      </c>
      <c r="B25">
        <v>50962921</v>
      </c>
      <c r="C25">
        <v>50962916</v>
      </c>
      <c r="D25">
        <v>48022139</v>
      </c>
      <c r="E25">
        <v>1</v>
      </c>
      <c r="F25">
        <v>1</v>
      </c>
      <c r="G25">
        <v>1</v>
      </c>
      <c r="H25">
        <v>2</v>
      </c>
      <c r="I25" t="s">
        <v>300</v>
      </c>
      <c r="J25" t="s">
        <v>301</v>
      </c>
      <c r="K25" t="s">
        <v>302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X25">
        <v>0.28</v>
      </c>
      <c r="Y25">
        <v>0</v>
      </c>
      <c r="Z25">
        <v>65.71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31</v>
      </c>
      <c r="AG25">
        <v>0.35000000000000003</v>
      </c>
      <c r="AH25">
        <v>2</v>
      </c>
      <c r="AI25">
        <v>50962921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ROW(Source!A34)</f>
        <v>34</v>
      </c>
      <c r="B26">
        <v>50962922</v>
      </c>
      <c r="C26">
        <v>50962916</v>
      </c>
      <c r="D26">
        <v>47875476</v>
      </c>
      <c r="E26">
        <v>1</v>
      </c>
      <c r="F26">
        <v>1</v>
      </c>
      <c r="G26">
        <v>1</v>
      </c>
      <c r="H26">
        <v>3</v>
      </c>
      <c r="I26" t="s">
        <v>374</v>
      </c>
      <c r="J26" t="s">
        <v>375</v>
      </c>
      <c r="K26" t="s">
        <v>376</v>
      </c>
      <c r="L26">
        <v>1346</v>
      </c>
      <c r="N26">
        <v>1009</v>
      </c>
      <c r="O26" t="s">
        <v>377</v>
      </c>
      <c r="P26" t="s">
        <v>377</v>
      </c>
      <c r="Q26">
        <v>1</v>
      </c>
      <c r="X26">
        <v>0</v>
      </c>
      <c r="Y26">
        <v>28.26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G26">
        <v>0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ROW(Source!A34)</f>
        <v>34</v>
      </c>
      <c r="B27">
        <v>50962923</v>
      </c>
      <c r="C27">
        <v>50962916</v>
      </c>
      <c r="D27">
        <v>47875648</v>
      </c>
      <c r="E27">
        <v>1</v>
      </c>
      <c r="F27">
        <v>1</v>
      </c>
      <c r="G27">
        <v>1</v>
      </c>
      <c r="H27">
        <v>3</v>
      </c>
      <c r="I27" t="s">
        <v>82</v>
      </c>
      <c r="J27" t="s">
        <v>84</v>
      </c>
      <c r="K27" t="s">
        <v>83</v>
      </c>
      <c r="L27">
        <v>1348</v>
      </c>
      <c r="N27">
        <v>1009</v>
      </c>
      <c r="O27" t="s">
        <v>50</v>
      </c>
      <c r="P27" t="s">
        <v>50</v>
      </c>
      <c r="Q27">
        <v>1000</v>
      </c>
      <c r="X27">
        <v>0.00115</v>
      </c>
      <c r="Y27">
        <v>37900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0.00115</v>
      </c>
      <c r="AH27">
        <v>2</v>
      </c>
      <c r="AI27">
        <v>50962923</v>
      </c>
      <c r="AJ27">
        <v>26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ROW(Source!A34)</f>
        <v>34</v>
      </c>
      <c r="B28">
        <v>50962924</v>
      </c>
      <c r="C28">
        <v>50962916</v>
      </c>
      <c r="D28">
        <v>47875776</v>
      </c>
      <c r="E28">
        <v>1</v>
      </c>
      <c r="F28">
        <v>1</v>
      </c>
      <c r="G28">
        <v>1</v>
      </c>
      <c r="H28">
        <v>3</v>
      </c>
      <c r="I28" t="s">
        <v>378</v>
      </c>
      <c r="J28" t="s">
        <v>379</v>
      </c>
      <c r="K28" t="s">
        <v>380</v>
      </c>
      <c r="L28">
        <v>1327</v>
      </c>
      <c r="N28">
        <v>1005</v>
      </c>
      <c r="O28" t="s">
        <v>174</v>
      </c>
      <c r="P28" t="s">
        <v>174</v>
      </c>
      <c r="Q28">
        <v>1</v>
      </c>
      <c r="X28">
        <v>0</v>
      </c>
      <c r="Y28">
        <v>52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G28">
        <v>0</v>
      </c>
      <c r="AH28">
        <v>3</v>
      </c>
      <c r="AI28">
        <v>-1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ROW(Source!A34)</f>
        <v>34</v>
      </c>
      <c r="B29">
        <v>50962925</v>
      </c>
      <c r="C29">
        <v>50962916</v>
      </c>
      <c r="D29">
        <v>47875862</v>
      </c>
      <c r="E29">
        <v>1</v>
      </c>
      <c r="F29">
        <v>1</v>
      </c>
      <c r="G29">
        <v>1</v>
      </c>
      <c r="H29">
        <v>3</v>
      </c>
      <c r="I29" t="s">
        <v>381</v>
      </c>
      <c r="J29" t="s">
        <v>382</v>
      </c>
      <c r="K29" t="s">
        <v>383</v>
      </c>
      <c r="L29">
        <v>1327</v>
      </c>
      <c r="N29">
        <v>1005</v>
      </c>
      <c r="O29" t="s">
        <v>174</v>
      </c>
      <c r="P29" t="s">
        <v>174</v>
      </c>
      <c r="Q29">
        <v>1</v>
      </c>
      <c r="X29">
        <v>0</v>
      </c>
      <c r="Y29">
        <v>350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G29">
        <v>0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ROW(Source!A34)</f>
        <v>34</v>
      </c>
      <c r="B30">
        <v>50962926</v>
      </c>
      <c r="C30">
        <v>50962916</v>
      </c>
      <c r="D30">
        <v>47889287</v>
      </c>
      <c r="E30">
        <v>1</v>
      </c>
      <c r="F30">
        <v>1</v>
      </c>
      <c r="G30">
        <v>1</v>
      </c>
      <c r="H30">
        <v>3</v>
      </c>
      <c r="I30" t="s">
        <v>78</v>
      </c>
      <c r="J30" t="s">
        <v>80</v>
      </c>
      <c r="K30" t="s">
        <v>79</v>
      </c>
      <c r="L30">
        <v>1348</v>
      </c>
      <c r="N30">
        <v>1009</v>
      </c>
      <c r="O30" t="s">
        <v>50</v>
      </c>
      <c r="P30" t="s">
        <v>50</v>
      </c>
      <c r="Q30">
        <v>1000</v>
      </c>
      <c r="X30">
        <v>0.02</v>
      </c>
      <c r="Y30">
        <v>7712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0.02</v>
      </c>
      <c r="AH30">
        <v>2</v>
      </c>
      <c r="AI30">
        <v>50962926</v>
      </c>
      <c r="AJ30">
        <v>27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ROW(Source!A34)</f>
        <v>34</v>
      </c>
      <c r="B31">
        <v>50962927</v>
      </c>
      <c r="C31">
        <v>50962916</v>
      </c>
      <c r="D31">
        <v>47891316</v>
      </c>
      <c r="E31">
        <v>1</v>
      </c>
      <c r="F31">
        <v>1</v>
      </c>
      <c r="G31">
        <v>1</v>
      </c>
      <c r="H31">
        <v>3</v>
      </c>
      <c r="I31" t="s">
        <v>73</v>
      </c>
      <c r="J31" t="s">
        <v>76</v>
      </c>
      <c r="K31" t="s">
        <v>74</v>
      </c>
      <c r="L31">
        <v>1302</v>
      </c>
      <c r="N31">
        <v>1003</v>
      </c>
      <c r="O31" t="s">
        <v>75</v>
      </c>
      <c r="P31" t="s">
        <v>75</v>
      </c>
      <c r="Q31">
        <v>10</v>
      </c>
      <c r="X31">
        <v>0.2</v>
      </c>
      <c r="Y31">
        <v>50.24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0.2</v>
      </c>
      <c r="AH31">
        <v>2</v>
      </c>
      <c r="AI31">
        <v>50962927</v>
      </c>
      <c r="AJ31">
        <v>28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ROW(Source!A34)</f>
        <v>34</v>
      </c>
      <c r="B32">
        <v>50962928</v>
      </c>
      <c r="C32">
        <v>50962916</v>
      </c>
      <c r="D32">
        <v>47862694</v>
      </c>
      <c r="E32">
        <v>56</v>
      </c>
      <c r="F32">
        <v>1</v>
      </c>
      <c r="G32">
        <v>1</v>
      </c>
      <c r="H32">
        <v>3</v>
      </c>
      <c r="I32" t="s">
        <v>384</v>
      </c>
      <c r="K32" t="s">
        <v>385</v>
      </c>
      <c r="L32">
        <v>1348</v>
      </c>
      <c r="N32">
        <v>1009</v>
      </c>
      <c r="O32" t="s">
        <v>50</v>
      </c>
      <c r="P32" t="s">
        <v>50</v>
      </c>
      <c r="Q32">
        <v>1000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G32">
        <v>0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ROW(Source!A34)</f>
        <v>34</v>
      </c>
      <c r="B33">
        <v>50962929</v>
      </c>
      <c r="C33">
        <v>50962916</v>
      </c>
      <c r="D33">
        <v>47895708</v>
      </c>
      <c r="E33">
        <v>1</v>
      </c>
      <c r="F33">
        <v>1</v>
      </c>
      <c r="G33">
        <v>1</v>
      </c>
      <c r="H33">
        <v>3</v>
      </c>
      <c r="I33" t="s">
        <v>68</v>
      </c>
      <c r="J33" t="s">
        <v>71</v>
      </c>
      <c r="K33" t="s">
        <v>69</v>
      </c>
      <c r="L33">
        <v>1339</v>
      </c>
      <c r="N33">
        <v>1007</v>
      </c>
      <c r="O33" t="s">
        <v>70</v>
      </c>
      <c r="P33" t="s">
        <v>70</v>
      </c>
      <c r="Q33">
        <v>1</v>
      </c>
      <c r="X33">
        <v>0.04</v>
      </c>
      <c r="Y33">
        <v>1700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0.04</v>
      </c>
      <c r="AH33">
        <v>2</v>
      </c>
      <c r="AI33">
        <v>50962929</v>
      </c>
      <c r="AJ33">
        <v>29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ROW(Source!A35)</f>
        <v>35</v>
      </c>
      <c r="B34">
        <v>50962917</v>
      </c>
      <c r="C34">
        <v>50962916</v>
      </c>
      <c r="D34">
        <v>47860458</v>
      </c>
      <c r="E34">
        <v>56</v>
      </c>
      <c r="F34">
        <v>1</v>
      </c>
      <c r="G34">
        <v>1</v>
      </c>
      <c r="H34">
        <v>1</v>
      </c>
      <c r="I34" t="s">
        <v>319</v>
      </c>
      <c r="K34" t="s">
        <v>320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X34">
        <v>298</v>
      </c>
      <c r="Y34">
        <v>0</v>
      </c>
      <c r="Z34">
        <v>0</v>
      </c>
      <c r="AA34">
        <v>0</v>
      </c>
      <c r="AB34">
        <v>10.06</v>
      </c>
      <c r="AC34">
        <v>0</v>
      </c>
      <c r="AD34">
        <v>1</v>
      </c>
      <c r="AE34">
        <v>1</v>
      </c>
      <c r="AF34" t="s">
        <v>32</v>
      </c>
      <c r="AG34">
        <v>342.7</v>
      </c>
      <c r="AH34">
        <v>2</v>
      </c>
      <c r="AI34">
        <v>50962917</v>
      </c>
      <c r="AJ34">
        <v>33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ROW(Source!A35)</f>
        <v>35</v>
      </c>
      <c r="B35">
        <v>50962918</v>
      </c>
      <c r="C35">
        <v>50962916</v>
      </c>
      <c r="D35">
        <v>47860585</v>
      </c>
      <c r="E35">
        <v>56</v>
      </c>
      <c r="F35">
        <v>1</v>
      </c>
      <c r="G35">
        <v>1</v>
      </c>
      <c r="H35">
        <v>1</v>
      </c>
      <c r="I35" t="s">
        <v>298</v>
      </c>
      <c r="K35" t="s">
        <v>299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31</v>
      </c>
      <c r="AG35">
        <v>3.1</v>
      </c>
      <c r="AH35">
        <v>2</v>
      </c>
      <c r="AI35">
        <v>50962918</v>
      </c>
      <c r="AJ35">
        <v>34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ROW(Source!A35)</f>
        <v>35</v>
      </c>
      <c r="B36">
        <v>50962919</v>
      </c>
      <c r="C36">
        <v>50962916</v>
      </c>
      <c r="D36">
        <v>48021211</v>
      </c>
      <c r="E36">
        <v>1</v>
      </c>
      <c r="F36">
        <v>1</v>
      </c>
      <c r="G36">
        <v>1</v>
      </c>
      <c r="H36">
        <v>2</v>
      </c>
      <c r="I36" t="s">
        <v>321</v>
      </c>
      <c r="J36" t="s">
        <v>322</v>
      </c>
      <c r="K36" t="s">
        <v>323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X36">
        <v>2.2</v>
      </c>
      <c r="Y36">
        <v>0</v>
      </c>
      <c r="Z36">
        <v>115.4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31</v>
      </c>
      <c r="AG36">
        <v>2.75</v>
      </c>
      <c r="AH36">
        <v>2</v>
      </c>
      <c r="AI36">
        <v>50962919</v>
      </c>
      <c r="AJ36">
        <v>35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ROW(Source!A35)</f>
        <v>35</v>
      </c>
      <c r="B37">
        <v>50962920</v>
      </c>
      <c r="C37">
        <v>50962916</v>
      </c>
      <c r="D37">
        <v>48021352</v>
      </c>
      <c r="E37">
        <v>1</v>
      </c>
      <c r="F37">
        <v>1</v>
      </c>
      <c r="G37">
        <v>1</v>
      </c>
      <c r="H37">
        <v>2</v>
      </c>
      <c r="I37" t="s">
        <v>324</v>
      </c>
      <c r="J37" t="s">
        <v>325</v>
      </c>
      <c r="K37" t="s">
        <v>326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43.9</v>
      </c>
      <c r="Y37">
        <v>0</v>
      </c>
      <c r="Z37">
        <v>6.9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31</v>
      </c>
      <c r="AG37">
        <v>54.875</v>
      </c>
      <c r="AH37">
        <v>2</v>
      </c>
      <c r="AI37">
        <v>50962920</v>
      </c>
      <c r="AJ37">
        <v>36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ROW(Source!A35)</f>
        <v>35</v>
      </c>
      <c r="B38">
        <v>50962921</v>
      </c>
      <c r="C38">
        <v>50962916</v>
      </c>
      <c r="D38">
        <v>48022139</v>
      </c>
      <c r="E38">
        <v>1</v>
      </c>
      <c r="F38">
        <v>1</v>
      </c>
      <c r="G38">
        <v>1</v>
      </c>
      <c r="H38">
        <v>2</v>
      </c>
      <c r="I38" t="s">
        <v>300</v>
      </c>
      <c r="J38" t="s">
        <v>301</v>
      </c>
      <c r="K38" t="s">
        <v>302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0.28</v>
      </c>
      <c r="Y38">
        <v>0</v>
      </c>
      <c r="Z38">
        <v>65.71</v>
      </c>
      <c r="AA38">
        <v>11.6</v>
      </c>
      <c r="AB38">
        <v>0</v>
      </c>
      <c r="AC38">
        <v>0</v>
      </c>
      <c r="AD38">
        <v>1</v>
      </c>
      <c r="AE38">
        <v>0</v>
      </c>
      <c r="AF38" t="s">
        <v>31</v>
      </c>
      <c r="AG38">
        <v>0.35000000000000003</v>
      </c>
      <c r="AH38">
        <v>2</v>
      </c>
      <c r="AI38">
        <v>50962921</v>
      </c>
      <c r="AJ38">
        <v>37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ROW(Source!A35)</f>
        <v>35</v>
      </c>
      <c r="B39">
        <v>50962922</v>
      </c>
      <c r="C39">
        <v>50962916</v>
      </c>
      <c r="D39">
        <v>47875476</v>
      </c>
      <c r="E39">
        <v>1</v>
      </c>
      <c r="F39">
        <v>1</v>
      </c>
      <c r="G39">
        <v>1</v>
      </c>
      <c r="H39">
        <v>3</v>
      </c>
      <c r="I39" t="s">
        <v>374</v>
      </c>
      <c r="J39" t="s">
        <v>375</v>
      </c>
      <c r="K39" t="s">
        <v>376</v>
      </c>
      <c r="L39">
        <v>1346</v>
      </c>
      <c r="N39">
        <v>1009</v>
      </c>
      <c r="O39" t="s">
        <v>377</v>
      </c>
      <c r="P39" t="s">
        <v>377</v>
      </c>
      <c r="Q39">
        <v>1</v>
      </c>
      <c r="X39">
        <v>0</v>
      </c>
      <c r="Y39">
        <v>28.26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G39">
        <v>0</v>
      </c>
      <c r="AH39">
        <v>3</v>
      </c>
      <c r="AI39">
        <v>-1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ROW(Source!A35)</f>
        <v>35</v>
      </c>
      <c r="B40">
        <v>50962923</v>
      </c>
      <c r="C40">
        <v>50962916</v>
      </c>
      <c r="D40">
        <v>47875648</v>
      </c>
      <c r="E40">
        <v>1</v>
      </c>
      <c r="F40">
        <v>1</v>
      </c>
      <c r="G40">
        <v>1</v>
      </c>
      <c r="H40">
        <v>3</v>
      </c>
      <c r="I40" t="s">
        <v>82</v>
      </c>
      <c r="J40" t="s">
        <v>84</v>
      </c>
      <c r="K40" t="s">
        <v>83</v>
      </c>
      <c r="L40">
        <v>1348</v>
      </c>
      <c r="N40">
        <v>1009</v>
      </c>
      <c r="O40" t="s">
        <v>50</v>
      </c>
      <c r="P40" t="s">
        <v>50</v>
      </c>
      <c r="Q40">
        <v>1000</v>
      </c>
      <c r="X40">
        <v>0.00115</v>
      </c>
      <c r="Y40">
        <v>37900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0.00115</v>
      </c>
      <c r="AH40">
        <v>2</v>
      </c>
      <c r="AI40">
        <v>50962923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ROW(Source!A35)</f>
        <v>35</v>
      </c>
      <c r="B41">
        <v>50962924</v>
      </c>
      <c r="C41">
        <v>50962916</v>
      </c>
      <c r="D41">
        <v>47875776</v>
      </c>
      <c r="E41">
        <v>1</v>
      </c>
      <c r="F41">
        <v>1</v>
      </c>
      <c r="G41">
        <v>1</v>
      </c>
      <c r="H41">
        <v>3</v>
      </c>
      <c r="I41" t="s">
        <v>378</v>
      </c>
      <c r="J41" t="s">
        <v>379</v>
      </c>
      <c r="K41" t="s">
        <v>380</v>
      </c>
      <c r="L41">
        <v>1327</v>
      </c>
      <c r="N41">
        <v>1005</v>
      </c>
      <c r="O41" t="s">
        <v>174</v>
      </c>
      <c r="P41" t="s">
        <v>174</v>
      </c>
      <c r="Q41">
        <v>1</v>
      </c>
      <c r="X41">
        <v>0</v>
      </c>
      <c r="Y41">
        <v>52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G41">
        <v>0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ROW(Source!A35)</f>
        <v>35</v>
      </c>
      <c r="B42">
        <v>50962925</v>
      </c>
      <c r="C42">
        <v>50962916</v>
      </c>
      <c r="D42">
        <v>47875862</v>
      </c>
      <c r="E42">
        <v>1</v>
      </c>
      <c r="F42">
        <v>1</v>
      </c>
      <c r="G42">
        <v>1</v>
      </c>
      <c r="H42">
        <v>3</v>
      </c>
      <c r="I42" t="s">
        <v>381</v>
      </c>
      <c r="J42" t="s">
        <v>382</v>
      </c>
      <c r="K42" t="s">
        <v>383</v>
      </c>
      <c r="L42">
        <v>1327</v>
      </c>
      <c r="N42">
        <v>1005</v>
      </c>
      <c r="O42" t="s">
        <v>174</v>
      </c>
      <c r="P42" t="s">
        <v>174</v>
      </c>
      <c r="Q42">
        <v>1</v>
      </c>
      <c r="X42">
        <v>0</v>
      </c>
      <c r="Y42">
        <v>350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0</v>
      </c>
      <c r="AG42">
        <v>0</v>
      </c>
      <c r="AH42">
        <v>3</v>
      </c>
      <c r="AI42">
        <v>-1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ROW(Source!A35)</f>
        <v>35</v>
      </c>
      <c r="B43">
        <v>50962926</v>
      </c>
      <c r="C43">
        <v>50962916</v>
      </c>
      <c r="D43">
        <v>47889287</v>
      </c>
      <c r="E43">
        <v>1</v>
      </c>
      <c r="F43">
        <v>1</v>
      </c>
      <c r="G43">
        <v>1</v>
      </c>
      <c r="H43">
        <v>3</v>
      </c>
      <c r="I43" t="s">
        <v>78</v>
      </c>
      <c r="J43" t="s">
        <v>80</v>
      </c>
      <c r="K43" t="s">
        <v>79</v>
      </c>
      <c r="L43">
        <v>1348</v>
      </c>
      <c r="N43">
        <v>1009</v>
      </c>
      <c r="O43" t="s">
        <v>50</v>
      </c>
      <c r="P43" t="s">
        <v>50</v>
      </c>
      <c r="Q43">
        <v>1000</v>
      </c>
      <c r="X43">
        <v>0.02</v>
      </c>
      <c r="Y43">
        <v>7712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0.02</v>
      </c>
      <c r="AH43">
        <v>2</v>
      </c>
      <c r="AI43">
        <v>50962926</v>
      </c>
      <c r="AJ43">
        <v>39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ROW(Source!A35)</f>
        <v>35</v>
      </c>
      <c r="B44">
        <v>50962927</v>
      </c>
      <c r="C44">
        <v>50962916</v>
      </c>
      <c r="D44">
        <v>47891316</v>
      </c>
      <c r="E44">
        <v>1</v>
      </c>
      <c r="F44">
        <v>1</v>
      </c>
      <c r="G44">
        <v>1</v>
      </c>
      <c r="H44">
        <v>3</v>
      </c>
      <c r="I44" t="s">
        <v>73</v>
      </c>
      <c r="J44" t="s">
        <v>76</v>
      </c>
      <c r="K44" t="s">
        <v>74</v>
      </c>
      <c r="L44">
        <v>1302</v>
      </c>
      <c r="N44">
        <v>1003</v>
      </c>
      <c r="O44" t="s">
        <v>75</v>
      </c>
      <c r="P44" t="s">
        <v>75</v>
      </c>
      <c r="Q44">
        <v>10</v>
      </c>
      <c r="X44">
        <v>0.2</v>
      </c>
      <c r="Y44">
        <v>50.24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0.2</v>
      </c>
      <c r="AH44">
        <v>2</v>
      </c>
      <c r="AI44">
        <v>50962927</v>
      </c>
      <c r="AJ44">
        <v>40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ROW(Source!A35)</f>
        <v>35</v>
      </c>
      <c r="B45">
        <v>50962928</v>
      </c>
      <c r="C45">
        <v>50962916</v>
      </c>
      <c r="D45">
        <v>47862694</v>
      </c>
      <c r="E45">
        <v>56</v>
      </c>
      <c r="F45">
        <v>1</v>
      </c>
      <c r="G45">
        <v>1</v>
      </c>
      <c r="H45">
        <v>3</v>
      </c>
      <c r="I45" t="s">
        <v>384</v>
      </c>
      <c r="K45" t="s">
        <v>385</v>
      </c>
      <c r="L45">
        <v>1348</v>
      </c>
      <c r="N45">
        <v>1009</v>
      </c>
      <c r="O45" t="s">
        <v>50</v>
      </c>
      <c r="P45" t="s">
        <v>50</v>
      </c>
      <c r="Q45">
        <v>1000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G45">
        <v>0</v>
      </c>
      <c r="AH45">
        <v>3</v>
      </c>
      <c r="AI45">
        <v>-1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ROW(Source!A35)</f>
        <v>35</v>
      </c>
      <c r="B46">
        <v>50962929</v>
      </c>
      <c r="C46">
        <v>50962916</v>
      </c>
      <c r="D46">
        <v>47895708</v>
      </c>
      <c r="E46">
        <v>1</v>
      </c>
      <c r="F46">
        <v>1</v>
      </c>
      <c r="G46">
        <v>1</v>
      </c>
      <c r="H46">
        <v>3</v>
      </c>
      <c r="I46" t="s">
        <v>68</v>
      </c>
      <c r="J46" t="s">
        <v>71</v>
      </c>
      <c r="K46" t="s">
        <v>69</v>
      </c>
      <c r="L46">
        <v>1339</v>
      </c>
      <c r="N46">
        <v>1007</v>
      </c>
      <c r="O46" t="s">
        <v>70</v>
      </c>
      <c r="P46" t="s">
        <v>70</v>
      </c>
      <c r="Q46">
        <v>1</v>
      </c>
      <c r="X46">
        <v>0.04</v>
      </c>
      <c r="Y46">
        <v>1700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0.04</v>
      </c>
      <c r="AH46">
        <v>2</v>
      </c>
      <c r="AI46">
        <v>50962929</v>
      </c>
      <c r="AJ46">
        <v>41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ROW(Source!A86)</f>
        <v>86</v>
      </c>
      <c r="B47">
        <v>50962802</v>
      </c>
      <c r="C47">
        <v>50962795</v>
      </c>
      <c r="D47">
        <v>37822898</v>
      </c>
      <c r="E47">
        <v>54</v>
      </c>
      <c r="F47">
        <v>1</v>
      </c>
      <c r="G47">
        <v>1</v>
      </c>
      <c r="H47">
        <v>1</v>
      </c>
      <c r="I47" t="s">
        <v>295</v>
      </c>
      <c r="K47" t="s">
        <v>296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X47">
        <v>70.2</v>
      </c>
      <c r="Y47">
        <v>0</v>
      </c>
      <c r="Z47">
        <v>0</v>
      </c>
      <c r="AA47">
        <v>0</v>
      </c>
      <c r="AB47">
        <v>8.64</v>
      </c>
      <c r="AC47">
        <v>0</v>
      </c>
      <c r="AD47">
        <v>1</v>
      </c>
      <c r="AE47">
        <v>1</v>
      </c>
      <c r="AF47" t="s">
        <v>32</v>
      </c>
      <c r="AG47">
        <v>80.73</v>
      </c>
      <c r="AH47">
        <v>2</v>
      </c>
      <c r="AI47">
        <v>50962796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ROW(Source!A86)</f>
        <v>86</v>
      </c>
      <c r="B48">
        <v>50962803</v>
      </c>
      <c r="C48">
        <v>50962795</v>
      </c>
      <c r="D48">
        <v>37822850</v>
      </c>
      <c r="E48">
        <v>54</v>
      </c>
      <c r="F48">
        <v>1</v>
      </c>
      <c r="G48">
        <v>1</v>
      </c>
      <c r="H48">
        <v>1</v>
      </c>
      <c r="I48" t="s">
        <v>298</v>
      </c>
      <c r="K48" t="s">
        <v>299</v>
      </c>
      <c r="L48">
        <v>1191</v>
      </c>
      <c r="N48">
        <v>1013</v>
      </c>
      <c r="O48" t="s">
        <v>297</v>
      </c>
      <c r="P48" t="s">
        <v>297</v>
      </c>
      <c r="Q48">
        <v>1</v>
      </c>
      <c r="X48">
        <v>0.18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31</v>
      </c>
      <c r="AG48">
        <v>0.22499999999999998</v>
      </c>
      <c r="AH48">
        <v>2</v>
      </c>
      <c r="AI48">
        <v>50962797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ROW(Source!A86)</f>
        <v>86</v>
      </c>
      <c r="B49">
        <v>50962804</v>
      </c>
      <c r="C49">
        <v>50962795</v>
      </c>
      <c r="D49">
        <v>44977280</v>
      </c>
      <c r="E49">
        <v>1</v>
      </c>
      <c r="F49">
        <v>1</v>
      </c>
      <c r="G49">
        <v>1</v>
      </c>
      <c r="H49">
        <v>2</v>
      </c>
      <c r="I49" t="s">
        <v>300</v>
      </c>
      <c r="J49" t="s">
        <v>301</v>
      </c>
      <c r="K49" t="s">
        <v>302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0.18</v>
      </c>
      <c r="Y49">
        <v>0</v>
      </c>
      <c r="Z49">
        <v>65.71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31</v>
      </c>
      <c r="AG49">
        <v>0.22499999999999998</v>
      </c>
      <c r="AH49">
        <v>2</v>
      </c>
      <c r="AI49">
        <v>50962798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ROW(Source!A86)</f>
        <v>86</v>
      </c>
      <c r="B50">
        <v>50962805</v>
      </c>
      <c r="C50">
        <v>50962795</v>
      </c>
      <c r="D50">
        <v>44815662</v>
      </c>
      <c r="E50">
        <v>1</v>
      </c>
      <c r="F50">
        <v>1</v>
      </c>
      <c r="G50">
        <v>1</v>
      </c>
      <c r="H50">
        <v>3</v>
      </c>
      <c r="I50" t="s">
        <v>304</v>
      </c>
      <c r="J50" t="s">
        <v>305</v>
      </c>
      <c r="K50" t="s">
        <v>306</v>
      </c>
      <c r="L50">
        <v>1339</v>
      </c>
      <c r="N50">
        <v>1007</v>
      </c>
      <c r="O50" t="s">
        <v>70</v>
      </c>
      <c r="P50" t="s">
        <v>70</v>
      </c>
      <c r="Q50">
        <v>1</v>
      </c>
      <c r="X50">
        <v>0.008</v>
      </c>
      <c r="Y50">
        <v>1100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0.008</v>
      </c>
      <c r="AH50">
        <v>2</v>
      </c>
      <c r="AI50">
        <v>50962799</v>
      </c>
      <c r="AJ50">
        <v>48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ROW(Source!A86)</f>
        <v>86</v>
      </c>
      <c r="B51">
        <v>50962806</v>
      </c>
      <c r="C51">
        <v>50962795</v>
      </c>
      <c r="D51">
        <v>44815664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50</v>
      </c>
      <c r="P51" t="s">
        <v>50</v>
      </c>
      <c r="Q51">
        <v>1000</v>
      </c>
      <c r="X51">
        <v>0.029</v>
      </c>
      <c r="Y51">
        <v>6102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0.029</v>
      </c>
      <c r="AH51">
        <v>2</v>
      </c>
      <c r="AI51">
        <v>50962800</v>
      </c>
      <c r="AJ51">
        <v>49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ROW(Source!A86)</f>
        <v>86</v>
      </c>
      <c r="B52">
        <v>50962807</v>
      </c>
      <c r="C52">
        <v>50962795</v>
      </c>
      <c r="D52">
        <v>44841949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1327</v>
      </c>
      <c r="N52">
        <v>1005</v>
      </c>
      <c r="O52" t="s">
        <v>174</v>
      </c>
      <c r="P52" t="s">
        <v>174</v>
      </c>
      <c r="Q52">
        <v>1</v>
      </c>
      <c r="X52">
        <v>5.5</v>
      </c>
      <c r="Y52">
        <v>35.22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5.5</v>
      </c>
      <c r="AH52">
        <v>2</v>
      </c>
      <c r="AI52">
        <v>50962801</v>
      </c>
      <c r="AJ52">
        <v>50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ROW(Source!A87)</f>
        <v>87</v>
      </c>
      <c r="B53">
        <v>50962802</v>
      </c>
      <c r="C53">
        <v>50962795</v>
      </c>
      <c r="D53">
        <v>37822898</v>
      </c>
      <c r="E53">
        <v>54</v>
      </c>
      <c r="F53">
        <v>1</v>
      </c>
      <c r="G53">
        <v>1</v>
      </c>
      <c r="H53">
        <v>1</v>
      </c>
      <c r="I53" t="s">
        <v>295</v>
      </c>
      <c r="K53" t="s">
        <v>296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X53">
        <v>70.2</v>
      </c>
      <c r="Y53">
        <v>0</v>
      </c>
      <c r="Z53">
        <v>0</v>
      </c>
      <c r="AA53">
        <v>0</v>
      </c>
      <c r="AB53">
        <v>8.64</v>
      </c>
      <c r="AC53">
        <v>0</v>
      </c>
      <c r="AD53">
        <v>1</v>
      </c>
      <c r="AE53">
        <v>1</v>
      </c>
      <c r="AF53" t="s">
        <v>32</v>
      </c>
      <c r="AG53">
        <v>80.73</v>
      </c>
      <c r="AH53">
        <v>2</v>
      </c>
      <c r="AI53">
        <v>50962796</v>
      </c>
      <c r="AJ53">
        <v>51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ROW(Source!A87)</f>
        <v>87</v>
      </c>
      <c r="B54">
        <v>50962803</v>
      </c>
      <c r="C54">
        <v>50962795</v>
      </c>
      <c r="D54">
        <v>37822850</v>
      </c>
      <c r="E54">
        <v>54</v>
      </c>
      <c r="F54">
        <v>1</v>
      </c>
      <c r="G54">
        <v>1</v>
      </c>
      <c r="H54">
        <v>1</v>
      </c>
      <c r="I54" t="s">
        <v>298</v>
      </c>
      <c r="K54" t="s">
        <v>299</v>
      </c>
      <c r="L54">
        <v>1191</v>
      </c>
      <c r="N54">
        <v>1013</v>
      </c>
      <c r="O54" t="s">
        <v>297</v>
      </c>
      <c r="P54" t="s">
        <v>297</v>
      </c>
      <c r="Q54">
        <v>1</v>
      </c>
      <c r="X54">
        <v>0.18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31</v>
      </c>
      <c r="AG54">
        <v>0.22499999999999998</v>
      </c>
      <c r="AH54">
        <v>2</v>
      </c>
      <c r="AI54">
        <v>50962797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ROW(Source!A87)</f>
        <v>87</v>
      </c>
      <c r="B55">
        <v>50962804</v>
      </c>
      <c r="C55">
        <v>50962795</v>
      </c>
      <c r="D55">
        <v>44977280</v>
      </c>
      <c r="E55">
        <v>1</v>
      </c>
      <c r="F55">
        <v>1</v>
      </c>
      <c r="G55">
        <v>1</v>
      </c>
      <c r="H55">
        <v>2</v>
      </c>
      <c r="I55" t="s">
        <v>300</v>
      </c>
      <c r="J55" t="s">
        <v>301</v>
      </c>
      <c r="K55" t="s">
        <v>302</v>
      </c>
      <c r="L55">
        <v>1368</v>
      </c>
      <c r="N55">
        <v>1011</v>
      </c>
      <c r="O55" t="s">
        <v>303</v>
      </c>
      <c r="P55" t="s">
        <v>303</v>
      </c>
      <c r="Q55">
        <v>1</v>
      </c>
      <c r="X55">
        <v>0.18</v>
      </c>
      <c r="Y55">
        <v>0</v>
      </c>
      <c r="Z55">
        <v>65.71</v>
      </c>
      <c r="AA55">
        <v>11.6</v>
      </c>
      <c r="AB55">
        <v>0</v>
      </c>
      <c r="AC55">
        <v>0</v>
      </c>
      <c r="AD55">
        <v>1</v>
      </c>
      <c r="AE55">
        <v>0</v>
      </c>
      <c r="AF55" t="s">
        <v>31</v>
      </c>
      <c r="AG55">
        <v>0.22499999999999998</v>
      </c>
      <c r="AH55">
        <v>2</v>
      </c>
      <c r="AI55">
        <v>50962798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ROW(Source!A87)</f>
        <v>87</v>
      </c>
      <c r="B56">
        <v>50962805</v>
      </c>
      <c r="C56">
        <v>50962795</v>
      </c>
      <c r="D56">
        <v>44815662</v>
      </c>
      <c r="E56">
        <v>1</v>
      </c>
      <c r="F56">
        <v>1</v>
      </c>
      <c r="G56">
        <v>1</v>
      </c>
      <c r="H56">
        <v>3</v>
      </c>
      <c r="I56" t="s">
        <v>304</v>
      </c>
      <c r="J56" t="s">
        <v>305</v>
      </c>
      <c r="K56" t="s">
        <v>306</v>
      </c>
      <c r="L56">
        <v>1339</v>
      </c>
      <c r="N56">
        <v>1007</v>
      </c>
      <c r="O56" t="s">
        <v>70</v>
      </c>
      <c r="P56" t="s">
        <v>70</v>
      </c>
      <c r="Q56">
        <v>1</v>
      </c>
      <c r="X56">
        <v>0.008</v>
      </c>
      <c r="Y56">
        <v>1100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0.008</v>
      </c>
      <c r="AH56">
        <v>2</v>
      </c>
      <c r="AI56">
        <v>50962799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ROW(Source!A87)</f>
        <v>87</v>
      </c>
      <c r="B57">
        <v>50962806</v>
      </c>
      <c r="C57">
        <v>50962795</v>
      </c>
      <c r="D57">
        <v>44815664</v>
      </c>
      <c r="E57">
        <v>1</v>
      </c>
      <c r="F57">
        <v>1</v>
      </c>
      <c r="G57">
        <v>1</v>
      </c>
      <c r="H57">
        <v>3</v>
      </c>
      <c r="I57" t="s">
        <v>307</v>
      </c>
      <c r="J57" t="s">
        <v>308</v>
      </c>
      <c r="K57" t="s">
        <v>309</v>
      </c>
      <c r="L57">
        <v>1348</v>
      </c>
      <c r="N57">
        <v>1009</v>
      </c>
      <c r="O57" t="s">
        <v>50</v>
      </c>
      <c r="P57" t="s">
        <v>50</v>
      </c>
      <c r="Q57">
        <v>1000</v>
      </c>
      <c r="X57">
        <v>0.029</v>
      </c>
      <c r="Y57">
        <v>6102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0.029</v>
      </c>
      <c r="AH57">
        <v>2</v>
      </c>
      <c r="AI57">
        <v>50962800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ROW(Source!A87)</f>
        <v>87</v>
      </c>
      <c r="B58">
        <v>50962807</v>
      </c>
      <c r="C58">
        <v>50962795</v>
      </c>
      <c r="D58">
        <v>44841949</v>
      </c>
      <c r="E58">
        <v>1</v>
      </c>
      <c r="F58">
        <v>1</v>
      </c>
      <c r="G58">
        <v>1</v>
      </c>
      <c r="H58">
        <v>3</v>
      </c>
      <c r="I58" t="s">
        <v>310</v>
      </c>
      <c r="J58" t="s">
        <v>311</v>
      </c>
      <c r="K58" t="s">
        <v>312</v>
      </c>
      <c r="L58">
        <v>1327</v>
      </c>
      <c r="N58">
        <v>1005</v>
      </c>
      <c r="O58" t="s">
        <v>174</v>
      </c>
      <c r="P58" t="s">
        <v>174</v>
      </c>
      <c r="Q58">
        <v>1</v>
      </c>
      <c r="X58">
        <v>5.5</v>
      </c>
      <c r="Y58">
        <v>35.22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5.5</v>
      </c>
      <c r="AH58">
        <v>2</v>
      </c>
      <c r="AI58">
        <v>50962801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ROW(Source!A88)</f>
        <v>88</v>
      </c>
      <c r="B59">
        <v>50961400</v>
      </c>
      <c r="C59">
        <v>50961395</v>
      </c>
      <c r="D59">
        <v>37822883</v>
      </c>
      <c r="E59">
        <v>58</v>
      </c>
      <c r="F59">
        <v>1</v>
      </c>
      <c r="G59">
        <v>1</v>
      </c>
      <c r="H59">
        <v>1</v>
      </c>
      <c r="I59" t="s">
        <v>313</v>
      </c>
      <c r="K59" t="s">
        <v>314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X59">
        <v>46.11</v>
      </c>
      <c r="Y59">
        <v>0</v>
      </c>
      <c r="Z59">
        <v>0</v>
      </c>
      <c r="AA59">
        <v>0</v>
      </c>
      <c r="AB59">
        <v>8.02</v>
      </c>
      <c r="AC59">
        <v>0</v>
      </c>
      <c r="AD59">
        <v>1</v>
      </c>
      <c r="AE59">
        <v>1</v>
      </c>
      <c r="AG59">
        <v>46.11</v>
      </c>
      <c r="AH59">
        <v>2</v>
      </c>
      <c r="AI59">
        <v>50961396</v>
      </c>
      <c r="AJ59">
        <v>57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ROW(Source!A88)</f>
        <v>88</v>
      </c>
      <c r="B60">
        <v>50961401</v>
      </c>
      <c r="C60">
        <v>50961395</v>
      </c>
      <c r="D60">
        <v>49459566</v>
      </c>
      <c r="E60">
        <v>58</v>
      </c>
      <c r="F60">
        <v>1</v>
      </c>
      <c r="G60">
        <v>1</v>
      </c>
      <c r="H60">
        <v>1</v>
      </c>
      <c r="I60" t="s">
        <v>315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X60">
        <v>0.93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G60">
        <v>0.93</v>
      </c>
      <c r="AH60">
        <v>2</v>
      </c>
      <c r="AI60">
        <v>50961397</v>
      </c>
      <c r="AJ60">
        <v>58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ROW(Source!A88)</f>
        <v>88</v>
      </c>
      <c r="B61">
        <v>50961402</v>
      </c>
      <c r="C61">
        <v>50961395</v>
      </c>
      <c r="D61">
        <v>49620537</v>
      </c>
      <c r="E61">
        <v>1</v>
      </c>
      <c r="F61">
        <v>1</v>
      </c>
      <c r="G61">
        <v>1</v>
      </c>
      <c r="H61">
        <v>2</v>
      </c>
      <c r="I61" t="s">
        <v>316</v>
      </c>
      <c r="J61" t="s">
        <v>317</v>
      </c>
      <c r="K61" t="s">
        <v>318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0.93</v>
      </c>
      <c r="Y61">
        <v>0</v>
      </c>
      <c r="Z61">
        <v>31.26</v>
      </c>
      <c r="AA61">
        <v>13.5</v>
      </c>
      <c r="AB61">
        <v>0</v>
      </c>
      <c r="AC61">
        <v>0</v>
      </c>
      <c r="AD61">
        <v>1</v>
      </c>
      <c r="AE61">
        <v>0</v>
      </c>
      <c r="AG61">
        <v>0.93</v>
      </c>
      <c r="AH61">
        <v>2</v>
      </c>
      <c r="AI61">
        <v>50961398</v>
      </c>
      <c r="AJ61">
        <v>59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ROW(Source!A88)</f>
        <v>88</v>
      </c>
      <c r="B62">
        <v>50961403</v>
      </c>
      <c r="C62">
        <v>50961395</v>
      </c>
      <c r="D62">
        <v>49463934</v>
      </c>
      <c r="E62">
        <v>58</v>
      </c>
      <c r="F62">
        <v>1</v>
      </c>
      <c r="G62">
        <v>1</v>
      </c>
      <c r="H62">
        <v>3</v>
      </c>
      <c r="I62" t="s">
        <v>48</v>
      </c>
      <c r="K62" t="s">
        <v>49</v>
      </c>
      <c r="L62">
        <v>1348</v>
      </c>
      <c r="N62">
        <v>1009</v>
      </c>
      <c r="O62" t="s">
        <v>50</v>
      </c>
      <c r="P62" t="s">
        <v>50</v>
      </c>
      <c r="Q62">
        <v>1000</v>
      </c>
      <c r="X62">
        <v>3.42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G62">
        <v>3.42</v>
      </c>
      <c r="AH62">
        <v>2</v>
      </c>
      <c r="AI62">
        <v>50961399</v>
      </c>
      <c r="AJ62">
        <v>60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ROW(Source!A89)</f>
        <v>89</v>
      </c>
      <c r="B63">
        <v>50961400</v>
      </c>
      <c r="C63">
        <v>50961395</v>
      </c>
      <c r="D63">
        <v>37822883</v>
      </c>
      <c r="E63">
        <v>58</v>
      </c>
      <c r="F63">
        <v>1</v>
      </c>
      <c r="G63">
        <v>1</v>
      </c>
      <c r="H63">
        <v>1</v>
      </c>
      <c r="I63" t="s">
        <v>313</v>
      </c>
      <c r="K63" t="s">
        <v>314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X63">
        <v>46.11</v>
      </c>
      <c r="Y63">
        <v>0</v>
      </c>
      <c r="Z63">
        <v>0</v>
      </c>
      <c r="AA63">
        <v>0</v>
      </c>
      <c r="AB63">
        <v>8.02</v>
      </c>
      <c r="AC63">
        <v>0</v>
      </c>
      <c r="AD63">
        <v>1</v>
      </c>
      <c r="AE63">
        <v>1</v>
      </c>
      <c r="AG63">
        <v>46.11</v>
      </c>
      <c r="AH63">
        <v>2</v>
      </c>
      <c r="AI63">
        <v>50961396</v>
      </c>
      <c r="AJ63">
        <v>61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ROW(Source!A89)</f>
        <v>89</v>
      </c>
      <c r="B64">
        <v>50961401</v>
      </c>
      <c r="C64">
        <v>50961395</v>
      </c>
      <c r="D64">
        <v>49459566</v>
      </c>
      <c r="E64">
        <v>58</v>
      </c>
      <c r="F64">
        <v>1</v>
      </c>
      <c r="G64">
        <v>1</v>
      </c>
      <c r="H64">
        <v>1</v>
      </c>
      <c r="I64" t="s">
        <v>315</v>
      </c>
      <c r="K64" t="s">
        <v>299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X64">
        <v>0.93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G64">
        <v>0.93</v>
      </c>
      <c r="AH64">
        <v>2</v>
      </c>
      <c r="AI64">
        <v>50961397</v>
      </c>
      <c r="AJ64">
        <v>62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ROW(Source!A89)</f>
        <v>89</v>
      </c>
      <c r="B65">
        <v>50961402</v>
      </c>
      <c r="C65">
        <v>50961395</v>
      </c>
      <c r="D65">
        <v>49620537</v>
      </c>
      <c r="E65">
        <v>1</v>
      </c>
      <c r="F65">
        <v>1</v>
      </c>
      <c r="G65">
        <v>1</v>
      </c>
      <c r="H65">
        <v>2</v>
      </c>
      <c r="I65" t="s">
        <v>316</v>
      </c>
      <c r="J65" t="s">
        <v>317</v>
      </c>
      <c r="K65" t="s">
        <v>318</v>
      </c>
      <c r="L65">
        <v>1368</v>
      </c>
      <c r="N65">
        <v>1011</v>
      </c>
      <c r="O65" t="s">
        <v>303</v>
      </c>
      <c r="P65" t="s">
        <v>303</v>
      </c>
      <c r="Q65">
        <v>1</v>
      </c>
      <c r="X65">
        <v>0.93</v>
      </c>
      <c r="Y65">
        <v>0</v>
      </c>
      <c r="Z65">
        <v>31.26</v>
      </c>
      <c r="AA65">
        <v>13.5</v>
      </c>
      <c r="AB65">
        <v>0</v>
      </c>
      <c r="AC65">
        <v>0</v>
      </c>
      <c r="AD65">
        <v>1</v>
      </c>
      <c r="AE65">
        <v>0</v>
      </c>
      <c r="AG65">
        <v>0.93</v>
      </c>
      <c r="AH65">
        <v>2</v>
      </c>
      <c r="AI65">
        <v>50961398</v>
      </c>
      <c r="AJ65">
        <v>63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ROW(Source!A89)</f>
        <v>89</v>
      </c>
      <c r="B66">
        <v>50961403</v>
      </c>
      <c r="C66">
        <v>50961395</v>
      </c>
      <c r="D66">
        <v>49463934</v>
      </c>
      <c r="E66">
        <v>58</v>
      </c>
      <c r="F66">
        <v>1</v>
      </c>
      <c r="G66">
        <v>1</v>
      </c>
      <c r="H66">
        <v>3</v>
      </c>
      <c r="I66" t="s">
        <v>48</v>
      </c>
      <c r="K66" t="s">
        <v>49</v>
      </c>
      <c r="L66">
        <v>1348</v>
      </c>
      <c r="N66">
        <v>1009</v>
      </c>
      <c r="O66" t="s">
        <v>50</v>
      </c>
      <c r="P66" t="s">
        <v>50</v>
      </c>
      <c r="Q66">
        <v>1000</v>
      </c>
      <c r="X66">
        <v>3.42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G66">
        <v>3.42</v>
      </c>
      <c r="AH66">
        <v>2</v>
      </c>
      <c r="AI66">
        <v>50961399</v>
      </c>
      <c r="AJ66">
        <v>64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ROW(Source!A92)</f>
        <v>92</v>
      </c>
      <c r="B67">
        <v>50961406</v>
      </c>
      <c r="C67">
        <v>50961405</v>
      </c>
      <c r="D67">
        <v>49459391</v>
      </c>
      <c r="E67">
        <v>58</v>
      </c>
      <c r="F67">
        <v>1</v>
      </c>
      <c r="G67">
        <v>1</v>
      </c>
      <c r="H67">
        <v>1</v>
      </c>
      <c r="I67" t="s">
        <v>327</v>
      </c>
      <c r="K67" t="s">
        <v>328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X67">
        <v>122.57</v>
      </c>
      <c r="Y67">
        <v>0</v>
      </c>
      <c r="Z67">
        <v>0</v>
      </c>
      <c r="AA67">
        <v>0</v>
      </c>
      <c r="AB67">
        <v>8.74</v>
      </c>
      <c r="AC67">
        <v>0</v>
      </c>
      <c r="AD67">
        <v>1</v>
      </c>
      <c r="AE67">
        <v>1</v>
      </c>
      <c r="AF67" t="s">
        <v>150</v>
      </c>
      <c r="AG67">
        <v>98.056</v>
      </c>
      <c r="AH67">
        <v>2</v>
      </c>
      <c r="AI67">
        <v>50961406</v>
      </c>
      <c r="AJ67">
        <v>65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ROW(Source!A92)</f>
        <v>92</v>
      </c>
      <c r="B68">
        <v>50961407</v>
      </c>
      <c r="C68">
        <v>50961405</v>
      </c>
      <c r="D68">
        <v>49459566</v>
      </c>
      <c r="E68">
        <v>58</v>
      </c>
      <c r="F68">
        <v>1</v>
      </c>
      <c r="G68">
        <v>1</v>
      </c>
      <c r="H68">
        <v>1</v>
      </c>
      <c r="I68" t="s">
        <v>315</v>
      </c>
      <c r="K68" t="s">
        <v>299</v>
      </c>
      <c r="L68">
        <v>1191</v>
      </c>
      <c r="N68">
        <v>1013</v>
      </c>
      <c r="O68" t="s">
        <v>297</v>
      </c>
      <c r="P68" t="s">
        <v>297</v>
      </c>
      <c r="Q68">
        <v>1</v>
      </c>
      <c r="X68">
        <v>3.8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150</v>
      </c>
      <c r="AG68">
        <v>3.04</v>
      </c>
      <c r="AH68">
        <v>2</v>
      </c>
      <c r="AI68">
        <v>50961407</v>
      </c>
      <c r="AJ68">
        <v>66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ROW(Source!A92)</f>
        <v>92</v>
      </c>
      <c r="B69">
        <v>50961408</v>
      </c>
      <c r="C69">
        <v>50961405</v>
      </c>
      <c r="D69">
        <v>49620537</v>
      </c>
      <c r="E69">
        <v>1</v>
      </c>
      <c r="F69">
        <v>1</v>
      </c>
      <c r="G69">
        <v>1</v>
      </c>
      <c r="H69">
        <v>2</v>
      </c>
      <c r="I69" t="s">
        <v>316</v>
      </c>
      <c r="J69" t="s">
        <v>317</v>
      </c>
      <c r="K69" t="s">
        <v>318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X69">
        <v>0.52</v>
      </c>
      <c r="Y69">
        <v>0</v>
      </c>
      <c r="Z69">
        <v>31.26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150</v>
      </c>
      <c r="AG69">
        <v>0.41600000000000004</v>
      </c>
      <c r="AH69">
        <v>2</v>
      </c>
      <c r="AI69">
        <v>50961408</v>
      </c>
      <c r="AJ69">
        <v>67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ROW(Source!A92)</f>
        <v>92</v>
      </c>
      <c r="B70">
        <v>50961409</v>
      </c>
      <c r="C70">
        <v>50961405</v>
      </c>
      <c r="D70">
        <v>49621268</v>
      </c>
      <c r="E70">
        <v>1</v>
      </c>
      <c r="F70">
        <v>1</v>
      </c>
      <c r="G70">
        <v>1</v>
      </c>
      <c r="H70">
        <v>2</v>
      </c>
      <c r="I70" t="s">
        <v>300</v>
      </c>
      <c r="J70" t="s">
        <v>301</v>
      </c>
      <c r="K70" t="s">
        <v>302</v>
      </c>
      <c r="L70">
        <v>1368</v>
      </c>
      <c r="N70">
        <v>1011</v>
      </c>
      <c r="O70" t="s">
        <v>303</v>
      </c>
      <c r="P70" t="s">
        <v>303</v>
      </c>
      <c r="Q70">
        <v>1</v>
      </c>
      <c r="X70">
        <v>3.28</v>
      </c>
      <c r="Y70">
        <v>0</v>
      </c>
      <c r="Z70">
        <v>65.71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150</v>
      </c>
      <c r="AG70">
        <v>2.624</v>
      </c>
      <c r="AH70">
        <v>2</v>
      </c>
      <c r="AI70">
        <v>50961409</v>
      </c>
      <c r="AJ70">
        <v>68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ROW(Source!A92)</f>
        <v>92</v>
      </c>
      <c r="B71">
        <v>50961410</v>
      </c>
      <c r="C71">
        <v>50961405</v>
      </c>
      <c r="D71">
        <v>49471781</v>
      </c>
      <c r="E71">
        <v>1</v>
      </c>
      <c r="F71">
        <v>1</v>
      </c>
      <c r="G71">
        <v>1</v>
      </c>
      <c r="H71">
        <v>3</v>
      </c>
      <c r="I71" t="s">
        <v>329</v>
      </c>
      <c r="J71" t="s">
        <v>330</v>
      </c>
      <c r="K71" t="s">
        <v>331</v>
      </c>
      <c r="L71">
        <v>1301</v>
      </c>
      <c r="N71">
        <v>1003</v>
      </c>
      <c r="O71" t="s">
        <v>332</v>
      </c>
      <c r="P71" t="s">
        <v>332</v>
      </c>
      <c r="Q71">
        <v>1</v>
      </c>
      <c r="X71">
        <v>218</v>
      </c>
      <c r="Y71">
        <v>6.38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149</v>
      </c>
      <c r="AG71">
        <v>0</v>
      </c>
      <c r="AH71">
        <v>2</v>
      </c>
      <c r="AI71">
        <v>50961410</v>
      </c>
      <c r="AJ71">
        <v>69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ROW(Source!A92)</f>
        <v>92</v>
      </c>
      <c r="B72">
        <v>50961411</v>
      </c>
      <c r="C72">
        <v>50961405</v>
      </c>
      <c r="D72">
        <v>49471782</v>
      </c>
      <c r="E72">
        <v>1</v>
      </c>
      <c r="F72">
        <v>1</v>
      </c>
      <c r="G72">
        <v>1</v>
      </c>
      <c r="H72">
        <v>3</v>
      </c>
      <c r="I72" t="s">
        <v>333</v>
      </c>
      <c r="J72" t="s">
        <v>334</v>
      </c>
      <c r="K72" t="s">
        <v>335</v>
      </c>
      <c r="L72">
        <v>1301</v>
      </c>
      <c r="N72">
        <v>1003</v>
      </c>
      <c r="O72" t="s">
        <v>332</v>
      </c>
      <c r="P72" t="s">
        <v>332</v>
      </c>
      <c r="Q72">
        <v>1</v>
      </c>
      <c r="X72">
        <v>40</v>
      </c>
      <c r="Y72">
        <v>7.95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149</v>
      </c>
      <c r="AG72">
        <v>0</v>
      </c>
      <c r="AH72">
        <v>2</v>
      </c>
      <c r="AI72">
        <v>50961411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ROW(Source!A92)</f>
        <v>92</v>
      </c>
      <c r="B73">
        <v>50961412</v>
      </c>
      <c r="C73">
        <v>50961405</v>
      </c>
      <c r="D73">
        <v>49471867</v>
      </c>
      <c r="E73">
        <v>1</v>
      </c>
      <c r="F73">
        <v>1</v>
      </c>
      <c r="G73">
        <v>1</v>
      </c>
      <c r="H73">
        <v>3</v>
      </c>
      <c r="I73" t="s">
        <v>336</v>
      </c>
      <c r="J73" t="s">
        <v>337</v>
      </c>
      <c r="K73" t="s">
        <v>338</v>
      </c>
      <c r="L73">
        <v>1302</v>
      </c>
      <c r="N73">
        <v>1003</v>
      </c>
      <c r="O73" t="s">
        <v>75</v>
      </c>
      <c r="P73" t="s">
        <v>75</v>
      </c>
      <c r="Q73">
        <v>10</v>
      </c>
      <c r="X73">
        <v>15.1</v>
      </c>
      <c r="Y73">
        <v>64.1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149</v>
      </c>
      <c r="AG73">
        <v>0</v>
      </c>
      <c r="AH73">
        <v>2</v>
      </c>
      <c r="AI73">
        <v>50961412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ROW(Source!A92)</f>
        <v>92</v>
      </c>
      <c r="B74">
        <v>50961413</v>
      </c>
      <c r="C74">
        <v>50961405</v>
      </c>
      <c r="D74">
        <v>49473896</v>
      </c>
      <c r="E74">
        <v>1</v>
      </c>
      <c r="F74">
        <v>1</v>
      </c>
      <c r="G74">
        <v>1</v>
      </c>
      <c r="H74">
        <v>3</v>
      </c>
      <c r="I74" t="s">
        <v>339</v>
      </c>
      <c r="J74" t="s">
        <v>340</v>
      </c>
      <c r="K74" t="s">
        <v>341</v>
      </c>
      <c r="L74">
        <v>1455</v>
      </c>
      <c r="N74">
        <v>1013</v>
      </c>
      <c r="O74" t="s">
        <v>342</v>
      </c>
      <c r="P74" t="s">
        <v>342</v>
      </c>
      <c r="Q74">
        <v>1</v>
      </c>
      <c r="X74">
        <v>31.1</v>
      </c>
      <c r="Y74">
        <v>7.03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149</v>
      </c>
      <c r="AG74">
        <v>0</v>
      </c>
      <c r="AH74">
        <v>2</v>
      </c>
      <c r="AI74">
        <v>50961413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ROW(Source!A92)</f>
        <v>92</v>
      </c>
      <c r="B75">
        <v>50961414</v>
      </c>
      <c r="C75">
        <v>50961405</v>
      </c>
      <c r="D75">
        <v>49461882</v>
      </c>
      <c r="E75">
        <v>58</v>
      </c>
      <c r="F75">
        <v>1</v>
      </c>
      <c r="G75">
        <v>1</v>
      </c>
      <c r="H75">
        <v>3</v>
      </c>
      <c r="I75" t="s">
        <v>386</v>
      </c>
      <c r="K75" t="s">
        <v>387</v>
      </c>
      <c r="L75">
        <v>1327</v>
      </c>
      <c r="N75">
        <v>1005</v>
      </c>
      <c r="O75" t="s">
        <v>174</v>
      </c>
      <c r="P75" t="s">
        <v>174</v>
      </c>
      <c r="Q75">
        <v>1</v>
      </c>
      <c r="X75">
        <v>100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 t="s">
        <v>149</v>
      </c>
      <c r="AG75">
        <v>0</v>
      </c>
      <c r="AH75">
        <v>3</v>
      </c>
      <c r="AI75">
        <v>-1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ROW(Source!A92)</f>
        <v>92</v>
      </c>
      <c r="B76">
        <v>50961415</v>
      </c>
      <c r="C76">
        <v>50961405</v>
      </c>
      <c r="D76">
        <v>49496837</v>
      </c>
      <c r="E76">
        <v>1</v>
      </c>
      <c r="F76">
        <v>1</v>
      </c>
      <c r="G76">
        <v>1</v>
      </c>
      <c r="H76">
        <v>3</v>
      </c>
      <c r="I76" t="s">
        <v>343</v>
      </c>
      <c r="J76" t="s">
        <v>344</v>
      </c>
      <c r="K76" t="s">
        <v>345</v>
      </c>
      <c r="L76">
        <v>1425</v>
      </c>
      <c r="N76">
        <v>1013</v>
      </c>
      <c r="O76" t="s">
        <v>168</v>
      </c>
      <c r="P76" t="s">
        <v>168</v>
      </c>
      <c r="Q76">
        <v>1</v>
      </c>
      <c r="X76">
        <v>8</v>
      </c>
      <c r="Y76">
        <v>50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149</v>
      </c>
      <c r="AG76">
        <v>0</v>
      </c>
      <c r="AH76">
        <v>2</v>
      </c>
      <c r="AI76">
        <v>50961415</v>
      </c>
      <c r="AJ76">
        <v>73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ROW(Source!A92)</f>
        <v>92</v>
      </c>
      <c r="B77">
        <v>50961416</v>
      </c>
      <c r="C77">
        <v>50961405</v>
      </c>
      <c r="D77">
        <v>49503348</v>
      </c>
      <c r="E77">
        <v>1</v>
      </c>
      <c r="F77">
        <v>1</v>
      </c>
      <c r="G77">
        <v>1</v>
      </c>
      <c r="H77">
        <v>3</v>
      </c>
      <c r="I77" t="s">
        <v>346</v>
      </c>
      <c r="J77" t="s">
        <v>347</v>
      </c>
      <c r="K77" t="s">
        <v>348</v>
      </c>
      <c r="L77">
        <v>1296</v>
      </c>
      <c r="N77">
        <v>1002</v>
      </c>
      <c r="O77" t="s">
        <v>349</v>
      </c>
      <c r="P77" t="s">
        <v>349</v>
      </c>
      <c r="Q77">
        <v>1</v>
      </c>
      <c r="X77">
        <v>52.73</v>
      </c>
      <c r="Y77">
        <v>46.86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149</v>
      </c>
      <c r="AG77">
        <v>0</v>
      </c>
      <c r="AH77">
        <v>2</v>
      </c>
      <c r="AI77">
        <v>50961416</v>
      </c>
      <c r="AJ77">
        <v>74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ROW(Source!A93)</f>
        <v>93</v>
      </c>
      <c r="B78">
        <v>50961406</v>
      </c>
      <c r="C78">
        <v>50961405</v>
      </c>
      <c r="D78">
        <v>49459391</v>
      </c>
      <c r="E78">
        <v>58</v>
      </c>
      <c r="F78">
        <v>1</v>
      </c>
      <c r="G78">
        <v>1</v>
      </c>
      <c r="H78">
        <v>1</v>
      </c>
      <c r="I78" t="s">
        <v>327</v>
      </c>
      <c r="K78" t="s">
        <v>328</v>
      </c>
      <c r="L78">
        <v>1191</v>
      </c>
      <c r="N78">
        <v>1013</v>
      </c>
      <c r="O78" t="s">
        <v>297</v>
      </c>
      <c r="P78" t="s">
        <v>297</v>
      </c>
      <c r="Q78">
        <v>1</v>
      </c>
      <c r="X78">
        <v>122.57</v>
      </c>
      <c r="Y78">
        <v>0</v>
      </c>
      <c r="Z78">
        <v>0</v>
      </c>
      <c r="AA78">
        <v>0</v>
      </c>
      <c r="AB78">
        <v>8.74</v>
      </c>
      <c r="AC78">
        <v>0</v>
      </c>
      <c r="AD78">
        <v>1</v>
      </c>
      <c r="AE78">
        <v>1</v>
      </c>
      <c r="AF78" t="s">
        <v>150</v>
      </c>
      <c r="AG78">
        <v>98.056</v>
      </c>
      <c r="AH78">
        <v>2</v>
      </c>
      <c r="AI78">
        <v>50961406</v>
      </c>
      <c r="AJ78">
        <v>75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ROW(Source!A93)</f>
        <v>93</v>
      </c>
      <c r="B79">
        <v>50961407</v>
      </c>
      <c r="C79">
        <v>50961405</v>
      </c>
      <c r="D79">
        <v>49459566</v>
      </c>
      <c r="E79">
        <v>58</v>
      </c>
      <c r="F79">
        <v>1</v>
      </c>
      <c r="G79">
        <v>1</v>
      </c>
      <c r="H79">
        <v>1</v>
      </c>
      <c r="I79" t="s">
        <v>315</v>
      </c>
      <c r="K79" t="s">
        <v>299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3.8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150</v>
      </c>
      <c r="AG79">
        <v>3.04</v>
      </c>
      <c r="AH79">
        <v>2</v>
      </c>
      <c r="AI79">
        <v>50961407</v>
      </c>
      <c r="AJ79">
        <v>76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ROW(Source!A93)</f>
        <v>93</v>
      </c>
      <c r="B80">
        <v>50961408</v>
      </c>
      <c r="C80">
        <v>50961405</v>
      </c>
      <c r="D80">
        <v>49620537</v>
      </c>
      <c r="E80">
        <v>1</v>
      </c>
      <c r="F80">
        <v>1</v>
      </c>
      <c r="G80">
        <v>1</v>
      </c>
      <c r="H80">
        <v>2</v>
      </c>
      <c r="I80" t="s">
        <v>316</v>
      </c>
      <c r="J80" t="s">
        <v>317</v>
      </c>
      <c r="K80" t="s">
        <v>318</v>
      </c>
      <c r="L80">
        <v>1368</v>
      </c>
      <c r="N80">
        <v>1011</v>
      </c>
      <c r="O80" t="s">
        <v>303</v>
      </c>
      <c r="P80" t="s">
        <v>303</v>
      </c>
      <c r="Q80">
        <v>1</v>
      </c>
      <c r="X80">
        <v>0.52</v>
      </c>
      <c r="Y80">
        <v>0</v>
      </c>
      <c r="Z80">
        <v>31.26</v>
      </c>
      <c r="AA80">
        <v>13.5</v>
      </c>
      <c r="AB80">
        <v>0</v>
      </c>
      <c r="AC80">
        <v>0</v>
      </c>
      <c r="AD80">
        <v>1</v>
      </c>
      <c r="AE80">
        <v>0</v>
      </c>
      <c r="AF80" t="s">
        <v>150</v>
      </c>
      <c r="AG80">
        <v>0.41600000000000004</v>
      </c>
      <c r="AH80">
        <v>2</v>
      </c>
      <c r="AI80">
        <v>50961408</v>
      </c>
      <c r="AJ80">
        <v>77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ROW(Source!A93)</f>
        <v>93</v>
      </c>
      <c r="B81">
        <v>50961409</v>
      </c>
      <c r="C81">
        <v>50961405</v>
      </c>
      <c r="D81">
        <v>49621268</v>
      </c>
      <c r="E81">
        <v>1</v>
      </c>
      <c r="F81">
        <v>1</v>
      </c>
      <c r="G81">
        <v>1</v>
      </c>
      <c r="H81">
        <v>2</v>
      </c>
      <c r="I81" t="s">
        <v>300</v>
      </c>
      <c r="J81" t="s">
        <v>301</v>
      </c>
      <c r="K81" t="s">
        <v>302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3.28</v>
      </c>
      <c r="Y81">
        <v>0</v>
      </c>
      <c r="Z81">
        <v>65.71</v>
      </c>
      <c r="AA81">
        <v>11.6</v>
      </c>
      <c r="AB81">
        <v>0</v>
      </c>
      <c r="AC81">
        <v>0</v>
      </c>
      <c r="AD81">
        <v>1</v>
      </c>
      <c r="AE81">
        <v>0</v>
      </c>
      <c r="AF81" t="s">
        <v>150</v>
      </c>
      <c r="AG81">
        <v>2.624</v>
      </c>
      <c r="AH81">
        <v>2</v>
      </c>
      <c r="AI81">
        <v>50961409</v>
      </c>
      <c r="AJ81">
        <v>78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ROW(Source!A93)</f>
        <v>93</v>
      </c>
      <c r="B82">
        <v>50961410</v>
      </c>
      <c r="C82">
        <v>50961405</v>
      </c>
      <c r="D82">
        <v>49471781</v>
      </c>
      <c r="E82">
        <v>1</v>
      </c>
      <c r="F82">
        <v>1</v>
      </c>
      <c r="G82">
        <v>1</v>
      </c>
      <c r="H82">
        <v>3</v>
      </c>
      <c r="I82" t="s">
        <v>329</v>
      </c>
      <c r="J82" t="s">
        <v>330</v>
      </c>
      <c r="K82" t="s">
        <v>331</v>
      </c>
      <c r="L82">
        <v>1301</v>
      </c>
      <c r="N82">
        <v>1003</v>
      </c>
      <c r="O82" t="s">
        <v>332</v>
      </c>
      <c r="P82" t="s">
        <v>332</v>
      </c>
      <c r="Q82">
        <v>1</v>
      </c>
      <c r="X82">
        <v>218</v>
      </c>
      <c r="Y82">
        <v>6.38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149</v>
      </c>
      <c r="AG82">
        <v>0</v>
      </c>
      <c r="AH82">
        <v>2</v>
      </c>
      <c r="AI82">
        <v>50961410</v>
      </c>
      <c r="AJ82">
        <v>79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ROW(Source!A93)</f>
        <v>93</v>
      </c>
      <c r="B83">
        <v>50961411</v>
      </c>
      <c r="C83">
        <v>50961405</v>
      </c>
      <c r="D83">
        <v>49471782</v>
      </c>
      <c r="E83">
        <v>1</v>
      </c>
      <c r="F83">
        <v>1</v>
      </c>
      <c r="G83">
        <v>1</v>
      </c>
      <c r="H83">
        <v>3</v>
      </c>
      <c r="I83" t="s">
        <v>333</v>
      </c>
      <c r="J83" t="s">
        <v>334</v>
      </c>
      <c r="K83" t="s">
        <v>335</v>
      </c>
      <c r="L83">
        <v>1301</v>
      </c>
      <c r="N83">
        <v>1003</v>
      </c>
      <c r="O83" t="s">
        <v>332</v>
      </c>
      <c r="P83" t="s">
        <v>332</v>
      </c>
      <c r="Q83">
        <v>1</v>
      </c>
      <c r="X83">
        <v>40</v>
      </c>
      <c r="Y83">
        <v>7.95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149</v>
      </c>
      <c r="AG83">
        <v>0</v>
      </c>
      <c r="AH83">
        <v>2</v>
      </c>
      <c r="AI83">
        <v>50961411</v>
      </c>
      <c r="AJ83">
        <v>80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ROW(Source!A93)</f>
        <v>93</v>
      </c>
      <c r="B84">
        <v>50961412</v>
      </c>
      <c r="C84">
        <v>50961405</v>
      </c>
      <c r="D84">
        <v>49471867</v>
      </c>
      <c r="E84">
        <v>1</v>
      </c>
      <c r="F84">
        <v>1</v>
      </c>
      <c r="G84">
        <v>1</v>
      </c>
      <c r="H84">
        <v>3</v>
      </c>
      <c r="I84" t="s">
        <v>336</v>
      </c>
      <c r="J84" t="s">
        <v>337</v>
      </c>
      <c r="K84" t="s">
        <v>338</v>
      </c>
      <c r="L84">
        <v>1302</v>
      </c>
      <c r="N84">
        <v>1003</v>
      </c>
      <c r="O84" t="s">
        <v>75</v>
      </c>
      <c r="P84" t="s">
        <v>75</v>
      </c>
      <c r="Q84">
        <v>10</v>
      </c>
      <c r="X84">
        <v>15.1</v>
      </c>
      <c r="Y84">
        <v>64.1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149</v>
      </c>
      <c r="AG84">
        <v>0</v>
      </c>
      <c r="AH84">
        <v>2</v>
      </c>
      <c r="AI84">
        <v>50961412</v>
      </c>
      <c r="AJ84">
        <v>81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ROW(Source!A93)</f>
        <v>93</v>
      </c>
      <c r="B85">
        <v>50961413</v>
      </c>
      <c r="C85">
        <v>50961405</v>
      </c>
      <c r="D85">
        <v>49473896</v>
      </c>
      <c r="E85">
        <v>1</v>
      </c>
      <c r="F85">
        <v>1</v>
      </c>
      <c r="G85">
        <v>1</v>
      </c>
      <c r="H85">
        <v>3</v>
      </c>
      <c r="I85" t="s">
        <v>339</v>
      </c>
      <c r="J85" t="s">
        <v>340</v>
      </c>
      <c r="K85" t="s">
        <v>341</v>
      </c>
      <c r="L85">
        <v>1455</v>
      </c>
      <c r="N85">
        <v>1013</v>
      </c>
      <c r="O85" t="s">
        <v>342</v>
      </c>
      <c r="P85" t="s">
        <v>342</v>
      </c>
      <c r="Q85">
        <v>1</v>
      </c>
      <c r="X85">
        <v>31.1</v>
      </c>
      <c r="Y85">
        <v>7.03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149</v>
      </c>
      <c r="AG85">
        <v>0</v>
      </c>
      <c r="AH85">
        <v>2</v>
      </c>
      <c r="AI85">
        <v>50961413</v>
      </c>
      <c r="AJ85">
        <v>82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ROW(Source!A93)</f>
        <v>93</v>
      </c>
      <c r="B86">
        <v>50961414</v>
      </c>
      <c r="C86">
        <v>50961405</v>
      </c>
      <c r="D86">
        <v>49461882</v>
      </c>
      <c r="E86">
        <v>58</v>
      </c>
      <c r="F86">
        <v>1</v>
      </c>
      <c r="G86">
        <v>1</v>
      </c>
      <c r="H86">
        <v>3</v>
      </c>
      <c r="I86" t="s">
        <v>386</v>
      </c>
      <c r="K86" t="s">
        <v>387</v>
      </c>
      <c r="L86">
        <v>1327</v>
      </c>
      <c r="N86">
        <v>1005</v>
      </c>
      <c r="O86" t="s">
        <v>174</v>
      </c>
      <c r="P86" t="s">
        <v>174</v>
      </c>
      <c r="Q86">
        <v>1</v>
      </c>
      <c r="X86">
        <v>100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 t="s">
        <v>149</v>
      </c>
      <c r="AG86">
        <v>0</v>
      </c>
      <c r="AH86">
        <v>3</v>
      </c>
      <c r="AI86">
        <v>-1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ROW(Source!A93)</f>
        <v>93</v>
      </c>
      <c r="B87">
        <v>50961415</v>
      </c>
      <c r="C87">
        <v>50961405</v>
      </c>
      <c r="D87">
        <v>49496837</v>
      </c>
      <c r="E87">
        <v>1</v>
      </c>
      <c r="F87">
        <v>1</v>
      </c>
      <c r="G87">
        <v>1</v>
      </c>
      <c r="H87">
        <v>3</v>
      </c>
      <c r="I87" t="s">
        <v>343</v>
      </c>
      <c r="J87" t="s">
        <v>344</v>
      </c>
      <c r="K87" t="s">
        <v>345</v>
      </c>
      <c r="L87">
        <v>1425</v>
      </c>
      <c r="N87">
        <v>1013</v>
      </c>
      <c r="O87" t="s">
        <v>168</v>
      </c>
      <c r="P87" t="s">
        <v>168</v>
      </c>
      <c r="Q87">
        <v>1</v>
      </c>
      <c r="X87">
        <v>8</v>
      </c>
      <c r="Y87">
        <v>50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149</v>
      </c>
      <c r="AG87">
        <v>0</v>
      </c>
      <c r="AH87">
        <v>2</v>
      </c>
      <c r="AI87">
        <v>50961415</v>
      </c>
      <c r="AJ87">
        <v>83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ROW(Source!A93)</f>
        <v>93</v>
      </c>
      <c r="B88">
        <v>50961416</v>
      </c>
      <c r="C88">
        <v>50961405</v>
      </c>
      <c r="D88">
        <v>49503348</v>
      </c>
      <c r="E88">
        <v>1</v>
      </c>
      <c r="F88">
        <v>1</v>
      </c>
      <c r="G88">
        <v>1</v>
      </c>
      <c r="H88">
        <v>3</v>
      </c>
      <c r="I88" t="s">
        <v>346</v>
      </c>
      <c r="J88" t="s">
        <v>347</v>
      </c>
      <c r="K88" t="s">
        <v>348</v>
      </c>
      <c r="L88">
        <v>1296</v>
      </c>
      <c r="N88">
        <v>1002</v>
      </c>
      <c r="O88" t="s">
        <v>349</v>
      </c>
      <c r="P88" t="s">
        <v>349</v>
      </c>
      <c r="Q88">
        <v>1</v>
      </c>
      <c r="X88">
        <v>52.73</v>
      </c>
      <c r="Y88">
        <v>46.86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149</v>
      </c>
      <c r="AG88">
        <v>0</v>
      </c>
      <c r="AH88">
        <v>2</v>
      </c>
      <c r="AI88">
        <v>50961416</v>
      </c>
      <c r="AJ88">
        <v>84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ROW(Source!A94)</f>
        <v>94</v>
      </c>
      <c r="B89">
        <v>50962842</v>
      </c>
      <c r="C89">
        <v>50962841</v>
      </c>
      <c r="D89">
        <v>47860458</v>
      </c>
      <c r="E89">
        <v>56</v>
      </c>
      <c r="F89">
        <v>1</v>
      </c>
      <c r="G89">
        <v>1</v>
      </c>
      <c r="H89">
        <v>1</v>
      </c>
      <c r="I89" t="s">
        <v>319</v>
      </c>
      <c r="K89" t="s">
        <v>320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298</v>
      </c>
      <c r="Y89">
        <v>0</v>
      </c>
      <c r="Z89">
        <v>0</v>
      </c>
      <c r="AA89">
        <v>0</v>
      </c>
      <c r="AB89">
        <v>10.06</v>
      </c>
      <c r="AC89">
        <v>0</v>
      </c>
      <c r="AD89">
        <v>1</v>
      </c>
      <c r="AE89">
        <v>1</v>
      </c>
      <c r="AF89" t="s">
        <v>32</v>
      </c>
      <c r="AG89">
        <v>342.7</v>
      </c>
      <c r="AH89">
        <v>2</v>
      </c>
      <c r="AI89">
        <v>50962842</v>
      </c>
      <c r="AJ89">
        <v>85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ROW(Source!A94)</f>
        <v>94</v>
      </c>
      <c r="B90">
        <v>50962843</v>
      </c>
      <c r="C90">
        <v>50962841</v>
      </c>
      <c r="D90">
        <v>47860585</v>
      </c>
      <c r="E90">
        <v>56</v>
      </c>
      <c r="F90">
        <v>1</v>
      </c>
      <c r="G90">
        <v>1</v>
      </c>
      <c r="H90">
        <v>1</v>
      </c>
      <c r="I90" t="s">
        <v>298</v>
      </c>
      <c r="K90" t="s">
        <v>299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2.48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31</v>
      </c>
      <c r="AG90">
        <v>3.1</v>
      </c>
      <c r="AH90">
        <v>2</v>
      </c>
      <c r="AI90">
        <v>50962843</v>
      </c>
      <c r="AJ90">
        <v>86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ROW(Source!A94)</f>
        <v>94</v>
      </c>
      <c r="B91">
        <v>50962844</v>
      </c>
      <c r="C91">
        <v>50962841</v>
      </c>
      <c r="D91">
        <v>48021211</v>
      </c>
      <c r="E91">
        <v>1</v>
      </c>
      <c r="F91">
        <v>1</v>
      </c>
      <c r="G91">
        <v>1</v>
      </c>
      <c r="H91">
        <v>2</v>
      </c>
      <c r="I91" t="s">
        <v>321</v>
      </c>
      <c r="J91" t="s">
        <v>322</v>
      </c>
      <c r="K91" t="s">
        <v>323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X91">
        <v>2.2</v>
      </c>
      <c r="Y91">
        <v>0</v>
      </c>
      <c r="Z91">
        <v>115.4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31</v>
      </c>
      <c r="AG91">
        <v>2.75</v>
      </c>
      <c r="AH91">
        <v>2</v>
      </c>
      <c r="AI91">
        <v>50962844</v>
      </c>
      <c r="AJ91">
        <v>87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ROW(Source!A94)</f>
        <v>94</v>
      </c>
      <c r="B92">
        <v>50962845</v>
      </c>
      <c r="C92">
        <v>50962841</v>
      </c>
      <c r="D92">
        <v>48021352</v>
      </c>
      <c r="E92">
        <v>1</v>
      </c>
      <c r="F92">
        <v>1</v>
      </c>
      <c r="G92">
        <v>1</v>
      </c>
      <c r="H92">
        <v>2</v>
      </c>
      <c r="I92" t="s">
        <v>324</v>
      </c>
      <c r="J92" t="s">
        <v>325</v>
      </c>
      <c r="K92" t="s">
        <v>326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43.9</v>
      </c>
      <c r="Y92">
        <v>0</v>
      </c>
      <c r="Z92">
        <v>6.9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31</v>
      </c>
      <c r="AG92">
        <v>54.875</v>
      </c>
      <c r="AH92">
        <v>2</v>
      </c>
      <c r="AI92">
        <v>50962845</v>
      </c>
      <c r="AJ92">
        <v>88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ROW(Source!A94)</f>
        <v>94</v>
      </c>
      <c r="B93">
        <v>50962846</v>
      </c>
      <c r="C93">
        <v>50962841</v>
      </c>
      <c r="D93">
        <v>48022139</v>
      </c>
      <c r="E93">
        <v>1</v>
      </c>
      <c r="F93">
        <v>1</v>
      </c>
      <c r="G93">
        <v>1</v>
      </c>
      <c r="H93">
        <v>2</v>
      </c>
      <c r="I93" t="s">
        <v>300</v>
      </c>
      <c r="J93" t="s">
        <v>301</v>
      </c>
      <c r="K93" t="s">
        <v>302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0.28</v>
      </c>
      <c r="Y93">
        <v>0</v>
      </c>
      <c r="Z93">
        <v>65.71</v>
      </c>
      <c r="AA93">
        <v>11.6</v>
      </c>
      <c r="AB93">
        <v>0</v>
      </c>
      <c r="AC93">
        <v>0</v>
      </c>
      <c r="AD93">
        <v>1</v>
      </c>
      <c r="AE93">
        <v>0</v>
      </c>
      <c r="AF93" t="s">
        <v>31</v>
      </c>
      <c r="AG93">
        <v>0.35000000000000003</v>
      </c>
      <c r="AH93">
        <v>2</v>
      </c>
      <c r="AI93">
        <v>50962846</v>
      </c>
      <c r="AJ93">
        <v>89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ROW(Source!A94)</f>
        <v>94</v>
      </c>
      <c r="B94">
        <v>50962847</v>
      </c>
      <c r="C94">
        <v>50962841</v>
      </c>
      <c r="D94">
        <v>47875476</v>
      </c>
      <c r="E94">
        <v>1</v>
      </c>
      <c r="F94">
        <v>1</v>
      </c>
      <c r="G94">
        <v>1</v>
      </c>
      <c r="H94">
        <v>3</v>
      </c>
      <c r="I94" t="s">
        <v>374</v>
      </c>
      <c r="J94" t="s">
        <v>375</v>
      </c>
      <c r="K94" t="s">
        <v>376</v>
      </c>
      <c r="L94">
        <v>1346</v>
      </c>
      <c r="N94">
        <v>1009</v>
      </c>
      <c r="O94" t="s">
        <v>377</v>
      </c>
      <c r="P94" t="s">
        <v>377</v>
      </c>
      <c r="Q94">
        <v>1</v>
      </c>
      <c r="X94">
        <v>0</v>
      </c>
      <c r="Y94">
        <v>28.26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G94">
        <v>0</v>
      </c>
      <c r="AH94">
        <v>3</v>
      </c>
      <c r="AI94">
        <v>-1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ROW(Source!A94)</f>
        <v>94</v>
      </c>
      <c r="B95">
        <v>50962848</v>
      </c>
      <c r="C95">
        <v>50962841</v>
      </c>
      <c r="D95">
        <v>47875648</v>
      </c>
      <c r="E95">
        <v>1</v>
      </c>
      <c r="F95">
        <v>1</v>
      </c>
      <c r="G95">
        <v>1</v>
      </c>
      <c r="H95">
        <v>3</v>
      </c>
      <c r="I95" t="s">
        <v>82</v>
      </c>
      <c r="J95" t="s">
        <v>84</v>
      </c>
      <c r="K95" t="s">
        <v>83</v>
      </c>
      <c r="L95">
        <v>1348</v>
      </c>
      <c r="N95">
        <v>1009</v>
      </c>
      <c r="O95" t="s">
        <v>50</v>
      </c>
      <c r="P95" t="s">
        <v>50</v>
      </c>
      <c r="Q95">
        <v>1000</v>
      </c>
      <c r="X95">
        <v>0.00115</v>
      </c>
      <c r="Y95">
        <v>37900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0.00115</v>
      </c>
      <c r="AH95">
        <v>2</v>
      </c>
      <c r="AI95">
        <v>50962848</v>
      </c>
      <c r="AJ95">
        <v>90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ROW(Source!A94)</f>
        <v>94</v>
      </c>
      <c r="B96">
        <v>50962849</v>
      </c>
      <c r="C96">
        <v>50962841</v>
      </c>
      <c r="D96">
        <v>47875776</v>
      </c>
      <c r="E96">
        <v>1</v>
      </c>
      <c r="F96">
        <v>1</v>
      </c>
      <c r="G96">
        <v>1</v>
      </c>
      <c r="H96">
        <v>3</v>
      </c>
      <c r="I96" t="s">
        <v>378</v>
      </c>
      <c r="J96" t="s">
        <v>379</v>
      </c>
      <c r="K96" t="s">
        <v>380</v>
      </c>
      <c r="L96">
        <v>1327</v>
      </c>
      <c r="N96">
        <v>1005</v>
      </c>
      <c r="O96" t="s">
        <v>174</v>
      </c>
      <c r="P96" t="s">
        <v>174</v>
      </c>
      <c r="Q96">
        <v>1</v>
      </c>
      <c r="X96">
        <v>0</v>
      </c>
      <c r="Y96">
        <v>52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G96">
        <v>0</v>
      </c>
      <c r="AH96">
        <v>3</v>
      </c>
      <c r="AI96">
        <v>-1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ROW(Source!A94)</f>
        <v>94</v>
      </c>
      <c r="B97">
        <v>50962850</v>
      </c>
      <c r="C97">
        <v>50962841</v>
      </c>
      <c r="D97">
        <v>47875862</v>
      </c>
      <c r="E97">
        <v>1</v>
      </c>
      <c r="F97">
        <v>1</v>
      </c>
      <c r="G97">
        <v>1</v>
      </c>
      <c r="H97">
        <v>3</v>
      </c>
      <c r="I97" t="s">
        <v>381</v>
      </c>
      <c r="J97" t="s">
        <v>382</v>
      </c>
      <c r="K97" t="s">
        <v>383</v>
      </c>
      <c r="L97">
        <v>1327</v>
      </c>
      <c r="N97">
        <v>1005</v>
      </c>
      <c r="O97" t="s">
        <v>174</v>
      </c>
      <c r="P97" t="s">
        <v>174</v>
      </c>
      <c r="Q97">
        <v>1</v>
      </c>
      <c r="X97">
        <v>0</v>
      </c>
      <c r="Y97">
        <v>350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G97">
        <v>0</v>
      </c>
      <c r="AH97">
        <v>3</v>
      </c>
      <c r="AI97">
        <v>-1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ROW(Source!A94)</f>
        <v>94</v>
      </c>
      <c r="B98">
        <v>50962851</v>
      </c>
      <c r="C98">
        <v>50962841</v>
      </c>
      <c r="D98">
        <v>47889287</v>
      </c>
      <c r="E98">
        <v>1</v>
      </c>
      <c r="F98">
        <v>1</v>
      </c>
      <c r="G98">
        <v>1</v>
      </c>
      <c r="H98">
        <v>3</v>
      </c>
      <c r="I98" t="s">
        <v>78</v>
      </c>
      <c r="J98" t="s">
        <v>80</v>
      </c>
      <c r="K98" t="s">
        <v>79</v>
      </c>
      <c r="L98">
        <v>1348</v>
      </c>
      <c r="N98">
        <v>1009</v>
      </c>
      <c r="O98" t="s">
        <v>50</v>
      </c>
      <c r="P98" t="s">
        <v>50</v>
      </c>
      <c r="Q98">
        <v>1000</v>
      </c>
      <c r="X98">
        <v>0.02</v>
      </c>
      <c r="Y98">
        <v>7712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0.02</v>
      </c>
      <c r="AH98">
        <v>2</v>
      </c>
      <c r="AI98">
        <v>50962851</v>
      </c>
      <c r="AJ98">
        <v>91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ROW(Source!A94)</f>
        <v>94</v>
      </c>
      <c r="B99">
        <v>50962852</v>
      </c>
      <c r="C99">
        <v>50962841</v>
      </c>
      <c r="D99">
        <v>47891316</v>
      </c>
      <c r="E99">
        <v>1</v>
      </c>
      <c r="F99">
        <v>1</v>
      </c>
      <c r="G99">
        <v>1</v>
      </c>
      <c r="H99">
        <v>3</v>
      </c>
      <c r="I99" t="s">
        <v>73</v>
      </c>
      <c r="J99" t="s">
        <v>76</v>
      </c>
      <c r="K99" t="s">
        <v>74</v>
      </c>
      <c r="L99">
        <v>1302</v>
      </c>
      <c r="N99">
        <v>1003</v>
      </c>
      <c r="O99" t="s">
        <v>75</v>
      </c>
      <c r="P99" t="s">
        <v>75</v>
      </c>
      <c r="Q99">
        <v>10</v>
      </c>
      <c r="X99">
        <v>0.2</v>
      </c>
      <c r="Y99">
        <v>50.24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0.2</v>
      </c>
      <c r="AH99">
        <v>2</v>
      </c>
      <c r="AI99">
        <v>50962852</v>
      </c>
      <c r="AJ99">
        <v>92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ROW(Source!A94)</f>
        <v>94</v>
      </c>
      <c r="B100">
        <v>50962853</v>
      </c>
      <c r="C100">
        <v>50962841</v>
      </c>
      <c r="D100">
        <v>47862694</v>
      </c>
      <c r="E100">
        <v>56</v>
      </c>
      <c r="F100">
        <v>1</v>
      </c>
      <c r="G100">
        <v>1</v>
      </c>
      <c r="H100">
        <v>3</v>
      </c>
      <c r="I100" t="s">
        <v>384</v>
      </c>
      <c r="K100" t="s">
        <v>385</v>
      </c>
      <c r="L100">
        <v>1348</v>
      </c>
      <c r="N100">
        <v>1009</v>
      </c>
      <c r="O100" t="s">
        <v>50</v>
      </c>
      <c r="P100" t="s">
        <v>50</v>
      </c>
      <c r="Q100">
        <v>1000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G100">
        <v>0</v>
      </c>
      <c r="AH100">
        <v>3</v>
      </c>
      <c r="AI100">
        <v>-1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ROW(Source!A94)</f>
        <v>94</v>
      </c>
      <c r="B101">
        <v>50962854</v>
      </c>
      <c r="C101">
        <v>50962841</v>
      </c>
      <c r="D101">
        <v>47895708</v>
      </c>
      <c r="E101">
        <v>1</v>
      </c>
      <c r="F101">
        <v>1</v>
      </c>
      <c r="G101">
        <v>1</v>
      </c>
      <c r="H101">
        <v>3</v>
      </c>
      <c r="I101" t="s">
        <v>68</v>
      </c>
      <c r="J101" t="s">
        <v>71</v>
      </c>
      <c r="K101" t="s">
        <v>69</v>
      </c>
      <c r="L101">
        <v>1339</v>
      </c>
      <c r="N101">
        <v>1007</v>
      </c>
      <c r="O101" t="s">
        <v>70</v>
      </c>
      <c r="P101" t="s">
        <v>70</v>
      </c>
      <c r="Q101">
        <v>1</v>
      </c>
      <c r="X101">
        <v>0.04</v>
      </c>
      <c r="Y101">
        <v>1700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0.04</v>
      </c>
      <c r="AH101">
        <v>2</v>
      </c>
      <c r="AI101">
        <v>50962854</v>
      </c>
      <c r="AJ101">
        <v>93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ROW(Source!A95)</f>
        <v>95</v>
      </c>
      <c r="B102">
        <v>50962842</v>
      </c>
      <c r="C102">
        <v>50962841</v>
      </c>
      <c r="D102">
        <v>47860458</v>
      </c>
      <c r="E102">
        <v>56</v>
      </c>
      <c r="F102">
        <v>1</v>
      </c>
      <c r="G102">
        <v>1</v>
      </c>
      <c r="H102">
        <v>1</v>
      </c>
      <c r="I102" t="s">
        <v>319</v>
      </c>
      <c r="K102" t="s">
        <v>320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X102">
        <v>298</v>
      </c>
      <c r="Y102">
        <v>0</v>
      </c>
      <c r="Z102">
        <v>0</v>
      </c>
      <c r="AA102">
        <v>0</v>
      </c>
      <c r="AB102">
        <v>10.06</v>
      </c>
      <c r="AC102">
        <v>0</v>
      </c>
      <c r="AD102">
        <v>1</v>
      </c>
      <c r="AE102">
        <v>1</v>
      </c>
      <c r="AF102" t="s">
        <v>32</v>
      </c>
      <c r="AG102">
        <v>342.7</v>
      </c>
      <c r="AH102">
        <v>2</v>
      </c>
      <c r="AI102">
        <v>50962842</v>
      </c>
      <c r="AJ102">
        <v>97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ROW(Source!A95)</f>
        <v>95</v>
      </c>
      <c r="B103">
        <v>50962843</v>
      </c>
      <c r="C103">
        <v>50962841</v>
      </c>
      <c r="D103">
        <v>47860585</v>
      </c>
      <c r="E103">
        <v>56</v>
      </c>
      <c r="F103">
        <v>1</v>
      </c>
      <c r="G103">
        <v>1</v>
      </c>
      <c r="H103">
        <v>1</v>
      </c>
      <c r="I103" t="s">
        <v>298</v>
      </c>
      <c r="K103" t="s">
        <v>299</v>
      </c>
      <c r="L103">
        <v>1191</v>
      </c>
      <c r="N103">
        <v>1013</v>
      </c>
      <c r="O103" t="s">
        <v>297</v>
      </c>
      <c r="P103" t="s">
        <v>297</v>
      </c>
      <c r="Q103">
        <v>1</v>
      </c>
      <c r="X103">
        <v>2.48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2</v>
      </c>
      <c r="AF103" t="s">
        <v>31</v>
      </c>
      <c r="AG103">
        <v>3.1</v>
      </c>
      <c r="AH103">
        <v>2</v>
      </c>
      <c r="AI103">
        <v>50962843</v>
      </c>
      <c r="AJ103">
        <v>98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ROW(Source!A95)</f>
        <v>95</v>
      </c>
      <c r="B104">
        <v>50962844</v>
      </c>
      <c r="C104">
        <v>50962841</v>
      </c>
      <c r="D104">
        <v>48021211</v>
      </c>
      <c r="E104">
        <v>1</v>
      </c>
      <c r="F104">
        <v>1</v>
      </c>
      <c r="G104">
        <v>1</v>
      </c>
      <c r="H104">
        <v>2</v>
      </c>
      <c r="I104" t="s">
        <v>321</v>
      </c>
      <c r="J104" t="s">
        <v>322</v>
      </c>
      <c r="K104" t="s">
        <v>323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X104">
        <v>2.2</v>
      </c>
      <c r="Y104">
        <v>0</v>
      </c>
      <c r="Z104">
        <v>115.4</v>
      </c>
      <c r="AA104">
        <v>13.5</v>
      </c>
      <c r="AB104">
        <v>0</v>
      </c>
      <c r="AC104">
        <v>0</v>
      </c>
      <c r="AD104">
        <v>1</v>
      </c>
      <c r="AE104">
        <v>0</v>
      </c>
      <c r="AF104" t="s">
        <v>31</v>
      </c>
      <c r="AG104">
        <v>2.75</v>
      </c>
      <c r="AH104">
        <v>2</v>
      </c>
      <c r="AI104">
        <v>50962844</v>
      </c>
      <c r="AJ104">
        <v>99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ROW(Source!A95)</f>
        <v>95</v>
      </c>
      <c r="B105">
        <v>50962845</v>
      </c>
      <c r="C105">
        <v>50962841</v>
      </c>
      <c r="D105">
        <v>48021352</v>
      </c>
      <c r="E105">
        <v>1</v>
      </c>
      <c r="F105">
        <v>1</v>
      </c>
      <c r="G105">
        <v>1</v>
      </c>
      <c r="H105">
        <v>2</v>
      </c>
      <c r="I105" t="s">
        <v>324</v>
      </c>
      <c r="J105" t="s">
        <v>325</v>
      </c>
      <c r="K105" t="s">
        <v>326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X105">
        <v>43.9</v>
      </c>
      <c r="Y105">
        <v>0</v>
      </c>
      <c r="Z105">
        <v>6.9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31</v>
      </c>
      <c r="AG105">
        <v>54.875</v>
      </c>
      <c r="AH105">
        <v>2</v>
      </c>
      <c r="AI105">
        <v>50962845</v>
      </c>
      <c r="AJ105">
        <v>100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ROW(Source!A95)</f>
        <v>95</v>
      </c>
      <c r="B106">
        <v>50962846</v>
      </c>
      <c r="C106">
        <v>50962841</v>
      </c>
      <c r="D106">
        <v>48022139</v>
      </c>
      <c r="E106">
        <v>1</v>
      </c>
      <c r="F106">
        <v>1</v>
      </c>
      <c r="G106">
        <v>1</v>
      </c>
      <c r="H106">
        <v>2</v>
      </c>
      <c r="I106" t="s">
        <v>300</v>
      </c>
      <c r="J106" t="s">
        <v>301</v>
      </c>
      <c r="K106" t="s">
        <v>302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X106">
        <v>0.28</v>
      </c>
      <c r="Y106">
        <v>0</v>
      </c>
      <c r="Z106">
        <v>65.71</v>
      </c>
      <c r="AA106">
        <v>11.6</v>
      </c>
      <c r="AB106">
        <v>0</v>
      </c>
      <c r="AC106">
        <v>0</v>
      </c>
      <c r="AD106">
        <v>1</v>
      </c>
      <c r="AE106">
        <v>0</v>
      </c>
      <c r="AF106" t="s">
        <v>31</v>
      </c>
      <c r="AG106">
        <v>0.35000000000000003</v>
      </c>
      <c r="AH106">
        <v>2</v>
      </c>
      <c r="AI106">
        <v>50962846</v>
      </c>
      <c r="AJ106">
        <v>101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ROW(Source!A95)</f>
        <v>95</v>
      </c>
      <c r="B107">
        <v>50962847</v>
      </c>
      <c r="C107">
        <v>50962841</v>
      </c>
      <c r="D107">
        <v>47875476</v>
      </c>
      <c r="E107">
        <v>1</v>
      </c>
      <c r="F107">
        <v>1</v>
      </c>
      <c r="G107">
        <v>1</v>
      </c>
      <c r="H107">
        <v>3</v>
      </c>
      <c r="I107" t="s">
        <v>374</v>
      </c>
      <c r="J107" t="s">
        <v>375</v>
      </c>
      <c r="K107" t="s">
        <v>376</v>
      </c>
      <c r="L107">
        <v>1346</v>
      </c>
      <c r="N107">
        <v>1009</v>
      </c>
      <c r="O107" t="s">
        <v>377</v>
      </c>
      <c r="P107" t="s">
        <v>377</v>
      </c>
      <c r="Q107">
        <v>1</v>
      </c>
      <c r="X107">
        <v>0</v>
      </c>
      <c r="Y107">
        <v>28.26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G107">
        <v>0</v>
      </c>
      <c r="AH107">
        <v>3</v>
      </c>
      <c r="AI107">
        <v>-1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ROW(Source!A95)</f>
        <v>95</v>
      </c>
      <c r="B108">
        <v>50962848</v>
      </c>
      <c r="C108">
        <v>50962841</v>
      </c>
      <c r="D108">
        <v>47875648</v>
      </c>
      <c r="E108">
        <v>1</v>
      </c>
      <c r="F108">
        <v>1</v>
      </c>
      <c r="G108">
        <v>1</v>
      </c>
      <c r="H108">
        <v>3</v>
      </c>
      <c r="I108" t="s">
        <v>82</v>
      </c>
      <c r="J108" t="s">
        <v>84</v>
      </c>
      <c r="K108" t="s">
        <v>83</v>
      </c>
      <c r="L108">
        <v>1348</v>
      </c>
      <c r="N108">
        <v>1009</v>
      </c>
      <c r="O108" t="s">
        <v>50</v>
      </c>
      <c r="P108" t="s">
        <v>50</v>
      </c>
      <c r="Q108">
        <v>1000</v>
      </c>
      <c r="X108">
        <v>0.00115</v>
      </c>
      <c r="Y108">
        <v>37900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0.00115</v>
      </c>
      <c r="AH108">
        <v>2</v>
      </c>
      <c r="AI108">
        <v>50962848</v>
      </c>
      <c r="AJ108">
        <v>102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ROW(Source!A95)</f>
        <v>95</v>
      </c>
      <c r="B109">
        <v>50962849</v>
      </c>
      <c r="C109">
        <v>50962841</v>
      </c>
      <c r="D109">
        <v>47875776</v>
      </c>
      <c r="E109">
        <v>1</v>
      </c>
      <c r="F109">
        <v>1</v>
      </c>
      <c r="G109">
        <v>1</v>
      </c>
      <c r="H109">
        <v>3</v>
      </c>
      <c r="I109" t="s">
        <v>378</v>
      </c>
      <c r="J109" t="s">
        <v>379</v>
      </c>
      <c r="K109" t="s">
        <v>380</v>
      </c>
      <c r="L109">
        <v>1327</v>
      </c>
      <c r="N109">
        <v>1005</v>
      </c>
      <c r="O109" t="s">
        <v>174</v>
      </c>
      <c r="P109" t="s">
        <v>174</v>
      </c>
      <c r="Q109">
        <v>1</v>
      </c>
      <c r="X109">
        <v>0</v>
      </c>
      <c r="Y109">
        <v>52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G109">
        <v>0</v>
      </c>
      <c r="AH109">
        <v>3</v>
      </c>
      <c r="AI109">
        <v>-1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ROW(Source!A95)</f>
        <v>95</v>
      </c>
      <c r="B110">
        <v>50962850</v>
      </c>
      <c r="C110">
        <v>50962841</v>
      </c>
      <c r="D110">
        <v>47875862</v>
      </c>
      <c r="E110">
        <v>1</v>
      </c>
      <c r="F110">
        <v>1</v>
      </c>
      <c r="G110">
        <v>1</v>
      </c>
      <c r="H110">
        <v>3</v>
      </c>
      <c r="I110" t="s">
        <v>381</v>
      </c>
      <c r="J110" t="s">
        <v>382</v>
      </c>
      <c r="K110" t="s">
        <v>383</v>
      </c>
      <c r="L110">
        <v>1327</v>
      </c>
      <c r="N110">
        <v>1005</v>
      </c>
      <c r="O110" t="s">
        <v>174</v>
      </c>
      <c r="P110" t="s">
        <v>174</v>
      </c>
      <c r="Q110">
        <v>1</v>
      </c>
      <c r="X110">
        <v>0</v>
      </c>
      <c r="Y110">
        <v>350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G110">
        <v>0</v>
      </c>
      <c r="AH110">
        <v>3</v>
      </c>
      <c r="AI110">
        <v>-1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ROW(Source!A95)</f>
        <v>95</v>
      </c>
      <c r="B111">
        <v>50962851</v>
      </c>
      <c r="C111">
        <v>50962841</v>
      </c>
      <c r="D111">
        <v>47889287</v>
      </c>
      <c r="E111">
        <v>1</v>
      </c>
      <c r="F111">
        <v>1</v>
      </c>
      <c r="G111">
        <v>1</v>
      </c>
      <c r="H111">
        <v>3</v>
      </c>
      <c r="I111" t="s">
        <v>78</v>
      </c>
      <c r="J111" t="s">
        <v>80</v>
      </c>
      <c r="K111" t="s">
        <v>79</v>
      </c>
      <c r="L111">
        <v>1348</v>
      </c>
      <c r="N111">
        <v>1009</v>
      </c>
      <c r="O111" t="s">
        <v>50</v>
      </c>
      <c r="P111" t="s">
        <v>50</v>
      </c>
      <c r="Q111">
        <v>1000</v>
      </c>
      <c r="X111">
        <v>0.02</v>
      </c>
      <c r="Y111">
        <v>7712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0.02</v>
      </c>
      <c r="AH111">
        <v>2</v>
      </c>
      <c r="AI111">
        <v>50962851</v>
      </c>
      <c r="AJ111">
        <v>103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ROW(Source!A95)</f>
        <v>95</v>
      </c>
      <c r="B112">
        <v>50962852</v>
      </c>
      <c r="C112">
        <v>50962841</v>
      </c>
      <c r="D112">
        <v>47891316</v>
      </c>
      <c r="E112">
        <v>1</v>
      </c>
      <c r="F112">
        <v>1</v>
      </c>
      <c r="G112">
        <v>1</v>
      </c>
      <c r="H112">
        <v>3</v>
      </c>
      <c r="I112" t="s">
        <v>73</v>
      </c>
      <c r="J112" t="s">
        <v>76</v>
      </c>
      <c r="K112" t="s">
        <v>74</v>
      </c>
      <c r="L112">
        <v>1302</v>
      </c>
      <c r="N112">
        <v>1003</v>
      </c>
      <c r="O112" t="s">
        <v>75</v>
      </c>
      <c r="P112" t="s">
        <v>75</v>
      </c>
      <c r="Q112">
        <v>10</v>
      </c>
      <c r="X112">
        <v>0.2</v>
      </c>
      <c r="Y112">
        <v>50.24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0.2</v>
      </c>
      <c r="AH112">
        <v>2</v>
      </c>
      <c r="AI112">
        <v>50962852</v>
      </c>
      <c r="AJ112">
        <v>104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ROW(Source!A95)</f>
        <v>95</v>
      </c>
      <c r="B113">
        <v>50962853</v>
      </c>
      <c r="C113">
        <v>50962841</v>
      </c>
      <c r="D113">
        <v>47862694</v>
      </c>
      <c r="E113">
        <v>56</v>
      </c>
      <c r="F113">
        <v>1</v>
      </c>
      <c r="G113">
        <v>1</v>
      </c>
      <c r="H113">
        <v>3</v>
      </c>
      <c r="I113" t="s">
        <v>384</v>
      </c>
      <c r="K113" t="s">
        <v>385</v>
      </c>
      <c r="L113">
        <v>1348</v>
      </c>
      <c r="N113">
        <v>1009</v>
      </c>
      <c r="O113" t="s">
        <v>50</v>
      </c>
      <c r="P113" t="s">
        <v>50</v>
      </c>
      <c r="Q113">
        <v>1000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0</v>
      </c>
      <c r="AG113">
        <v>0</v>
      </c>
      <c r="AH113">
        <v>3</v>
      </c>
      <c r="AI113">
        <v>-1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ROW(Source!A95)</f>
        <v>95</v>
      </c>
      <c r="B114">
        <v>50962854</v>
      </c>
      <c r="C114">
        <v>50962841</v>
      </c>
      <c r="D114">
        <v>47895708</v>
      </c>
      <c r="E114">
        <v>1</v>
      </c>
      <c r="F114">
        <v>1</v>
      </c>
      <c r="G114">
        <v>1</v>
      </c>
      <c r="H114">
        <v>3</v>
      </c>
      <c r="I114" t="s">
        <v>68</v>
      </c>
      <c r="J114" t="s">
        <v>71</v>
      </c>
      <c r="K114" t="s">
        <v>69</v>
      </c>
      <c r="L114">
        <v>1339</v>
      </c>
      <c r="N114">
        <v>1007</v>
      </c>
      <c r="O114" t="s">
        <v>70</v>
      </c>
      <c r="P114" t="s">
        <v>70</v>
      </c>
      <c r="Q114">
        <v>1</v>
      </c>
      <c r="X114">
        <v>0.04</v>
      </c>
      <c r="Y114">
        <v>1700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0.04</v>
      </c>
      <c r="AH114">
        <v>2</v>
      </c>
      <c r="AI114">
        <v>50962854</v>
      </c>
      <c r="AJ114">
        <v>105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ROW(Source!A110)</f>
        <v>110</v>
      </c>
      <c r="B115">
        <v>50961420</v>
      </c>
      <c r="C115">
        <v>50961419</v>
      </c>
      <c r="D115">
        <v>49459365</v>
      </c>
      <c r="E115">
        <v>58</v>
      </c>
      <c r="F115">
        <v>1</v>
      </c>
      <c r="G115">
        <v>1</v>
      </c>
      <c r="H115">
        <v>1</v>
      </c>
      <c r="I115" t="s">
        <v>313</v>
      </c>
      <c r="K115" t="s">
        <v>314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X115">
        <v>179.3</v>
      </c>
      <c r="Y115">
        <v>0</v>
      </c>
      <c r="Z115">
        <v>0</v>
      </c>
      <c r="AA115">
        <v>0</v>
      </c>
      <c r="AB115">
        <v>8.02</v>
      </c>
      <c r="AC115">
        <v>0</v>
      </c>
      <c r="AD115">
        <v>1</v>
      </c>
      <c r="AE115">
        <v>1</v>
      </c>
      <c r="AG115">
        <v>179.3</v>
      </c>
      <c r="AH115">
        <v>2</v>
      </c>
      <c r="AI115">
        <v>50961420</v>
      </c>
      <c r="AJ115">
        <v>109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ROW(Source!A110)</f>
        <v>110</v>
      </c>
      <c r="B116">
        <v>50961421</v>
      </c>
      <c r="C116">
        <v>50961419</v>
      </c>
      <c r="D116">
        <v>49621500</v>
      </c>
      <c r="E116">
        <v>1</v>
      </c>
      <c r="F116">
        <v>1</v>
      </c>
      <c r="G116">
        <v>1</v>
      </c>
      <c r="H116">
        <v>2</v>
      </c>
      <c r="I116" t="s">
        <v>350</v>
      </c>
      <c r="J116" t="s">
        <v>351</v>
      </c>
      <c r="K116" t="s">
        <v>352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3.97</v>
      </c>
      <c r="Y116">
        <v>0</v>
      </c>
      <c r="Z116">
        <v>48.81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3.97</v>
      </c>
      <c r="AH116">
        <v>2</v>
      </c>
      <c r="AI116">
        <v>50961421</v>
      </c>
      <c r="AJ116">
        <v>110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ROW(Source!A110)</f>
        <v>110</v>
      </c>
      <c r="B117">
        <v>50961422</v>
      </c>
      <c r="C117">
        <v>50961419</v>
      </c>
      <c r="D117">
        <v>49621951</v>
      </c>
      <c r="E117">
        <v>1</v>
      </c>
      <c r="F117">
        <v>1</v>
      </c>
      <c r="G117">
        <v>1</v>
      </c>
      <c r="H117">
        <v>2</v>
      </c>
      <c r="I117" t="s">
        <v>353</v>
      </c>
      <c r="J117" t="s">
        <v>354</v>
      </c>
      <c r="K117" t="s">
        <v>355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7.93</v>
      </c>
      <c r="Y117">
        <v>0</v>
      </c>
      <c r="Z117">
        <v>1.53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7.93</v>
      </c>
      <c r="AH117">
        <v>2</v>
      </c>
      <c r="AI117">
        <v>50961422</v>
      </c>
      <c r="AJ117">
        <v>111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ROW(Source!A110)</f>
        <v>110</v>
      </c>
      <c r="B118">
        <v>50961423</v>
      </c>
      <c r="C118">
        <v>50961419</v>
      </c>
      <c r="D118">
        <v>49463934</v>
      </c>
      <c r="E118">
        <v>58</v>
      </c>
      <c r="F118">
        <v>1</v>
      </c>
      <c r="G118">
        <v>1</v>
      </c>
      <c r="H118">
        <v>3</v>
      </c>
      <c r="I118" t="s">
        <v>48</v>
      </c>
      <c r="K118" t="s">
        <v>49</v>
      </c>
      <c r="L118">
        <v>1348</v>
      </c>
      <c r="N118">
        <v>1009</v>
      </c>
      <c r="O118" t="s">
        <v>50</v>
      </c>
      <c r="P118" t="s">
        <v>50</v>
      </c>
      <c r="Q118">
        <v>1000</v>
      </c>
      <c r="X118">
        <v>10.5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G118">
        <v>10.5</v>
      </c>
      <c r="AH118">
        <v>2</v>
      </c>
      <c r="AI118">
        <v>50961423</v>
      </c>
      <c r="AJ118">
        <v>112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ROW(Source!A111)</f>
        <v>111</v>
      </c>
      <c r="B119">
        <v>50961420</v>
      </c>
      <c r="C119">
        <v>50961419</v>
      </c>
      <c r="D119">
        <v>49459365</v>
      </c>
      <c r="E119">
        <v>58</v>
      </c>
      <c r="F119">
        <v>1</v>
      </c>
      <c r="G119">
        <v>1</v>
      </c>
      <c r="H119">
        <v>1</v>
      </c>
      <c r="I119" t="s">
        <v>313</v>
      </c>
      <c r="K119" t="s">
        <v>314</v>
      </c>
      <c r="L119">
        <v>1191</v>
      </c>
      <c r="N119">
        <v>1013</v>
      </c>
      <c r="O119" t="s">
        <v>297</v>
      </c>
      <c r="P119" t="s">
        <v>297</v>
      </c>
      <c r="Q119">
        <v>1</v>
      </c>
      <c r="X119">
        <v>179.3</v>
      </c>
      <c r="Y119">
        <v>0</v>
      </c>
      <c r="Z119">
        <v>0</v>
      </c>
      <c r="AA119">
        <v>0</v>
      </c>
      <c r="AB119">
        <v>8.02</v>
      </c>
      <c r="AC119">
        <v>0</v>
      </c>
      <c r="AD119">
        <v>1</v>
      </c>
      <c r="AE119">
        <v>1</v>
      </c>
      <c r="AG119">
        <v>179.3</v>
      </c>
      <c r="AH119">
        <v>2</v>
      </c>
      <c r="AI119">
        <v>50961420</v>
      </c>
      <c r="AJ119">
        <v>113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ROW(Source!A111)</f>
        <v>111</v>
      </c>
      <c r="B120">
        <v>50961421</v>
      </c>
      <c r="C120">
        <v>50961419</v>
      </c>
      <c r="D120">
        <v>49621500</v>
      </c>
      <c r="E120">
        <v>1</v>
      </c>
      <c r="F120">
        <v>1</v>
      </c>
      <c r="G120">
        <v>1</v>
      </c>
      <c r="H120">
        <v>2</v>
      </c>
      <c r="I120" t="s">
        <v>350</v>
      </c>
      <c r="J120" t="s">
        <v>351</v>
      </c>
      <c r="K120" t="s">
        <v>352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3.97</v>
      </c>
      <c r="Y120">
        <v>0</v>
      </c>
      <c r="Z120">
        <v>48.81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3.97</v>
      </c>
      <c r="AH120">
        <v>2</v>
      </c>
      <c r="AI120">
        <v>50961421</v>
      </c>
      <c r="AJ120">
        <v>114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ROW(Source!A111)</f>
        <v>111</v>
      </c>
      <c r="B121">
        <v>50961422</v>
      </c>
      <c r="C121">
        <v>50961419</v>
      </c>
      <c r="D121">
        <v>49621951</v>
      </c>
      <c r="E121">
        <v>1</v>
      </c>
      <c r="F121">
        <v>1</v>
      </c>
      <c r="G121">
        <v>1</v>
      </c>
      <c r="H121">
        <v>2</v>
      </c>
      <c r="I121" t="s">
        <v>353</v>
      </c>
      <c r="J121" t="s">
        <v>354</v>
      </c>
      <c r="K121" t="s">
        <v>355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X121">
        <v>7.93</v>
      </c>
      <c r="Y121">
        <v>0</v>
      </c>
      <c r="Z121">
        <v>1.53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7.93</v>
      </c>
      <c r="AH121">
        <v>2</v>
      </c>
      <c r="AI121">
        <v>50961422</v>
      </c>
      <c r="AJ121">
        <v>115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ROW(Source!A111)</f>
        <v>111</v>
      </c>
      <c r="B122">
        <v>50961423</v>
      </c>
      <c r="C122">
        <v>50961419</v>
      </c>
      <c r="D122">
        <v>49463934</v>
      </c>
      <c r="E122">
        <v>58</v>
      </c>
      <c r="F122">
        <v>1</v>
      </c>
      <c r="G122">
        <v>1</v>
      </c>
      <c r="H122">
        <v>3</v>
      </c>
      <c r="I122" t="s">
        <v>48</v>
      </c>
      <c r="K122" t="s">
        <v>49</v>
      </c>
      <c r="L122">
        <v>1348</v>
      </c>
      <c r="N122">
        <v>1009</v>
      </c>
      <c r="O122" t="s">
        <v>50</v>
      </c>
      <c r="P122" t="s">
        <v>50</v>
      </c>
      <c r="Q122">
        <v>1000</v>
      </c>
      <c r="X122">
        <v>10.5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G122">
        <v>10.5</v>
      </c>
      <c r="AH122">
        <v>2</v>
      </c>
      <c r="AI122">
        <v>50961423</v>
      </c>
      <c r="AJ122">
        <v>116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ROW(Source!A114)</f>
        <v>114</v>
      </c>
      <c r="B123">
        <v>50948067</v>
      </c>
      <c r="C123">
        <v>50948055</v>
      </c>
      <c r="D123">
        <v>47860458</v>
      </c>
      <c r="E123">
        <v>56</v>
      </c>
      <c r="F123">
        <v>1</v>
      </c>
      <c r="G123">
        <v>1</v>
      </c>
      <c r="H123">
        <v>1</v>
      </c>
      <c r="I123" t="s">
        <v>319</v>
      </c>
      <c r="K123" t="s">
        <v>320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2.78</v>
      </c>
      <c r="Y123">
        <v>0</v>
      </c>
      <c r="Z123">
        <v>0</v>
      </c>
      <c r="AA123">
        <v>0</v>
      </c>
      <c r="AB123">
        <v>10.06</v>
      </c>
      <c r="AC123">
        <v>0</v>
      </c>
      <c r="AD123">
        <v>1</v>
      </c>
      <c r="AE123">
        <v>1</v>
      </c>
      <c r="AF123" t="s">
        <v>32</v>
      </c>
      <c r="AG123">
        <v>3.1969999999999996</v>
      </c>
      <c r="AH123">
        <v>2</v>
      </c>
      <c r="AI123">
        <v>50948056</v>
      </c>
      <c r="AJ123">
        <v>117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ROW(Source!A114)</f>
        <v>114</v>
      </c>
      <c r="B124">
        <v>50948068</v>
      </c>
      <c r="C124">
        <v>50948055</v>
      </c>
      <c r="D124">
        <v>47860585</v>
      </c>
      <c r="E124">
        <v>56</v>
      </c>
      <c r="F124">
        <v>1</v>
      </c>
      <c r="G124">
        <v>1</v>
      </c>
      <c r="H124">
        <v>1</v>
      </c>
      <c r="I124" t="s">
        <v>298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0.02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31</v>
      </c>
      <c r="AG124">
        <v>0.025</v>
      </c>
      <c r="AH124">
        <v>2</v>
      </c>
      <c r="AI124">
        <v>50948057</v>
      </c>
      <c r="AJ124">
        <v>118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ROW(Source!A114)</f>
        <v>114</v>
      </c>
      <c r="B125">
        <v>50948069</v>
      </c>
      <c r="C125">
        <v>50948055</v>
      </c>
      <c r="D125">
        <v>48022139</v>
      </c>
      <c r="E125">
        <v>1</v>
      </c>
      <c r="F125">
        <v>1</v>
      </c>
      <c r="G125">
        <v>1</v>
      </c>
      <c r="H125">
        <v>2</v>
      </c>
      <c r="I125" t="s">
        <v>300</v>
      </c>
      <c r="J125" t="s">
        <v>301</v>
      </c>
      <c r="K125" t="s">
        <v>302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0.02</v>
      </c>
      <c r="Y125">
        <v>0</v>
      </c>
      <c r="Z125">
        <v>65.71</v>
      </c>
      <c r="AA125">
        <v>11.6</v>
      </c>
      <c r="AB125">
        <v>0</v>
      </c>
      <c r="AC125">
        <v>0</v>
      </c>
      <c r="AD125">
        <v>1</v>
      </c>
      <c r="AE125">
        <v>0</v>
      </c>
      <c r="AF125" t="s">
        <v>31</v>
      </c>
      <c r="AG125">
        <v>0.025</v>
      </c>
      <c r="AH125">
        <v>2</v>
      </c>
      <c r="AI125">
        <v>50948058</v>
      </c>
      <c r="AJ125">
        <v>119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ROW(Source!A114)</f>
        <v>114</v>
      </c>
      <c r="B126">
        <v>50948070</v>
      </c>
      <c r="C126">
        <v>50948055</v>
      </c>
      <c r="D126">
        <v>48022349</v>
      </c>
      <c r="E126">
        <v>1</v>
      </c>
      <c r="F126">
        <v>1</v>
      </c>
      <c r="G126">
        <v>1</v>
      </c>
      <c r="H126">
        <v>2</v>
      </c>
      <c r="I126" t="s">
        <v>356</v>
      </c>
      <c r="J126" t="s">
        <v>357</v>
      </c>
      <c r="K126" t="s">
        <v>358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0.73</v>
      </c>
      <c r="Y126">
        <v>0</v>
      </c>
      <c r="Z126">
        <v>8.1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31</v>
      </c>
      <c r="AG126">
        <v>0.9125</v>
      </c>
      <c r="AH126">
        <v>2</v>
      </c>
      <c r="AI126">
        <v>50948059</v>
      </c>
      <c r="AJ126">
        <v>120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ROW(Source!A114)</f>
        <v>114</v>
      </c>
      <c r="B127">
        <v>50948071</v>
      </c>
      <c r="C127">
        <v>50948055</v>
      </c>
      <c r="D127">
        <v>47873304</v>
      </c>
      <c r="E127">
        <v>1</v>
      </c>
      <c r="F127">
        <v>1</v>
      </c>
      <c r="G127">
        <v>1</v>
      </c>
      <c r="H127">
        <v>3</v>
      </c>
      <c r="I127" t="s">
        <v>359</v>
      </c>
      <c r="J127" t="s">
        <v>360</v>
      </c>
      <c r="K127" t="s">
        <v>361</v>
      </c>
      <c r="L127">
        <v>1348</v>
      </c>
      <c r="N127">
        <v>1009</v>
      </c>
      <c r="O127" t="s">
        <v>50</v>
      </c>
      <c r="P127" t="s">
        <v>50</v>
      </c>
      <c r="Q127">
        <v>1000</v>
      </c>
      <c r="X127">
        <v>8E-05</v>
      </c>
      <c r="Y127">
        <v>10315.01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8E-05</v>
      </c>
      <c r="AH127">
        <v>2</v>
      </c>
      <c r="AI127">
        <v>50948060</v>
      </c>
      <c r="AJ127">
        <v>121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ROW(Source!A114)</f>
        <v>114</v>
      </c>
      <c r="B128">
        <v>50948072</v>
      </c>
      <c r="C128">
        <v>50948055</v>
      </c>
      <c r="D128">
        <v>47874409</v>
      </c>
      <c r="E128">
        <v>1</v>
      </c>
      <c r="F128">
        <v>1</v>
      </c>
      <c r="G128">
        <v>1</v>
      </c>
      <c r="H128">
        <v>3</v>
      </c>
      <c r="I128" t="s">
        <v>362</v>
      </c>
      <c r="J128" t="s">
        <v>363</v>
      </c>
      <c r="K128" t="s">
        <v>364</v>
      </c>
      <c r="L128">
        <v>1348</v>
      </c>
      <c r="N128">
        <v>1009</v>
      </c>
      <c r="O128" t="s">
        <v>50</v>
      </c>
      <c r="P128" t="s">
        <v>50</v>
      </c>
      <c r="Q128">
        <v>1000</v>
      </c>
      <c r="X128">
        <v>0.003</v>
      </c>
      <c r="Y128">
        <v>10068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0.003</v>
      </c>
      <c r="AH128">
        <v>2</v>
      </c>
      <c r="AI128">
        <v>50948061</v>
      </c>
      <c r="AJ128">
        <v>122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ROW(Source!A114)</f>
        <v>114</v>
      </c>
      <c r="B129">
        <v>50948073</v>
      </c>
      <c r="C129">
        <v>50948055</v>
      </c>
      <c r="D129">
        <v>47862091</v>
      </c>
      <c r="E129">
        <v>56</v>
      </c>
      <c r="F129">
        <v>1</v>
      </c>
      <c r="G129">
        <v>1</v>
      </c>
      <c r="H129">
        <v>3</v>
      </c>
      <c r="I129" t="s">
        <v>388</v>
      </c>
      <c r="K129" t="s">
        <v>389</v>
      </c>
      <c r="L129">
        <v>1371</v>
      </c>
      <c r="N129">
        <v>1013</v>
      </c>
      <c r="O129" t="s">
        <v>61</v>
      </c>
      <c r="P129" t="s">
        <v>61</v>
      </c>
      <c r="Q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G129">
        <v>0</v>
      </c>
      <c r="AH129">
        <v>3</v>
      </c>
      <c r="AI129">
        <v>-1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ROW(Source!A114)</f>
        <v>114</v>
      </c>
      <c r="B130">
        <v>50948074</v>
      </c>
      <c r="C130">
        <v>50948055</v>
      </c>
      <c r="D130">
        <v>47904195</v>
      </c>
      <c r="E130">
        <v>1</v>
      </c>
      <c r="F130">
        <v>1</v>
      </c>
      <c r="G130">
        <v>1</v>
      </c>
      <c r="H130">
        <v>3</v>
      </c>
      <c r="I130" t="s">
        <v>365</v>
      </c>
      <c r="J130" t="s">
        <v>366</v>
      </c>
      <c r="K130" t="s">
        <v>367</v>
      </c>
      <c r="L130">
        <v>1371</v>
      </c>
      <c r="N130">
        <v>1013</v>
      </c>
      <c r="O130" t="s">
        <v>61</v>
      </c>
      <c r="P130" t="s">
        <v>61</v>
      </c>
      <c r="Q130">
        <v>1</v>
      </c>
      <c r="X130">
        <v>0.19</v>
      </c>
      <c r="Y130">
        <v>110.11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0.19</v>
      </c>
      <c r="AH130">
        <v>2</v>
      </c>
      <c r="AI130">
        <v>50948062</v>
      </c>
      <c r="AJ130">
        <v>123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ROW(Source!A115)</f>
        <v>115</v>
      </c>
      <c r="B131">
        <v>50948067</v>
      </c>
      <c r="C131">
        <v>50948055</v>
      </c>
      <c r="D131">
        <v>47860458</v>
      </c>
      <c r="E131">
        <v>56</v>
      </c>
      <c r="F131">
        <v>1</v>
      </c>
      <c r="G131">
        <v>1</v>
      </c>
      <c r="H131">
        <v>1</v>
      </c>
      <c r="I131" t="s">
        <v>319</v>
      </c>
      <c r="K131" t="s">
        <v>320</v>
      </c>
      <c r="L131">
        <v>1191</v>
      </c>
      <c r="N131">
        <v>1013</v>
      </c>
      <c r="O131" t="s">
        <v>297</v>
      </c>
      <c r="P131" t="s">
        <v>297</v>
      </c>
      <c r="Q131">
        <v>1</v>
      </c>
      <c r="X131">
        <v>2.78</v>
      </c>
      <c r="Y131">
        <v>0</v>
      </c>
      <c r="Z131">
        <v>0</v>
      </c>
      <c r="AA131">
        <v>0</v>
      </c>
      <c r="AB131">
        <v>10.06</v>
      </c>
      <c r="AC131">
        <v>0</v>
      </c>
      <c r="AD131">
        <v>1</v>
      </c>
      <c r="AE131">
        <v>1</v>
      </c>
      <c r="AF131" t="s">
        <v>32</v>
      </c>
      <c r="AG131">
        <v>3.1969999999999996</v>
      </c>
      <c r="AH131">
        <v>2</v>
      </c>
      <c r="AI131">
        <v>50948056</v>
      </c>
      <c r="AJ131">
        <v>125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ROW(Source!A115)</f>
        <v>115</v>
      </c>
      <c r="B132">
        <v>50948068</v>
      </c>
      <c r="C132">
        <v>50948055</v>
      </c>
      <c r="D132">
        <v>47860585</v>
      </c>
      <c r="E132">
        <v>56</v>
      </c>
      <c r="F132">
        <v>1</v>
      </c>
      <c r="G132">
        <v>1</v>
      </c>
      <c r="H132">
        <v>1</v>
      </c>
      <c r="I132" t="s">
        <v>298</v>
      </c>
      <c r="K132" t="s">
        <v>299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X132">
        <v>0.02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31</v>
      </c>
      <c r="AG132">
        <v>0.025</v>
      </c>
      <c r="AH132">
        <v>2</v>
      </c>
      <c r="AI132">
        <v>50948057</v>
      </c>
      <c r="AJ132">
        <v>126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ROW(Source!A115)</f>
        <v>115</v>
      </c>
      <c r="B133">
        <v>50948069</v>
      </c>
      <c r="C133">
        <v>50948055</v>
      </c>
      <c r="D133">
        <v>48022139</v>
      </c>
      <c r="E133">
        <v>1</v>
      </c>
      <c r="F133">
        <v>1</v>
      </c>
      <c r="G133">
        <v>1</v>
      </c>
      <c r="H133">
        <v>2</v>
      </c>
      <c r="I133" t="s">
        <v>300</v>
      </c>
      <c r="J133" t="s">
        <v>301</v>
      </c>
      <c r="K133" t="s">
        <v>302</v>
      </c>
      <c r="L133">
        <v>1368</v>
      </c>
      <c r="N133">
        <v>1011</v>
      </c>
      <c r="O133" t="s">
        <v>303</v>
      </c>
      <c r="P133" t="s">
        <v>303</v>
      </c>
      <c r="Q133">
        <v>1</v>
      </c>
      <c r="X133">
        <v>0.02</v>
      </c>
      <c r="Y133">
        <v>0</v>
      </c>
      <c r="Z133">
        <v>65.71</v>
      </c>
      <c r="AA133">
        <v>11.6</v>
      </c>
      <c r="AB133">
        <v>0</v>
      </c>
      <c r="AC133">
        <v>0</v>
      </c>
      <c r="AD133">
        <v>1</v>
      </c>
      <c r="AE133">
        <v>0</v>
      </c>
      <c r="AF133" t="s">
        <v>31</v>
      </c>
      <c r="AG133">
        <v>0.025</v>
      </c>
      <c r="AH133">
        <v>2</v>
      </c>
      <c r="AI133">
        <v>50948058</v>
      </c>
      <c r="AJ133">
        <v>127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ROW(Source!A115)</f>
        <v>115</v>
      </c>
      <c r="B134">
        <v>50948070</v>
      </c>
      <c r="C134">
        <v>50948055</v>
      </c>
      <c r="D134">
        <v>48022349</v>
      </c>
      <c r="E134">
        <v>1</v>
      </c>
      <c r="F134">
        <v>1</v>
      </c>
      <c r="G134">
        <v>1</v>
      </c>
      <c r="H134">
        <v>2</v>
      </c>
      <c r="I134" t="s">
        <v>356</v>
      </c>
      <c r="J134" t="s">
        <v>357</v>
      </c>
      <c r="K134" t="s">
        <v>358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X134">
        <v>0.73</v>
      </c>
      <c r="Y134">
        <v>0</v>
      </c>
      <c r="Z134">
        <v>8.1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31</v>
      </c>
      <c r="AG134">
        <v>0.9125</v>
      </c>
      <c r="AH134">
        <v>2</v>
      </c>
      <c r="AI134">
        <v>50948059</v>
      </c>
      <c r="AJ134">
        <v>128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ROW(Source!A115)</f>
        <v>115</v>
      </c>
      <c r="B135">
        <v>50948071</v>
      </c>
      <c r="C135">
        <v>50948055</v>
      </c>
      <c r="D135">
        <v>47873304</v>
      </c>
      <c r="E135">
        <v>1</v>
      </c>
      <c r="F135">
        <v>1</v>
      </c>
      <c r="G135">
        <v>1</v>
      </c>
      <c r="H135">
        <v>3</v>
      </c>
      <c r="I135" t="s">
        <v>359</v>
      </c>
      <c r="J135" t="s">
        <v>360</v>
      </c>
      <c r="K135" t="s">
        <v>361</v>
      </c>
      <c r="L135">
        <v>1348</v>
      </c>
      <c r="N135">
        <v>1009</v>
      </c>
      <c r="O135" t="s">
        <v>50</v>
      </c>
      <c r="P135" t="s">
        <v>50</v>
      </c>
      <c r="Q135">
        <v>1000</v>
      </c>
      <c r="X135">
        <v>8E-05</v>
      </c>
      <c r="Y135">
        <v>10315.01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8E-05</v>
      </c>
      <c r="AH135">
        <v>2</v>
      </c>
      <c r="AI135">
        <v>50948060</v>
      </c>
      <c r="AJ135">
        <v>129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ROW(Source!A115)</f>
        <v>115</v>
      </c>
      <c r="B136">
        <v>50948072</v>
      </c>
      <c r="C136">
        <v>50948055</v>
      </c>
      <c r="D136">
        <v>47874409</v>
      </c>
      <c r="E136">
        <v>1</v>
      </c>
      <c r="F136">
        <v>1</v>
      </c>
      <c r="G136">
        <v>1</v>
      </c>
      <c r="H136">
        <v>3</v>
      </c>
      <c r="I136" t="s">
        <v>362</v>
      </c>
      <c r="J136" t="s">
        <v>363</v>
      </c>
      <c r="K136" t="s">
        <v>364</v>
      </c>
      <c r="L136">
        <v>1348</v>
      </c>
      <c r="N136">
        <v>1009</v>
      </c>
      <c r="O136" t="s">
        <v>50</v>
      </c>
      <c r="P136" t="s">
        <v>50</v>
      </c>
      <c r="Q136">
        <v>1000</v>
      </c>
      <c r="X136">
        <v>0.003</v>
      </c>
      <c r="Y136">
        <v>10068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0.003</v>
      </c>
      <c r="AH136">
        <v>2</v>
      </c>
      <c r="AI136">
        <v>50948061</v>
      </c>
      <c r="AJ136">
        <v>130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ROW(Source!A115)</f>
        <v>115</v>
      </c>
      <c r="B137">
        <v>50948073</v>
      </c>
      <c r="C137">
        <v>50948055</v>
      </c>
      <c r="D137">
        <v>47862091</v>
      </c>
      <c r="E137">
        <v>56</v>
      </c>
      <c r="F137">
        <v>1</v>
      </c>
      <c r="G137">
        <v>1</v>
      </c>
      <c r="H137">
        <v>3</v>
      </c>
      <c r="I137" t="s">
        <v>388</v>
      </c>
      <c r="K137" t="s">
        <v>389</v>
      </c>
      <c r="L137">
        <v>1371</v>
      </c>
      <c r="N137">
        <v>1013</v>
      </c>
      <c r="O137" t="s">
        <v>61</v>
      </c>
      <c r="P137" t="s">
        <v>61</v>
      </c>
      <c r="Q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G137">
        <v>0</v>
      </c>
      <c r="AH137">
        <v>3</v>
      </c>
      <c r="AI137">
        <v>-1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ROW(Source!A115)</f>
        <v>115</v>
      </c>
      <c r="B138">
        <v>50948074</v>
      </c>
      <c r="C138">
        <v>50948055</v>
      </c>
      <c r="D138">
        <v>47904195</v>
      </c>
      <c r="E138">
        <v>1</v>
      </c>
      <c r="F138">
        <v>1</v>
      </c>
      <c r="G138">
        <v>1</v>
      </c>
      <c r="H138">
        <v>3</v>
      </c>
      <c r="I138" t="s">
        <v>365</v>
      </c>
      <c r="J138" t="s">
        <v>366</v>
      </c>
      <c r="K138" t="s">
        <v>367</v>
      </c>
      <c r="L138">
        <v>1371</v>
      </c>
      <c r="N138">
        <v>1013</v>
      </c>
      <c r="O138" t="s">
        <v>61</v>
      </c>
      <c r="P138" t="s">
        <v>61</v>
      </c>
      <c r="Q138">
        <v>1</v>
      </c>
      <c r="X138">
        <v>0.19</v>
      </c>
      <c r="Y138">
        <v>110.11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0.19</v>
      </c>
      <c r="AH138">
        <v>2</v>
      </c>
      <c r="AI138">
        <v>50948062</v>
      </c>
      <c r="AJ138">
        <v>131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5"/>
  <sheetViews>
    <sheetView zoomScalePageLayoutView="0" workbookViewId="0" topLeftCell="A178">
      <selection activeCell="A1" sqref="A1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15.7109375" style="0" customWidth="1"/>
    <col min="4" max="4" width="40.7109375" style="0" customWidth="1"/>
    <col min="5" max="8" width="13.7109375" style="0" customWidth="1"/>
    <col min="9" max="9" width="10.7109375" style="0" customWidth="1"/>
    <col min="10" max="10" width="13.7109375" style="0" customWidth="1"/>
    <col min="15" max="28" width="0" style="0" hidden="1" customWidth="1"/>
    <col min="29" max="29" width="97.7109375" style="0" hidden="1" customWidth="1"/>
    <col min="30" max="30" width="0" style="0" hidden="1" customWidth="1"/>
    <col min="31" max="31" width="144.7109375" style="0" hidden="1" customWidth="1"/>
    <col min="32" max="32" width="95.7109375" style="0" hidden="1" customWidth="1"/>
    <col min="33" max="33" width="0" style="0" hidden="1" customWidth="1"/>
    <col min="34" max="34" width="95.7109375" style="0" hidden="1" customWidth="1"/>
    <col min="35" max="36" width="0" style="0" hidden="1" customWidth="1"/>
  </cols>
  <sheetData>
    <row r="1" ht="12.75">
      <c r="A1" s="11" t="str">
        <f>Source!B1</f>
        <v>Smeta.RU  (495) 974-1589</v>
      </c>
    </row>
    <row r="2" spans="1:10" ht="14.25">
      <c r="A2" s="103"/>
      <c r="B2" s="103"/>
      <c r="C2" s="103"/>
      <c r="D2" s="103"/>
      <c r="E2" s="103"/>
      <c r="F2" s="46"/>
      <c r="G2" s="152" t="s">
        <v>445</v>
      </c>
      <c r="H2" s="152"/>
      <c r="I2" s="152"/>
      <c r="J2" s="152"/>
    </row>
    <row r="3" spans="1:10" ht="14.25">
      <c r="A3" s="13"/>
      <c r="B3" s="13"/>
      <c r="C3" s="13"/>
      <c r="D3" s="13"/>
      <c r="E3" s="13"/>
      <c r="F3" s="152" t="s">
        <v>446</v>
      </c>
      <c r="G3" s="152"/>
      <c r="H3" s="152"/>
      <c r="I3" s="152"/>
      <c r="J3" s="152"/>
    </row>
    <row r="4" spans="1:10" ht="14.25">
      <c r="A4" s="13"/>
      <c r="B4" s="13"/>
      <c r="C4" s="13"/>
      <c r="D4" s="13"/>
      <c r="E4" s="13"/>
      <c r="F4" s="46"/>
      <c r="G4" s="152" t="s">
        <v>447</v>
      </c>
      <c r="H4" s="152"/>
      <c r="I4" s="152"/>
      <c r="J4" s="152"/>
    </row>
    <row r="5" spans="1:10" ht="14.25">
      <c r="A5" s="13"/>
      <c r="B5" s="13"/>
      <c r="C5" s="13"/>
      <c r="D5" s="13"/>
      <c r="E5" s="13"/>
      <c r="F5" s="13"/>
      <c r="G5" s="13"/>
      <c r="H5" s="13"/>
      <c r="I5" s="135" t="s">
        <v>448</v>
      </c>
      <c r="J5" s="136"/>
    </row>
    <row r="6" spans="1:10" ht="14.25">
      <c r="A6" s="13"/>
      <c r="B6" s="13"/>
      <c r="C6" s="13"/>
      <c r="D6" s="13"/>
      <c r="E6" s="13"/>
      <c r="F6" s="13"/>
      <c r="G6" s="13"/>
      <c r="H6" s="12" t="s">
        <v>449</v>
      </c>
      <c r="I6" s="153" t="s">
        <v>450</v>
      </c>
      <c r="J6" s="154"/>
    </row>
    <row r="7" spans="1:10" ht="14.25">
      <c r="A7" s="13"/>
      <c r="B7" s="13"/>
      <c r="C7" s="13"/>
      <c r="D7" s="13"/>
      <c r="E7" s="13"/>
      <c r="F7" s="13"/>
      <c r="G7" s="13"/>
      <c r="H7" s="12"/>
      <c r="I7" s="146">
        <f>IF(Source!AT15&lt;&gt;"",Source!AT15,"")</f>
      </c>
      <c r="J7" s="147"/>
    </row>
    <row r="8" spans="1:10" ht="14.25">
      <c r="A8" s="13" t="s">
        <v>451</v>
      </c>
      <c r="B8" s="67"/>
      <c r="C8" s="145">
        <f>IF(Source!BA15&lt;&gt;"",Source!BA15,IF(Source!AU15&lt;&gt;"",Source!AU15,""))</f>
      </c>
      <c r="D8" s="145"/>
      <c r="E8" s="145"/>
      <c r="F8" s="145"/>
      <c r="G8" s="145"/>
      <c r="H8" s="12" t="s">
        <v>452</v>
      </c>
      <c r="I8" s="148"/>
      <c r="J8" s="149"/>
    </row>
    <row r="9" spans="1:10" ht="14.25">
      <c r="A9" s="13"/>
      <c r="B9" s="13"/>
      <c r="C9" s="124" t="s">
        <v>453</v>
      </c>
      <c r="D9" s="124"/>
      <c r="E9" s="124"/>
      <c r="F9" s="124"/>
      <c r="G9" s="124"/>
      <c r="H9" s="13"/>
      <c r="I9" s="135">
        <f>IF(Source!AK15&lt;&gt;"",Source!AK15,"")</f>
      </c>
      <c r="J9" s="136"/>
    </row>
    <row r="10" spans="1:10" ht="14.25">
      <c r="A10" s="13" t="s">
        <v>454</v>
      </c>
      <c r="B10" s="13"/>
      <c r="C10" s="19"/>
      <c r="D10" s="145" t="str">
        <f>IF(Source!AX12&lt;&gt;"",Source!AX12,IF(Source!AJ12&lt;&gt;"",Source!AJ12,""))</f>
        <v>ИПУ РАН</v>
      </c>
      <c r="E10" s="145"/>
      <c r="F10" s="145"/>
      <c r="G10" s="145"/>
      <c r="H10" s="12" t="s">
        <v>452</v>
      </c>
      <c r="I10" s="150"/>
      <c r="J10" s="151"/>
    </row>
    <row r="11" spans="1:10" ht="14.25">
      <c r="A11" s="13"/>
      <c r="B11" s="13"/>
      <c r="C11" s="67"/>
      <c r="D11" s="124" t="s">
        <v>455</v>
      </c>
      <c r="E11" s="124"/>
      <c r="F11" s="124"/>
      <c r="G11" s="124"/>
      <c r="H11" s="12" t="s">
        <v>456</v>
      </c>
      <c r="I11" s="135">
        <f>IF(Source!AO15&lt;&gt;"",Source!AO15,"")</f>
      </c>
      <c r="J11" s="136"/>
    </row>
    <row r="12" spans="1:10" ht="14.25">
      <c r="A12" s="13" t="s">
        <v>457</v>
      </c>
      <c r="B12" s="13"/>
      <c r="C12" s="19"/>
      <c r="D12" s="145">
        <f>IF(Source!AY12&lt;&gt;"",Source!AY12,IF(Source!AN12&lt;&gt;"",Source!AN12,""))</f>
      </c>
      <c r="E12" s="145"/>
      <c r="F12" s="145"/>
      <c r="G12" s="145"/>
      <c r="H12" s="12" t="s">
        <v>452</v>
      </c>
      <c r="I12" s="135"/>
      <c r="J12" s="136"/>
    </row>
    <row r="13" spans="1:10" ht="14.25">
      <c r="A13" s="13"/>
      <c r="B13" s="13"/>
      <c r="C13" s="13"/>
      <c r="D13" s="124" t="s">
        <v>458</v>
      </c>
      <c r="E13" s="124"/>
      <c r="F13" s="124"/>
      <c r="G13" s="124"/>
      <c r="H13" s="12" t="s">
        <v>456</v>
      </c>
      <c r="I13" s="141">
        <f>IF(Source!CO15&lt;&gt;"",Source!CO15,"")</f>
      </c>
      <c r="J13" s="142"/>
    </row>
    <row r="14" spans="1:29" ht="14.25">
      <c r="A14" s="13" t="s">
        <v>459</v>
      </c>
      <c r="B14" s="67"/>
      <c r="C14" s="145" t="s">
        <v>4</v>
      </c>
      <c r="D14" s="145"/>
      <c r="E14" s="145"/>
      <c r="F14" s="145"/>
      <c r="G14" s="145"/>
      <c r="H14" s="13"/>
      <c r="I14" s="143"/>
      <c r="J14" s="144"/>
      <c r="AC14" s="41" t="s">
        <v>4</v>
      </c>
    </row>
    <row r="15" spans="1:10" ht="14.25">
      <c r="A15" s="13"/>
      <c r="B15" s="13"/>
      <c r="C15" s="124" t="s">
        <v>460</v>
      </c>
      <c r="D15" s="124"/>
      <c r="E15" s="124"/>
      <c r="F15" s="124"/>
      <c r="G15" s="124"/>
      <c r="H15" s="13"/>
      <c r="I15" s="141">
        <f>IF(Source!CP15&lt;&gt;"",Source!CP15,"")</f>
      </c>
      <c r="J15" s="142"/>
    </row>
    <row r="16" spans="1:29" ht="14.25">
      <c r="A16" s="13" t="s">
        <v>461</v>
      </c>
      <c r="B16" s="67"/>
      <c r="C16" s="145" t="str">
        <f>IF(Source!G12&lt;&gt;"Новый объект",Source!G12,"")</f>
        <v>Реализация выполнения работ по обеспечению пожарной безопасности объекта ИПУ РАН</v>
      </c>
      <c r="D16" s="145"/>
      <c r="E16" s="145"/>
      <c r="F16" s="145"/>
      <c r="G16" s="145"/>
      <c r="H16" s="12" t="s">
        <v>462</v>
      </c>
      <c r="I16" s="143"/>
      <c r="J16" s="144"/>
      <c r="AC16" s="41" t="str">
        <f>IF(Source!G12&lt;&gt;"Новый объект",Source!G12,"")</f>
        <v>Реализация выполнения работ по обеспечению пожарной безопасности объекта ИПУ РАН</v>
      </c>
    </row>
    <row r="17" spans="1:10" ht="14.25">
      <c r="A17" s="13"/>
      <c r="B17" s="13"/>
      <c r="C17" s="124" t="s">
        <v>463</v>
      </c>
      <c r="D17" s="124"/>
      <c r="E17" s="124"/>
      <c r="F17" s="115" t="s">
        <v>464</v>
      </c>
      <c r="G17" s="115"/>
      <c r="H17" s="134"/>
      <c r="I17" s="135">
        <f>IF(Source!CQ15&lt;&gt;"",Source!CQ15,"")</f>
      </c>
      <c r="J17" s="136"/>
    </row>
    <row r="18" spans="1:10" ht="14.25">
      <c r="A18" s="13"/>
      <c r="B18" s="13"/>
      <c r="C18" s="13"/>
      <c r="D18" s="13"/>
      <c r="E18" s="115" t="s">
        <v>465</v>
      </c>
      <c r="F18" s="115"/>
      <c r="G18" s="134"/>
      <c r="H18" s="68" t="s">
        <v>466</v>
      </c>
      <c r="I18" s="135">
        <f>IF(Source!CR15&lt;&gt;"",Source!CR15,"")</f>
      </c>
      <c r="J18" s="136"/>
    </row>
    <row r="19" spans="1:10" ht="14.25">
      <c r="A19" s="13"/>
      <c r="B19" s="13"/>
      <c r="C19" s="13"/>
      <c r="D19" s="13"/>
      <c r="E19" s="13"/>
      <c r="F19" s="13"/>
      <c r="G19" s="13"/>
      <c r="H19" s="31" t="s">
        <v>467</v>
      </c>
      <c r="I19" s="137">
        <f>IF(Source!CS15&lt;&gt;0,Source!CS15,"")</f>
      </c>
      <c r="J19" s="138"/>
    </row>
    <row r="20" spans="1:10" ht="14.25">
      <c r="A20" s="13"/>
      <c r="B20" s="13"/>
      <c r="C20" s="13"/>
      <c r="D20" s="13"/>
      <c r="E20" s="13"/>
      <c r="F20" s="13"/>
      <c r="G20" s="13"/>
      <c r="H20" s="12" t="s">
        <v>468</v>
      </c>
      <c r="I20" s="135">
        <f>IF(Source!CT15&lt;&gt;"",Source!CT15,"")</f>
      </c>
      <c r="J20" s="136"/>
    </row>
    <row r="21" spans="1:10" ht="14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4.25">
      <c r="A22" s="13"/>
      <c r="B22" s="13"/>
      <c r="C22" s="13"/>
      <c r="D22" s="13"/>
      <c r="E22" s="13"/>
      <c r="F22" s="131" t="s">
        <v>469</v>
      </c>
      <c r="G22" s="131" t="s">
        <v>470</v>
      </c>
      <c r="H22" s="139" t="s">
        <v>471</v>
      </c>
      <c r="I22" s="140"/>
      <c r="J22" s="13"/>
    </row>
    <row r="23" spans="1:10" ht="14.25">
      <c r="A23" s="13"/>
      <c r="B23" s="13"/>
      <c r="C23" s="13"/>
      <c r="D23" s="13"/>
      <c r="E23" s="13"/>
      <c r="F23" s="132"/>
      <c r="G23" s="132"/>
      <c r="H23" s="69" t="s">
        <v>472</v>
      </c>
      <c r="I23" s="70" t="s">
        <v>473</v>
      </c>
      <c r="J23" s="13"/>
    </row>
    <row r="24" spans="1:10" ht="14.25">
      <c r="A24" s="13"/>
      <c r="B24" s="13"/>
      <c r="C24" s="13"/>
      <c r="D24" s="13"/>
      <c r="E24" s="13"/>
      <c r="F24" s="71">
        <f>IF(Source!CN15&lt;&gt;"",Source!CN15,"")</f>
      </c>
      <c r="G24" s="72">
        <f>IF(Source!CX15&lt;&gt;0,Source!CX15,"")</f>
      </c>
      <c r="H24" s="72">
        <f>IF(Source!CV15&lt;&gt;0,Source!CV15,"")</f>
      </c>
      <c r="I24" s="72">
        <f>IF(Source!CW15&lt;&gt;0,Source!CW15,"")</f>
      </c>
      <c r="J24" s="13"/>
    </row>
    <row r="25" spans="1:10" ht="14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26" t="s">
        <v>474</v>
      </c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5">
      <c r="A27" s="126" t="s">
        <v>475</v>
      </c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4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4.25">
      <c r="A29" s="103" t="s">
        <v>484</v>
      </c>
      <c r="B29" s="103"/>
      <c r="C29" s="103"/>
      <c r="D29" s="103"/>
      <c r="E29" s="103"/>
      <c r="F29" s="103"/>
      <c r="G29" s="127">
        <f>(Source!F255/1000)</f>
        <v>2560.0744900000004</v>
      </c>
      <c r="H29" s="128"/>
      <c r="I29" s="73" t="s">
        <v>401</v>
      </c>
      <c r="J29" s="74"/>
    </row>
    <row r="30" spans="1:10" ht="14.25">
      <c r="A30" s="16" t="s">
        <v>485</v>
      </c>
      <c r="B30" s="17"/>
      <c r="C30" s="17"/>
      <c r="D30" s="17"/>
      <c r="E30" s="17"/>
      <c r="F30" s="17"/>
      <c r="G30" s="127">
        <f>(Source!P255/1000)</f>
        <v>2873.61059</v>
      </c>
      <c r="H30" s="128"/>
      <c r="I30" s="73" t="s">
        <v>401</v>
      </c>
      <c r="J30" s="13"/>
    </row>
    <row r="31" spans="1:10" ht="14.25">
      <c r="A31" s="129" t="s">
        <v>476</v>
      </c>
      <c r="B31" s="130"/>
      <c r="C31" s="131" t="s">
        <v>412</v>
      </c>
      <c r="D31" s="131" t="s">
        <v>413</v>
      </c>
      <c r="E31" s="131" t="s">
        <v>477</v>
      </c>
      <c r="F31" s="133" t="s">
        <v>478</v>
      </c>
      <c r="G31" s="133"/>
      <c r="H31" s="133"/>
      <c r="I31" s="133"/>
      <c r="J31" s="133"/>
    </row>
    <row r="32" spans="1:10" ht="57">
      <c r="A32" s="30" t="s">
        <v>479</v>
      </c>
      <c r="B32" s="30" t="s">
        <v>480</v>
      </c>
      <c r="C32" s="132"/>
      <c r="D32" s="132"/>
      <c r="E32" s="132"/>
      <c r="F32" s="30" t="s">
        <v>481</v>
      </c>
      <c r="G32" s="30" t="s">
        <v>482</v>
      </c>
      <c r="H32" s="30" t="s">
        <v>486</v>
      </c>
      <c r="I32" s="30" t="s">
        <v>483</v>
      </c>
      <c r="J32" s="30" t="s">
        <v>421</v>
      </c>
    </row>
    <row r="33" spans="1:10" ht="14.25">
      <c r="A33" s="75">
        <v>1</v>
      </c>
      <c r="B33" s="75">
        <v>2</v>
      </c>
      <c r="C33" s="75">
        <v>3</v>
      </c>
      <c r="D33" s="75">
        <v>4</v>
      </c>
      <c r="E33" s="75">
        <v>5</v>
      </c>
      <c r="F33" s="75">
        <v>6</v>
      </c>
      <c r="G33" s="75">
        <v>7</v>
      </c>
      <c r="H33" s="75">
        <v>8</v>
      </c>
      <c r="I33" s="75">
        <v>9</v>
      </c>
      <c r="J33" s="75">
        <v>10</v>
      </c>
    </row>
    <row r="35" spans="1:31" ht="16.5">
      <c r="A35" s="111" t="str">
        <f>CONCATENATE("Локальная смета: ",IF(Source!G20&lt;&gt;"Новая локальная смета",Source!G20,""))</f>
        <v>Локальная смета: Реализация выполнения работ по обеспечению пожарной безопастности объекта ИПУ РАН</v>
      </c>
      <c r="B35" s="111"/>
      <c r="C35" s="111"/>
      <c r="D35" s="111"/>
      <c r="E35" s="111"/>
      <c r="F35" s="111"/>
      <c r="G35" s="111"/>
      <c r="H35" s="111"/>
      <c r="I35" s="111"/>
      <c r="J35" s="111"/>
      <c r="AE35" s="65" t="str">
        <f>CONCATENATE("Локальная смета: ",IF(Source!G20&lt;&gt;"Новая локальная смета",Source!G20,""))</f>
        <v>Локальная смета: Реализация выполнения работ по обеспечению пожарной безопастности объекта ИПУ РАН</v>
      </c>
    </row>
    <row r="37" spans="1:10" ht="16.5">
      <c r="A37" s="111" t="str">
        <f>CONCATENATE("Раздел: ",IF(Source!G24&lt;&gt;"Новый раздел",Source!G24,""))</f>
        <v>Раздел: Строение 1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22" ht="57">
      <c r="A38" s="25">
        <v>1</v>
      </c>
      <c r="B38" s="25" t="str">
        <f>Source!E28</f>
        <v>1</v>
      </c>
      <c r="C38" s="60" t="str">
        <f>Source!F28</f>
        <v>08-07-002-01</v>
      </c>
      <c r="D38" s="60" t="str">
        <f>Source!G28</f>
        <v>Установка и разборка внутренних трубчатых инвентарных лесов: при высоте помещений до 6 м</v>
      </c>
      <c r="E38" s="44" t="str">
        <f>Source!H28</f>
        <v>100 м2 горизонтальной проекции</v>
      </c>
      <c r="F38" s="12">
        <f>Source!I28</f>
        <v>0.14</v>
      </c>
      <c r="G38" s="43">
        <f>IF(Source!AK28&lt;&gt;0,Source!AK28,Source!AL28+Source!AM28+Source!AO28)</f>
        <v>997.83</v>
      </c>
      <c r="H38" s="45"/>
      <c r="I38" s="44" t="str">
        <f>Source!BO29</f>
        <v>08-07-002-01</v>
      </c>
      <c r="J38" s="45"/>
      <c r="S38">
        <f>Source!X28</f>
        <v>107.82</v>
      </c>
      <c r="T38">
        <f>Source!X29</f>
        <v>3666.92</v>
      </c>
      <c r="U38">
        <f>Source!Y28</f>
        <v>66.65</v>
      </c>
      <c r="V38">
        <f>Source!Y29</f>
        <v>2266.82</v>
      </c>
    </row>
    <row r="39" ht="12.75">
      <c r="D39" s="33" t="str">
        <f>"Объем: "&amp;Source!I28&amp;"=14/"&amp;"100"</f>
        <v>Объем: 0,14=14/100</v>
      </c>
    </row>
    <row r="40" spans="4:10" ht="12.75">
      <c r="D40" s="125" t="s">
        <v>487</v>
      </c>
      <c r="E40" s="125"/>
      <c r="F40" s="125"/>
      <c r="G40" s="125"/>
      <c r="H40" s="125"/>
      <c r="I40" s="125"/>
      <c r="J40" s="125"/>
    </row>
    <row r="41" spans="1:18" ht="14.25">
      <c r="A41" s="25"/>
      <c r="B41" s="25"/>
      <c r="C41" s="60"/>
      <c r="D41" s="60" t="s">
        <v>488</v>
      </c>
      <c r="E41" s="44"/>
      <c r="F41" s="12"/>
      <c r="G41" s="43">
        <f>Source!AO28</f>
        <v>606.53</v>
      </c>
      <c r="H41" s="45">
        <f>Source!S28</f>
        <v>97.65</v>
      </c>
      <c r="I41" s="44">
        <f>IF(Source!BA29&lt;&gt;0,Source!BA29,1)</f>
        <v>34.01</v>
      </c>
      <c r="J41" s="45">
        <f>Source!S29</f>
        <v>3321.12</v>
      </c>
      <c r="R41">
        <f>H41</f>
        <v>97.65</v>
      </c>
    </row>
    <row r="42" spans="1:10" ht="14.25">
      <c r="A42" s="25"/>
      <c r="B42" s="25"/>
      <c r="C42" s="60"/>
      <c r="D42" s="60" t="s">
        <v>106</v>
      </c>
      <c r="E42" s="44"/>
      <c r="F42" s="12"/>
      <c r="G42" s="43">
        <f>Source!AM28</f>
        <v>11.83</v>
      </c>
      <c r="H42" s="45">
        <f>Source!Q28</f>
        <v>2.07</v>
      </c>
      <c r="I42" s="44">
        <f>IF(Source!BB29&lt;&gt;0,Source!BB29,1)</f>
        <v>11.55</v>
      </c>
      <c r="J42" s="45">
        <f>Source!Q29</f>
        <v>23.91</v>
      </c>
    </row>
    <row r="43" spans="1:18" ht="14.25">
      <c r="A43" s="25"/>
      <c r="B43" s="25"/>
      <c r="C43" s="60"/>
      <c r="D43" s="60" t="s">
        <v>427</v>
      </c>
      <c r="E43" s="44"/>
      <c r="F43" s="12"/>
      <c r="G43" s="43">
        <f>Source!AN28</f>
        <v>2.09</v>
      </c>
      <c r="H43" s="47">
        <f>Source!R28</f>
        <v>0.37</v>
      </c>
      <c r="I43" s="44">
        <f>IF(Source!BS29&lt;&gt;0,Source!BS29,1)</f>
        <v>34.01</v>
      </c>
      <c r="J43" s="47">
        <f>Source!R29</f>
        <v>12.44</v>
      </c>
      <c r="R43">
        <f>H43</f>
        <v>0.37</v>
      </c>
    </row>
    <row r="44" spans="1:10" ht="14.25">
      <c r="A44" s="25"/>
      <c r="B44" s="25"/>
      <c r="C44" s="60"/>
      <c r="D44" s="60" t="s">
        <v>428</v>
      </c>
      <c r="E44" s="44"/>
      <c r="F44" s="12"/>
      <c r="G44" s="43">
        <f>Source!AL28</f>
        <v>379.47</v>
      </c>
      <c r="H44" s="45">
        <f>Source!P28</f>
        <v>53.13</v>
      </c>
      <c r="I44" s="44">
        <f>IF(Source!BC29&lt;&gt;0,Source!BC29,1)</f>
        <v>9.14</v>
      </c>
      <c r="J44" s="45">
        <f>Source!P29</f>
        <v>485.57</v>
      </c>
    </row>
    <row r="45" spans="1:10" ht="14.25">
      <c r="A45" s="25"/>
      <c r="B45" s="25"/>
      <c r="C45" s="60"/>
      <c r="D45" s="60" t="s">
        <v>429</v>
      </c>
      <c r="E45" s="44" t="s">
        <v>430</v>
      </c>
      <c r="F45" s="12"/>
      <c r="G45" s="43">
        <f>Source!AT28</f>
        <v>110</v>
      </c>
      <c r="H45" s="45">
        <f>SUM(S38:S44)</f>
        <v>107.82</v>
      </c>
      <c r="I45" s="44"/>
      <c r="J45" s="45">
        <f>SUM(T38:T44)</f>
        <v>3666.92</v>
      </c>
    </row>
    <row r="46" spans="1:10" ht="14.25">
      <c r="A46" s="25"/>
      <c r="B46" s="25"/>
      <c r="C46" s="60"/>
      <c r="D46" s="60" t="s">
        <v>431</v>
      </c>
      <c r="E46" s="44" t="s">
        <v>430</v>
      </c>
      <c r="F46" s="12"/>
      <c r="G46" s="43">
        <f>Source!AU28</f>
        <v>68</v>
      </c>
      <c r="H46" s="45">
        <f>SUM(U38:U45)</f>
        <v>66.65</v>
      </c>
      <c r="I46" s="44"/>
      <c r="J46" s="45">
        <f>SUM(V38:V45)</f>
        <v>2266.82</v>
      </c>
    </row>
    <row r="47" spans="1:10" ht="14.25">
      <c r="A47" s="61"/>
      <c r="B47" s="61"/>
      <c r="C47" s="62"/>
      <c r="D47" s="62" t="s">
        <v>489</v>
      </c>
      <c r="E47" s="52" t="s">
        <v>433</v>
      </c>
      <c r="F47" s="50">
        <f>Source!AQ28</f>
        <v>70.2</v>
      </c>
      <c r="G47" s="51"/>
      <c r="H47" s="53">
        <f>Source!U29</f>
        <v>11.302200000000001</v>
      </c>
      <c r="I47" s="52"/>
      <c r="J47" s="53"/>
    </row>
    <row r="48" spans="7:16" ht="15">
      <c r="G48" s="106">
        <f>Source!P28+Source!Q28+Source!S28+SUM(H45:H46)</f>
        <v>327.32000000000005</v>
      </c>
      <c r="H48" s="106"/>
      <c r="I48" s="106">
        <f>Source!P29+Source!Q29+Source!S29+SUM(J45:J46)</f>
        <v>9764.34</v>
      </c>
      <c r="J48" s="106"/>
      <c r="O48" s="34">
        <f>G48</f>
        <v>327.32000000000005</v>
      </c>
      <c r="P48" s="34">
        <f>I48</f>
        <v>9764.34</v>
      </c>
    </row>
    <row r="49" spans="1:22" ht="28.5">
      <c r="A49" s="25">
        <v>2</v>
      </c>
      <c r="B49" s="25" t="str">
        <f>Source!E30</f>
        <v>2</v>
      </c>
      <c r="C49" s="60" t="str">
        <f>Source!F30</f>
        <v>56-2-2</v>
      </c>
      <c r="D49" s="60" t="str">
        <f>Source!G30</f>
        <v>Демонтаж фасадного остекления (применительно)</v>
      </c>
      <c r="E49" s="44" t="str">
        <f>Source!H30</f>
        <v>100 м2</v>
      </c>
      <c r="F49" s="12">
        <f>Source!I30</f>
        <v>0.04</v>
      </c>
      <c r="G49" s="43">
        <f>IF(Source!AK30&lt;&gt;0,Source!AK30,Source!AL30+Source!AM30+Source!AO30)</f>
        <v>398.87</v>
      </c>
      <c r="H49" s="45"/>
      <c r="I49" s="44" t="str">
        <f>Source!BO31</f>
        <v>56-2-2</v>
      </c>
      <c r="J49" s="45"/>
      <c r="S49">
        <f>Source!X30</f>
        <v>12.54</v>
      </c>
      <c r="T49">
        <f>Source!X31</f>
        <v>426.54</v>
      </c>
      <c r="U49">
        <f>Source!Y30</f>
        <v>9.48</v>
      </c>
      <c r="V49">
        <f>Source!Y31</f>
        <v>322.51</v>
      </c>
    </row>
    <row r="50" ht="12.75">
      <c r="D50" s="33" t="str">
        <f>"Объем: "&amp;Source!I30&amp;"=4,032/"&amp;"100"</f>
        <v>Объем: 0,04=4,032/100</v>
      </c>
    </row>
    <row r="51" spans="1:18" ht="14.25">
      <c r="A51" s="25"/>
      <c r="B51" s="25"/>
      <c r="C51" s="60"/>
      <c r="D51" s="60" t="s">
        <v>488</v>
      </c>
      <c r="E51" s="44"/>
      <c r="F51" s="12"/>
      <c r="G51" s="43">
        <f>Source!AO30</f>
        <v>369.8</v>
      </c>
      <c r="H51" s="45">
        <f>Source!S30</f>
        <v>14.79</v>
      </c>
      <c r="I51" s="44">
        <f>IF(Source!BA31&lt;&gt;0,Source!BA31,1)</f>
        <v>34.01</v>
      </c>
      <c r="J51" s="45">
        <f>Source!S31</f>
        <v>503.08</v>
      </c>
      <c r="R51">
        <f>H51</f>
        <v>14.79</v>
      </c>
    </row>
    <row r="52" spans="1:10" ht="14.25">
      <c r="A52" s="25"/>
      <c r="B52" s="25"/>
      <c r="C52" s="60"/>
      <c r="D52" s="60" t="s">
        <v>106</v>
      </c>
      <c r="E52" s="44"/>
      <c r="F52" s="12"/>
      <c r="G52" s="43">
        <f>Source!AM30</f>
        <v>29.07</v>
      </c>
      <c r="H52" s="45">
        <f>Source!Q30</f>
        <v>1.16</v>
      </c>
      <c r="I52" s="44">
        <f>IF(Source!BB31&lt;&gt;0,Source!BB31,1)</f>
        <v>15.18</v>
      </c>
      <c r="J52" s="45">
        <f>Source!Q31</f>
        <v>17.65</v>
      </c>
    </row>
    <row r="53" spans="1:18" ht="14.25">
      <c r="A53" s="25"/>
      <c r="B53" s="25"/>
      <c r="C53" s="60"/>
      <c r="D53" s="60" t="s">
        <v>427</v>
      </c>
      <c r="E53" s="44"/>
      <c r="F53" s="12"/>
      <c r="G53" s="43">
        <f>Source!AN30</f>
        <v>12.56</v>
      </c>
      <c r="H53" s="47">
        <f>Source!R30</f>
        <v>0.5</v>
      </c>
      <c r="I53" s="44">
        <f>IF(Source!BS31&lt;&gt;0,Source!BS31,1)</f>
        <v>34.01</v>
      </c>
      <c r="J53" s="47">
        <f>Source!R31</f>
        <v>17.09</v>
      </c>
      <c r="R53">
        <f>H53</f>
        <v>0.5</v>
      </c>
    </row>
    <row r="54" spans="1:22" ht="14.25">
      <c r="A54" s="25">
        <v>3</v>
      </c>
      <c r="B54" s="25" t="str">
        <f>Source!E32</f>
        <v>2,1</v>
      </c>
      <c r="C54" s="60" t="str">
        <f>Source!F32</f>
        <v>999-9900</v>
      </c>
      <c r="D54" s="60" t="str">
        <f>Source!G32</f>
        <v>Строительный мусор</v>
      </c>
      <c r="E54" s="44" t="str">
        <f>Source!H32</f>
        <v>т</v>
      </c>
      <c r="F54" s="12">
        <f>Source!I32</f>
        <v>0.1368</v>
      </c>
      <c r="G54" s="43">
        <f>Source!AK32</f>
        <v>0</v>
      </c>
      <c r="H54" s="45">
        <f>Source!O32</f>
        <v>0</v>
      </c>
      <c r="I54" s="44">
        <f>IF(Source!BC33&lt;&gt;0,Source!BC33,1)</f>
        <v>1</v>
      </c>
      <c r="J54" s="45">
        <f>Source!O33</f>
        <v>0</v>
      </c>
      <c r="S54">
        <f>Source!X32</f>
        <v>0</v>
      </c>
      <c r="T54">
        <f>Source!X33</f>
        <v>0</v>
      </c>
      <c r="U54">
        <f>Source!Y32</f>
        <v>0</v>
      </c>
      <c r="V54">
        <f>Source!Y33</f>
        <v>0</v>
      </c>
    </row>
    <row r="55" spans="1:10" ht="14.25">
      <c r="A55" s="25"/>
      <c r="B55" s="25"/>
      <c r="C55" s="60"/>
      <c r="D55" s="60" t="s">
        <v>429</v>
      </c>
      <c r="E55" s="44" t="s">
        <v>430</v>
      </c>
      <c r="F55" s="12"/>
      <c r="G55" s="43">
        <f>Source!AT30</f>
        <v>82</v>
      </c>
      <c r="H55" s="45">
        <f>SUM(S49:S54)</f>
        <v>12.54</v>
      </c>
      <c r="I55" s="44"/>
      <c r="J55" s="45">
        <f>SUM(T49:T54)</f>
        <v>426.54</v>
      </c>
    </row>
    <row r="56" spans="1:10" ht="14.25">
      <c r="A56" s="25"/>
      <c r="B56" s="25"/>
      <c r="C56" s="60"/>
      <c r="D56" s="60" t="s">
        <v>431</v>
      </c>
      <c r="E56" s="44" t="s">
        <v>430</v>
      </c>
      <c r="F56" s="12"/>
      <c r="G56" s="43">
        <f>Source!AU30</f>
        <v>62</v>
      </c>
      <c r="H56" s="45">
        <f>SUM(U49:U55)</f>
        <v>9.48</v>
      </c>
      <c r="I56" s="44"/>
      <c r="J56" s="45">
        <f>SUM(V49:V55)</f>
        <v>322.51</v>
      </c>
    </row>
    <row r="57" spans="1:10" ht="14.25">
      <c r="A57" s="61"/>
      <c r="B57" s="61"/>
      <c r="C57" s="62"/>
      <c r="D57" s="62" t="s">
        <v>489</v>
      </c>
      <c r="E57" s="52" t="s">
        <v>433</v>
      </c>
      <c r="F57" s="50">
        <f>Source!AQ30</f>
        <v>46.11</v>
      </c>
      <c r="G57" s="51"/>
      <c r="H57" s="53">
        <f>Source!U31</f>
        <v>1.8444</v>
      </c>
      <c r="I57" s="52"/>
      <c r="J57" s="53"/>
    </row>
    <row r="58" spans="7:16" ht="15">
      <c r="G58" s="106">
        <f>Source!P30+Source!Q30+Source!S30+SUM(H54:H56)</f>
        <v>37.97</v>
      </c>
      <c r="H58" s="106"/>
      <c r="I58" s="106">
        <f>Source!P31+Source!Q31+Source!S31+SUM(J54:J56)</f>
        <v>1269.78</v>
      </c>
      <c r="J58" s="106"/>
      <c r="O58" s="34">
        <f>G58</f>
        <v>37.97</v>
      </c>
      <c r="P58" s="34">
        <f>I58</f>
        <v>1269.78</v>
      </c>
    </row>
    <row r="59" spans="1:22" ht="42.75">
      <c r="A59" s="25">
        <v>4</v>
      </c>
      <c r="B59" s="25" t="str">
        <f>Source!E34</f>
        <v>3</v>
      </c>
      <c r="C59" s="60" t="str">
        <f>Source!F34</f>
        <v>09-03-046-01</v>
      </c>
      <c r="D59" s="60" t="str">
        <f>Source!G34</f>
        <v>Монтаж перегородок: из алюминиевых сплавов сборно-разборных с остеклением</v>
      </c>
      <c r="E59" s="44" t="str">
        <f>Source!H34</f>
        <v>100 м2</v>
      </c>
      <c r="F59" s="12">
        <f>Source!I34</f>
        <v>0.41</v>
      </c>
      <c r="G59" s="43">
        <f>IF(Source!AK34&lt;&gt;0,Source!AK34,Source!AL34+Source!AM34+Source!AO34)</f>
        <v>3848.95</v>
      </c>
      <c r="H59" s="45"/>
      <c r="I59" s="44" t="str">
        <f>Source!BO35</f>
        <v>09-03-046-01</v>
      </c>
      <c r="J59" s="45"/>
      <c r="S59">
        <f>Source!X34</f>
        <v>1158.62</v>
      </c>
      <c r="T59">
        <f>Source!X35</f>
        <v>39404.45</v>
      </c>
      <c r="U59">
        <f>Source!Y34</f>
        <v>1029.88</v>
      </c>
      <c r="V59">
        <f>Source!Y35</f>
        <v>35026.18</v>
      </c>
    </row>
    <row r="60" ht="12.75">
      <c r="D60" s="33" t="str">
        <f>"Объем: "&amp;Source!I34&amp;"=40,772/"&amp;"100"</f>
        <v>Объем: 0,41=40,772/100</v>
      </c>
    </row>
    <row r="61" spans="4:10" ht="12.75">
      <c r="D61" s="125" t="s">
        <v>487</v>
      </c>
      <c r="E61" s="125"/>
      <c r="F61" s="125"/>
      <c r="G61" s="125"/>
      <c r="H61" s="125"/>
      <c r="I61" s="125"/>
      <c r="J61" s="125"/>
    </row>
    <row r="62" spans="1:18" ht="14.25">
      <c r="A62" s="25"/>
      <c r="B62" s="25"/>
      <c r="C62" s="60"/>
      <c r="D62" s="60" t="s">
        <v>488</v>
      </c>
      <c r="E62" s="44"/>
      <c r="F62" s="12"/>
      <c r="G62" s="43">
        <f>Source!AO34</f>
        <v>2997.88</v>
      </c>
      <c r="H62" s="45">
        <f>Source!S34</f>
        <v>1413.5</v>
      </c>
      <c r="I62" s="44">
        <f>IF(Source!BA35&lt;&gt;0,Source!BA35,1)</f>
        <v>34.01</v>
      </c>
      <c r="J62" s="45">
        <f>Source!S35</f>
        <v>48073.15</v>
      </c>
      <c r="R62">
        <f>H62</f>
        <v>1413.5</v>
      </c>
    </row>
    <row r="63" spans="1:10" ht="14.25">
      <c r="A63" s="25"/>
      <c r="B63" s="25"/>
      <c r="C63" s="60"/>
      <c r="D63" s="60" t="s">
        <v>106</v>
      </c>
      <c r="E63" s="44"/>
      <c r="F63" s="12"/>
      <c r="G63" s="43">
        <f>Source!AM34</f>
        <v>575.19</v>
      </c>
      <c r="H63" s="45">
        <f>Source!Q34</f>
        <v>294.78</v>
      </c>
      <c r="I63" s="44">
        <f>IF(Source!BB35&lt;&gt;0,Source!BB35,1)</f>
        <v>7.05</v>
      </c>
      <c r="J63" s="45">
        <f>Source!Q35</f>
        <v>2078.23</v>
      </c>
    </row>
    <row r="64" spans="1:18" ht="14.25">
      <c r="A64" s="25"/>
      <c r="B64" s="25"/>
      <c r="C64" s="60"/>
      <c r="D64" s="60" t="s">
        <v>427</v>
      </c>
      <c r="E64" s="44"/>
      <c r="F64" s="12"/>
      <c r="G64" s="43">
        <f>Source!AN34</f>
        <v>32.95</v>
      </c>
      <c r="H64" s="47">
        <f>Source!R34</f>
        <v>16.89</v>
      </c>
      <c r="I64" s="44">
        <f>IF(Source!BS35&lt;&gt;0,Source!BS35,1)</f>
        <v>34.01</v>
      </c>
      <c r="J64" s="47">
        <f>Source!R35</f>
        <v>574.32</v>
      </c>
      <c r="R64">
        <f>H64</f>
        <v>16.89</v>
      </c>
    </row>
    <row r="65" spans="1:10" ht="14.25">
      <c r="A65" s="25"/>
      <c r="B65" s="25"/>
      <c r="C65" s="60"/>
      <c r="D65" s="60" t="s">
        <v>428</v>
      </c>
      <c r="E65" s="44"/>
      <c r="F65" s="12"/>
      <c r="G65" s="43">
        <f>Source!AL34</f>
        <v>275.88</v>
      </c>
      <c r="H65" s="45">
        <f>Source!P34</f>
        <v>113.11</v>
      </c>
      <c r="I65" s="44">
        <f>IF(Source!BC35&lt;&gt;0,Source!BC35,1)</f>
        <v>7.28</v>
      </c>
      <c r="J65" s="45">
        <f>Source!P35</f>
        <v>823.45</v>
      </c>
    </row>
    <row r="66" spans="1:22" ht="99.75">
      <c r="A66" s="25">
        <v>5</v>
      </c>
      <c r="B66" s="25" t="str">
        <f>Source!E36</f>
        <v>3,1</v>
      </c>
      <c r="C66" s="60" t="str">
        <f>Source!F36</f>
        <v>Цена Поставщика</v>
      </c>
      <c r="D66" s="60" t="str">
        <f>Source!G36</f>
        <v>(Д-6) Перегородка наружная 1920х2100 из алюминиевой системы с дверным блоком 1000х2080 (ШхВ)  (ручка скоба офисная, замок с цилиндром, шпингалеты на пассивную створку). Заполнение 5м1-10-5м1-10-5м1. Окрашенная в цвет RAL</v>
      </c>
      <c r="E66" s="44" t="str">
        <f>Source!H36</f>
        <v>ШТ</v>
      </c>
      <c r="F66" s="12">
        <f>Source!I36</f>
        <v>0.9999999999999999</v>
      </c>
      <c r="G66" s="43">
        <f>Source!AK36</f>
        <v>108936.28</v>
      </c>
      <c r="H66" s="45">
        <f>Source!O36</f>
        <v>108936.28</v>
      </c>
      <c r="I66" s="44">
        <f>IF(Source!BC37&lt;&gt;0,Source!BC37,1)</f>
        <v>1</v>
      </c>
      <c r="J66" s="45">
        <f>Source!O37</f>
        <v>108936.28</v>
      </c>
      <c r="S66">
        <f>Source!X36</f>
        <v>0</v>
      </c>
      <c r="T66">
        <f>Source!X37</f>
        <v>0</v>
      </c>
      <c r="U66">
        <f>Source!Y36</f>
        <v>0</v>
      </c>
      <c r="V66">
        <f>Source!Y37</f>
        <v>0</v>
      </c>
    </row>
    <row r="67" spans="1:22" ht="71.25">
      <c r="A67" s="25">
        <v>6</v>
      </c>
      <c r="B67" s="25" t="str">
        <f>Source!E38</f>
        <v>3,2</v>
      </c>
      <c r="C67" s="60" t="str">
        <f>Source!F38</f>
        <v>Цена Поставщика</v>
      </c>
      <c r="D67" s="60" t="str">
        <f>Source!G38</f>
        <v>(ПС-3) Внутренняя алюминиевая перегородка светопрозрачная противопожарная EIW-45 2250x4400 (ШхВ) с противопожарным стеклом. Окрашенная в цвет RAL</v>
      </c>
      <c r="E67" s="44" t="str">
        <f>Source!H38</f>
        <v>ШТ</v>
      </c>
      <c r="F67" s="12">
        <f>Source!I38</f>
        <v>0.9999999999999999</v>
      </c>
      <c r="G67" s="43">
        <f>Source!AK38</f>
        <v>241294.69</v>
      </c>
      <c r="H67" s="45">
        <f>Source!O38</f>
        <v>241294.69</v>
      </c>
      <c r="I67" s="44">
        <f>IF(Source!BC39&lt;&gt;0,Source!BC39,1)</f>
        <v>1</v>
      </c>
      <c r="J67" s="45">
        <f>Source!O39</f>
        <v>241294.69</v>
      </c>
      <c r="S67">
        <f>Source!X38</f>
        <v>0</v>
      </c>
      <c r="T67">
        <f>Source!X39</f>
        <v>0</v>
      </c>
      <c r="U67">
        <f>Source!Y38</f>
        <v>0</v>
      </c>
      <c r="V67">
        <f>Source!Y39</f>
        <v>0</v>
      </c>
    </row>
    <row r="68" spans="1:22" ht="71.25">
      <c r="A68" s="25">
        <v>7</v>
      </c>
      <c r="B68" s="25" t="str">
        <f>Source!E40</f>
        <v>3,3</v>
      </c>
      <c r="C68" s="60" t="str">
        <f>Source!F40</f>
        <v>Цена Поставщика</v>
      </c>
      <c r="D68" s="60" t="str">
        <f>Source!G40</f>
        <v>(ПС-4) Внутренняя алюминиевая перегородка светопрозрачная противопожарная EIW-45 6100x4400 (ШхВ) с противопожарным стеклом. Окрашенная в цвет RAL</v>
      </c>
      <c r="E68" s="44" t="str">
        <f>Source!H40</f>
        <v>ШТ</v>
      </c>
      <c r="F68" s="12">
        <f>Source!I40</f>
        <v>0.9999999999999999</v>
      </c>
      <c r="G68" s="43">
        <f>Source!AK40</f>
        <v>587378.89</v>
      </c>
      <c r="H68" s="45">
        <f>Source!O40</f>
        <v>587378.89</v>
      </c>
      <c r="I68" s="44">
        <f>IF(Source!BC41&lt;&gt;0,Source!BC41,1)</f>
        <v>1</v>
      </c>
      <c r="J68" s="45">
        <f>Source!O41</f>
        <v>587378.89</v>
      </c>
      <c r="S68">
        <f>Source!X40</f>
        <v>0</v>
      </c>
      <c r="T68">
        <f>Source!X41</f>
        <v>0</v>
      </c>
      <c r="U68">
        <f>Source!Y40</f>
        <v>0</v>
      </c>
      <c r="V68">
        <f>Source!Y41</f>
        <v>0</v>
      </c>
    </row>
    <row r="69" spans="1:22" ht="42.75">
      <c r="A69" s="25">
        <v>8</v>
      </c>
      <c r="B69" s="25" t="str">
        <f>Source!E42</f>
        <v>3,4</v>
      </c>
      <c r="C69" s="60" t="s">
        <v>490</v>
      </c>
      <c r="D69" s="60" t="str">
        <f>Source!G42</f>
        <v>Бруски обрезные, хвойных пород, длина 4-6,5 м, ширина 75-150 мм, толщина 40-75 мм, сорт I</v>
      </c>
      <c r="E69" s="44" t="str">
        <f>Source!H42</f>
        <v>м3</v>
      </c>
      <c r="F69" s="12">
        <f>Source!I42</f>
        <v>-0.016399999999999998</v>
      </c>
      <c r="G69" s="43">
        <f>Source!AK42</f>
        <v>1700</v>
      </c>
      <c r="H69" s="45">
        <f>Source!O42</f>
        <v>-27.88</v>
      </c>
      <c r="I69" s="44">
        <f>IF(Source!BC43&lt;&gt;0,Source!BC43,1)</f>
        <v>5.55</v>
      </c>
      <c r="J69" s="45">
        <f>Source!O43</f>
        <v>-154.73</v>
      </c>
      <c r="S69">
        <f>Source!X42</f>
        <v>0</v>
      </c>
      <c r="T69">
        <f>Source!X43</f>
        <v>0</v>
      </c>
      <c r="U69">
        <f>Source!Y42</f>
        <v>0</v>
      </c>
      <c r="V69">
        <f>Source!Y43</f>
        <v>0</v>
      </c>
    </row>
    <row r="70" spans="1:22" ht="57">
      <c r="A70" s="25">
        <v>9</v>
      </c>
      <c r="B70" s="25" t="str">
        <f>Source!E44</f>
        <v>3,5</v>
      </c>
      <c r="C70" s="60" t="s">
        <v>491</v>
      </c>
      <c r="D70" s="60" t="str">
        <f>Source!G44</f>
        <v>Канат двойной свивки ТК, конструкции 6х19(1+6+12)+1 о.с., оцинкованный, из проволок марки В, маркировочная группа 1770 н/мм2, диаметр 5,5 мм</v>
      </c>
      <c r="E70" s="44" t="str">
        <f>Source!H44</f>
        <v>10 м</v>
      </c>
      <c r="F70" s="12">
        <f>Source!I44</f>
        <v>-0.082</v>
      </c>
      <c r="G70" s="43">
        <f>Source!AK44</f>
        <v>50.24</v>
      </c>
      <c r="H70" s="45">
        <f>Source!O44</f>
        <v>-4.12</v>
      </c>
      <c r="I70" s="44">
        <f>IF(Source!BC45&lt;&gt;0,Source!BC45,1)</f>
        <v>6.09</v>
      </c>
      <c r="J70" s="45">
        <f>Source!O45</f>
        <v>-25.09</v>
      </c>
      <c r="S70">
        <f>Source!X44</f>
        <v>0</v>
      </c>
      <c r="T70">
        <f>Source!X45</f>
        <v>0</v>
      </c>
      <c r="U70">
        <f>Source!Y44</f>
        <v>0</v>
      </c>
      <c r="V70">
        <f>Source!Y45</f>
        <v>0</v>
      </c>
    </row>
    <row r="71" spans="1:22" ht="71.25">
      <c r="A71" s="25">
        <v>10</v>
      </c>
      <c r="B71" s="25" t="str">
        <f>Source!E46</f>
        <v>3,6</v>
      </c>
      <c r="C71" s="60" t="s">
        <v>492</v>
      </c>
      <c r="D71" s="60" t="str">
        <f>Source!G46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E71" s="44" t="str">
        <f>Source!H46</f>
        <v>т</v>
      </c>
      <c r="F71" s="12">
        <f>Source!I46</f>
        <v>-0.008199999999999999</v>
      </c>
      <c r="G71" s="43">
        <f>Source!AK46</f>
        <v>7712</v>
      </c>
      <c r="H71" s="45">
        <f>Source!O46</f>
        <v>-63.24</v>
      </c>
      <c r="I71" s="44">
        <f>IF(Source!BC47&lt;&gt;0,Source!BC47,1)</f>
        <v>8.87</v>
      </c>
      <c r="J71" s="45">
        <f>Source!O47</f>
        <v>-560.92</v>
      </c>
      <c r="S71">
        <f>Source!X46</f>
        <v>0</v>
      </c>
      <c r="T71">
        <f>Source!X47</f>
        <v>0</v>
      </c>
      <c r="U71">
        <f>Source!Y46</f>
        <v>0</v>
      </c>
      <c r="V71">
        <f>Source!Y47</f>
        <v>0</v>
      </c>
    </row>
    <row r="72" spans="1:22" ht="42.75">
      <c r="A72" s="25">
        <v>11</v>
      </c>
      <c r="B72" s="25" t="str">
        <f>Source!E48</f>
        <v>3,7</v>
      </c>
      <c r="C72" s="60" t="s">
        <v>493</v>
      </c>
      <c r="D72" s="60" t="str">
        <f>Source!G48</f>
        <v>Канат пеньковый пропитанный</v>
      </c>
      <c r="E72" s="44" t="str">
        <f>Source!H48</f>
        <v>т</v>
      </c>
      <c r="F72" s="12">
        <f>Source!I48</f>
        <v>-0.00047149999999999997</v>
      </c>
      <c r="G72" s="43">
        <f>Source!AK48</f>
        <v>37900</v>
      </c>
      <c r="H72" s="45">
        <f>Source!O48</f>
        <v>-17.87</v>
      </c>
      <c r="I72" s="44">
        <f>IF(Source!BC49&lt;&gt;0,Source!BC49,1)</f>
        <v>4.59</v>
      </c>
      <c r="J72" s="45">
        <f>Source!O49</f>
        <v>-82.02</v>
      </c>
      <c r="S72">
        <f>Source!X48</f>
        <v>0</v>
      </c>
      <c r="T72">
        <f>Source!X49</f>
        <v>0</v>
      </c>
      <c r="U72">
        <f>Source!Y48</f>
        <v>0</v>
      </c>
      <c r="V72">
        <f>Source!Y49</f>
        <v>0</v>
      </c>
    </row>
    <row r="73" spans="1:10" ht="14.25">
      <c r="A73" s="25"/>
      <c r="B73" s="25"/>
      <c r="C73" s="60"/>
      <c r="D73" s="60" t="s">
        <v>429</v>
      </c>
      <c r="E73" s="44" t="s">
        <v>430</v>
      </c>
      <c r="F73" s="12"/>
      <c r="G73" s="43">
        <f>Source!AT34</f>
        <v>81</v>
      </c>
      <c r="H73" s="45">
        <f>SUM(S59:S72)</f>
        <v>1158.62</v>
      </c>
      <c r="I73" s="44"/>
      <c r="J73" s="45">
        <f>SUM(T59:T72)</f>
        <v>39404.45</v>
      </c>
    </row>
    <row r="74" spans="1:10" ht="14.25">
      <c r="A74" s="25"/>
      <c r="B74" s="25"/>
      <c r="C74" s="60"/>
      <c r="D74" s="60" t="s">
        <v>431</v>
      </c>
      <c r="E74" s="44" t="s">
        <v>430</v>
      </c>
      <c r="F74" s="12"/>
      <c r="G74" s="43">
        <f>Source!AU34</f>
        <v>72</v>
      </c>
      <c r="H74" s="45">
        <f>SUM(U59:U73)</f>
        <v>1029.88</v>
      </c>
      <c r="I74" s="44"/>
      <c r="J74" s="45">
        <f>SUM(V59:V73)</f>
        <v>35026.18</v>
      </c>
    </row>
    <row r="75" spans="1:10" ht="14.25">
      <c r="A75" s="61"/>
      <c r="B75" s="61"/>
      <c r="C75" s="62"/>
      <c r="D75" s="62" t="s">
        <v>489</v>
      </c>
      <c r="E75" s="52" t="s">
        <v>433</v>
      </c>
      <c r="F75" s="50">
        <f>Source!AQ34</f>
        <v>298</v>
      </c>
      <c r="G75" s="51"/>
      <c r="H75" s="53">
        <f>Source!U35</f>
        <v>140.50699999999998</v>
      </c>
      <c r="I75" s="52"/>
      <c r="J75" s="53"/>
    </row>
    <row r="76" spans="7:16" ht="15">
      <c r="G76" s="106">
        <f>Source!P34+Source!Q34+Source!S34+SUM(H66:H74)</f>
        <v>941506.64</v>
      </c>
      <c r="H76" s="106"/>
      <c r="I76" s="106">
        <f>Source!P35+Source!Q35+Source!S35+SUM(J66:J74)</f>
        <v>1062192.56</v>
      </c>
      <c r="J76" s="106"/>
      <c r="O76" s="34">
        <f>G76</f>
        <v>941506.64</v>
      </c>
      <c r="P76" s="34">
        <f>I76</f>
        <v>1062192.56</v>
      </c>
    </row>
    <row r="78" spans="1:10" ht="15">
      <c r="A78" s="107" t="str">
        <f>CONCATENATE("Итого по разделу: ",IF(Source!G51&lt;&gt;"Новый раздел",Source!G51,""))</f>
        <v>Итого по разделу: Строение 1</v>
      </c>
      <c r="B78" s="107"/>
      <c r="C78" s="107"/>
      <c r="D78" s="107"/>
      <c r="E78" s="107"/>
      <c r="F78" s="107"/>
      <c r="G78" s="106">
        <f>SUM(O37:O77)</f>
        <v>941871.93</v>
      </c>
      <c r="H78" s="113"/>
      <c r="I78" s="106">
        <f>SUM(P37:P77)</f>
        <v>1073226.6800000002</v>
      </c>
      <c r="J78" s="113"/>
    </row>
    <row r="81" spans="1:10" ht="14.25">
      <c r="A81" s="108" t="str">
        <f>Source!H80</f>
        <v>итого по разделу</v>
      </c>
      <c r="B81" s="108"/>
      <c r="C81" s="108"/>
      <c r="D81" s="108"/>
      <c r="E81" s="108"/>
      <c r="F81" s="108"/>
      <c r="G81" s="109">
        <f>Source!F80</f>
        <v>941871.93</v>
      </c>
      <c r="H81" s="109"/>
      <c r="I81" s="109">
        <f>Source!P80</f>
        <v>1073226.68</v>
      </c>
      <c r="J81" s="109"/>
    </row>
    <row r="83" spans="1:10" ht="16.5">
      <c r="A83" s="111" t="str">
        <f>CONCATENATE("Раздел: ",IF(Source!G82&lt;&gt;"Новый раздел",Source!G82,""))</f>
        <v>Раздел: Строение 2</v>
      </c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22" ht="57">
      <c r="A84" s="25">
        <v>12</v>
      </c>
      <c r="B84" s="25" t="str">
        <f>Source!E86</f>
        <v>4</v>
      </c>
      <c r="C84" s="60" t="str">
        <f>Source!F86</f>
        <v>08-07-002-01</v>
      </c>
      <c r="D84" s="60" t="str">
        <f>Source!G86</f>
        <v>Установка и разборка внутренних трубчатых инвентарных лесов: при высоте помещений до 6 м</v>
      </c>
      <c r="E84" s="44" t="str">
        <f>Source!H86</f>
        <v>100 м2 горизонтальной проекции</v>
      </c>
      <c r="F84" s="12">
        <f>Source!I86</f>
        <v>0.1</v>
      </c>
      <c r="G84" s="43">
        <f>IF(Source!AK86&lt;&gt;0,Source!AK86,Source!AL86+Source!AM86+Source!AO86)</f>
        <v>997.83</v>
      </c>
      <c r="H84" s="45"/>
      <c r="I84" s="44" t="str">
        <f>Source!BO87</f>
        <v>08-07-002-01</v>
      </c>
      <c r="J84" s="45"/>
      <c r="S84">
        <f>Source!X86</f>
        <v>77.01</v>
      </c>
      <c r="T84">
        <f>Source!X87</f>
        <v>2619.23</v>
      </c>
      <c r="U84">
        <f>Source!Y86</f>
        <v>47.61</v>
      </c>
      <c r="V84">
        <f>Source!Y87</f>
        <v>1619.16</v>
      </c>
    </row>
    <row r="85" ht="12.75">
      <c r="D85" s="33" t="str">
        <f>"Объем: "&amp;Source!I86&amp;"=10,46/"&amp;"100"</f>
        <v>Объем: 0,1=10,46/100</v>
      </c>
    </row>
    <row r="86" spans="4:10" ht="12.75">
      <c r="D86" s="125" t="s">
        <v>487</v>
      </c>
      <c r="E86" s="125"/>
      <c r="F86" s="125"/>
      <c r="G86" s="125"/>
      <c r="H86" s="125"/>
      <c r="I86" s="125"/>
      <c r="J86" s="125"/>
    </row>
    <row r="87" spans="1:18" ht="14.25">
      <c r="A87" s="25"/>
      <c r="B87" s="25"/>
      <c r="C87" s="60"/>
      <c r="D87" s="60" t="s">
        <v>488</v>
      </c>
      <c r="E87" s="44"/>
      <c r="F87" s="12"/>
      <c r="G87" s="43">
        <f>Source!AO86</f>
        <v>606.53</v>
      </c>
      <c r="H87" s="45">
        <f>Source!S86</f>
        <v>69.75</v>
      </c>
      <c r="I87" s="44">
        <f>IF(Source!BA87&lt;&gt;0,Source!BA87,1)</f>
        <v>34.01</v>
      </c>
      <c r="J87" s="45">
        <f>Source!S87</f>
        <v>2372.23</v>
      </c>
      <c r="R87">
        <f>H87</f>
        <v>69.75</v>
      </c>
    </row>
    <row r="88" spans="1:10" ht="14.25">
      <c r="A88" s="25"/>
      <c r="B88" s="25"/>
      <c r="C88" s="60"/>
      <c r="D88" s="60" t="s">
        <v>106</v>
      </c>
      <c r="E88" s="44"/>
      <c r="F88" s="12"/>
      <c r="G88" s="43">
        <f>Source!AM86</f>
        <v>11.83</v>
      </c>
      <c r="H88" s="45">
        <f>Source!Q86</f>
        <v>1.48</v>
      </c>
      <c r="I88" s="44">
        <f>IF(Source!BB87&lt;&gt;0,Source!BB87,1)</f>
        <v>11.55</v>
      </c>
      <c r="J88" s="45">
        <f>Source!Q87</f>
        <v>17.08</v>
      </c>
    </row>
    <row r="89" spans="1:18" ht="14.25">
      <c r="A89" s="25"/>
      <c r="B89" s="25"/>
      <c r="C89" s="60"/>
      <c r="D89" s="60" t="s">
        <v>427</v>
      </c>
      <c r="E89" s="44"/>
      <c r="F89" s="12"/>
      <c r="G89" s="43">
        <f>Source!AN86</f>
        <v>2.09</v>
      </c>
      <c r="H89" s="47">
        <f>Source!R86</f>
        <v>0.26</v>
      </c>
      <c r="I89" s="44">
        <f>IF(Source!BS87&lt;&gt;0,Source!BS87,1)</f>
        <v>34.01</v>
      </c>
      <c r="J89" s="47">
        <f>Source!R87</f>
        <v>8.89</v>
      </c>
      <c r="R89">
        <f>H89</f>
        <v>0.26</v>
      </c>
    </row>
    <row r="90" spans="1:10" ht="14.25">
      <c r="A90" s="25"/>
      <c r="B90" s="25"/>
      <c r="C90" s="60"/>
      <c r="D90" s="60" t="s">
        <v>428</v>
      </c>
      <c r="E90" s="44"/>
      <c r="F90" s="12"/>
      <c r="G90" s="43">
        <f>Source!AL86</f>
        <v>379.47</v>
      </c>
      <c r="H90" s="45">
        <f>Source!P86</f>
        <v>37.95</v>
      </c>
      <c r="I90" s="44">
        <f>IF(Source!BC87&lt;&gt;0,Source!BC87,1)</f>
        <v>9.14</v>
      </c>
      <c r="J90" s="45">
        <f>Source!P87</f>
        <v>346.84</v>
      </c>
    </row>
    <row r="91" spans="1:10" ht="14.25">
      <c r="A91" s="25"/>
      <c r="B91" s="25"/>
      <c r="C91" s="60"/>
      <c r="D91" s="60" t="s">
        <v>429</v>
      </c>
      <c r="E91" s="44" t="s">
        <v>430</v>
      </c>
      <c r="F91" s="12"/>
      <c r="G91" s="43">
        <f>Source!AT86</f>
        <v>110</v>
      </c>
      <c r="H91" s="45">
        <f>SUM(S84:S90)</f>
        <v>77.01</v>
      </c>
      <c r="I91" s="44"/>
      <c r="J91" s="45">
        <f>SUM(T84:T90)</f>
        <v>2619.23</v>
      </c>
    </row>
    <row r="92" spans="1:10" ht="14.25">
      <c r="A92" s="25"/>
      <c r="B92" s="25"/>
      <c r="C92" s="60"/>
      <c r="D92" s="60" t="s">
        <v>431</v>
      </c>
      <c r="E92" s="44" t="s">
        <v>430</v>
      </c>
      <c r="F92" s="12"/>
      <c r="G92" s="43">
        <f>Source!AU86</f>
        <v>68</v>
      </c>
      <c r="H92" s="45">
        <f>SUM(U84:U91)</f>
        <v>47.61</v>
      </c>
      <c r="I92" s="44"/>
      <c r="J92" s="45">
        <f>SUM(V84:V91)</f>
        <v>1619.16</v>
      </c>
    </row>
    <row r="93" spans="1:10" ht="14.25">
      <c r="A93" s="61"/>
      <c r="B93" s="61"/>
      <c r="C93" s="62"/>
      <c r="D93" s="62" t="s">
        <v>489</v>
      </c>
      <c r="E93" s="52" t="s">
        <v>433</v>
      </c>
      <c r="F93" s="50">
        <f>Source!AQ86</f>
        <v>70.2</v>
      </c>
      <c r="G93" s="51"/>
      <c r="H93" s="53">
        <f>Source!U87</f>
        <v>8.073</v>
      </c>
      <c r="I93" s="52"/>
      <c r="J93" s="53"/>
    </row>
    <row r="94" spans="7:16" ht="15">
      <c r="G94" s="106">
        <f>Source!P86+Source!Q86+Source!S86+SUM(H91:H92)</f>
        <v>233.8</v>
      </c>
      <c r="H94" s="106"/>
      <c r="I94" s="106">
        <f>Source!P87+Source!Q87+Source!S87+SUM(J91:J92)</f>
        <v>6974.540000000001</v>
      </c>
      <c r="J94" s="106"/>
      <c r="O94" s="34">
        <f>G94</f>
        <v>233.8</v>
      </c>
      <c r="P94" s="34">
        <f>I94</f>
        <v>6974.540000000001</v>
      </c>
    </row>
    <row r="95" spans="1:22" ht="28.5">
      <c r="A95" s="25">
        <v>13</v>
      </c>
      <c r="B95" s="25" t="str">
        <f>Source!E88</f>
        <v>5</v>
      </c>
      <c r="C95" s="60" t="str">
        <f>Source!F88</f>
        <v>56-2-2</v>
      </c>
      <c r="D95" s="60" t="str">
        <f>Source!G88</f>
        <v>Демонтаж фасадного остекления (применительно)</v>
      </c>
      <c r="E95" s="44" t="str">
        <f>Source!H88</f>
        <v>100 м2</v>
      </c>
      <c r="F95" s="12">
        <f>Source!I88</f>
        <v>0.08</v>
      </c>
      <c r="G95" s="43">
        <f>IF(Source!AK88&lt;&gt;0,Source!AK88,Source!AL88+Source!AM88+Source!AO88)</f>
        <v>398.87</v>
      </c>
      <c r="H95" s="45"/>
      <c r="I95" s="44" t="str">
        <f>Source!BO89</f>
        <v>56-2-2</v>
      </c>
      <c r="J95" s="45"/>
      <c r="S95">
        <f>Source!X88</f>
        <v>25.08</v>
      </c>
      <c r="T95">
        <f>Source!X89</f>
        <v>853.06</v>
      </c>
      <c r="U95">
        <f>Source!Y88</f>
        <v>18.96</v>
      </c>
      <c r="V95">
        <f>Source!Y89</f>
        <v>645</v>
      </c>
    </row>
    <row r="96" ht="12.75">
      <c r="D96" s="33" t="str">
        <f>"Объем: "&amp;Source!I88&amp;"=8,064/"&amp;"100"</f>
        <v>Объем: 0,08=8,064/100</v>
      </c>
    </row>
    <row r="97" spans="1:18" ht="14.25">
      <c r="A97" s="25"/>
      <c r="B97" s="25"/>
      <c r="C97" s="60"/>
      <c r="D97" s="60" t="s">
        <v>488</v>
      </c>
      <c r="E97" s="44"/>
      <c r="F97" s="12"/>
      <c r="G97" s="43">
        <f>Source!AO88</f>
        <v>369.8</v>
      </c>
      <c r="H97" s="45">
        <f>Source!S88</f>
        <v>29.58</v>
      </c>
      <c r="I97" s="44">
        <f>IF(Source!BA89&lt;&gt;0,Source!BA89,1)</f>
        <v>34.01</v>
      </c>
      <c r="J97" s="45">
        <f>Source!S89</f>
        <v>1006.15</v>
      </c>
      <c r="R97">
        <f>H97</f>
        <v>29.58</v>
      </c>
    </row>
    <row r="98" spans="1:10" ht="14.25">
      <c r="A98" s="25"/>
      <c r="B98" s="25"/>
      <c r="C98" s="60"/>
      <c r="D98" s="60" t="s">
        <v>106</v>
      </c>
      <c r="E98" s="44"/>
      <c r="F98" s="12"/>
      <c r="G98" s="43">
        <f>Source!AM88</f>
        <v>29.07</v>
      </c>
      <c r="H98" s="45">
        <f>Source!Q88</f>
        <v>2.33</v>
      </c>
      <c r="I98" s="44">
        <f>IF(Source!BB89&lt;&gt;0,Source!BB89,1)</f>
        <v>15.18</v>
      </c>
      <c r="J98" s="45">
        <f>Source!Q89</f>
        <v>35.3</v>
      </c>
    </row>
    <row r="99" spans="1:18" ht="14.25">
      <c r="A99" s="25"/>
      <c r="B99" s="25"/>
      <c r="C99" s="60"/>
      <c r="D99" s="60" t="s">
        <v>427</v>
      </c>
      <c r="E99" s="44"/>
      <c r="F99" s="12"/>
      <c r="G99" s="43">
        <f>Source!AN88</f>
        <v>12.56</v>
      </c>
      <c r="H99" s="47">
        <f>Source!R88</f>
        <v>1</v>
      </c>
      <c r="I99" s="44">
        <f>IF(Source!BS89&lt;&gt;0,Source!BS89,1)</f>
        <v>34.01</v>
      </c>
      <c r="J99" s="47">
        <f>Source!R89</f>
        <v>34.17</v>
      </c>
      <c r="R99">
        <f>H99</f>
        <v>1</v>
      </c>
    </row>
    <row r="100" spans="1:22" ht="14.25">
      <c r="A100" s="25">
        <v>14</v>
      </c>
      <c r="B100" s="25" t="str">
        <f>Source!E90</f>
        <v>5,1</v>
      </c>
      <c r="C100" s="60" t="str">
        <f>Source!F90</f>
        <v>999-9900</v>
      </c>
      <c r="D100" s="60" t="str">
        <f>Source!G90</f>
        <v>Строительный мусор</v>
      </c>
      <c r="E100" s="44" t="str">
        <f>Source!H90</f>
        <v>т</v>
      </c>
      <c r="F100" s="12">
        <f>Source!I90</f>
        <v>0.2736</v>
      </c>
      <c r="G100" s="43">
        <f>Source!AK90</f>
        <v>0</v>
      </c>
      <c r="H100" s="45">
        <f>Source!O90</f>
        <v>0</v>
      </c>
      <c r="I100" s="44">
        <f>IF(Source!BC91&lt;&gt;0,Source!BC91,1)</f>
        <v>1</v>
      </c>
      <c r="J100" s="45">
        <f>Source!O91</f>
        <v>0</v>
      </c>
      <c r="S100">
        <f>Source!X90</f>
        <v>0</v>
      </c>
      <c r="T100">
        <f>Source!X91</f>
        <v>0</v>
      </c>
      <c r="U100">
        <f>Source!Y90</f>
        <v>0</v>
      </c>
      <c r="V100">
        <f>Source!Y91</f>
        <v>0</v>
      </c>
    </row>
    <row r="101" spans="1:10" ht="14.25">
      <c r="A101" s="25"/>
      <c r="B101" s="25"/>
      <c r="C101" s="60"/>
      <c r="D101" s="60" t="s">
        <v>429</v>
      </c>
      <c r="E101" s="44" t="s">
        <v>430</v>
      </c>
      <c r="F101" s="12"/>
      <c r="G101" s="43">
        <f>Source!AT88</f>
        <v>82</v>
      </c>
      <c r="H101" s="45">
        <f>SUM(S95:S100)</f>
        <v>25.08</v>
      </c>
      <c r="I101" s="44"/>
      <c r="J101" s="45">
        <f>SUM(T95:T100)</f>
        <v>853.06</v>
      </c>
    </row>
    <row r="102" spans="1:10" ht="14.25">
      <c r="A102" s="25"/>
      <c r="B102" s="25"/>
      <c r="C102" s="60"/>
      <c r="D102" s="60" t="s">
        <v>431</v>
      </c>
      <c r="E102" s="44" t="s">
        <v>430</v>
      </c>
      <c r="F102" s="12"/>
      <c r="G102" s="43">
        <f>Source!AU88</f>
        <v>62</v>
      </c>
      <c r="H102" s="45">
        <f>SUM(U95:U101)</f>
        <v>18.96</v>
      </c>
      <c r="I102" s="44"/>
      <c r="J102" s="45">
        <f>SUM(V95:V101)</f>
        <v>645</v>
      </c>
    </row>
    <row r="103" spans="1:10" ht="14.25">
      <c r="A103" s="61"/>
      <c r="B103" s="61"/>
      <c r="C103" s="62"/>
      <c r="D103" s="62" t="s">
        <v>489</v>
      </c>
      <c r="E103" s="52" t="s">
        <v>433</v>
      </c>
      <c r="F103" s="50">
        <f>Source!AQ88</f>
        <v>46.11</v>
      </c>
      <c r="G103" s="51"/>
      <c r="H103" s="53">
        <f>Source!U89</f>
        <v>3.6888</v>
      </c>
      <c r="I103" s="52"/>
      <c r="J103" s="53"/>
    </row>
    <row r="104" spans="7:16" ht="15">
      <c r="G104" s="106">
        <f>Source!P88+Source!Q88+Source!S88+SUM(H100:H102)</f>
        <v>75.94999999999999</v>
      </c>
      <c r="H104" s="106"/>
      <c r="I104" s="106">
        <f>Source!P89+Source!Q89+Source!S89+SUM(J100:J102)</f>
        <v>2539.51</v>
      </c>
      <c r="J104" s="106"/>
      <c r="O104" s="34">
        <f>G104</f>
        <v>75.94999999999999</v>
      </c>
      <c r="P104" s="34">
        <f>I104</f>
        <v>2539.51</v>
      </c>
    </row>
    <row r="105" spans="1:22" ht="42.75">
      <c r="A105" s="25">
        <v>15</v>
      </c>
      <c r="B105" s="25" t="str">
        <f>Source!E92</f>
        <v>6</v>
      </c>
      <c r="C105" s="60" t="str">
        <f>Source!F92</f>
        <v>10-01-047-02</v>
      </c>
      <c r="D105" s="60" t="str">
        <f>Source!G92</f>
        <v>Демонтаж  блоков из ПВХ в наружных  дверных проемах: площадью проема более 3 м2 (Применительно)</v>
      </c>
      <c r="E105" s="44" t="str">
        <f>Source!H92</f>
        <v>100 м2</v>
      </c>
      <c r="F105" s="12">
        <f>Source!I92</f>
        <v>0.04</v>
      </c>
      <c r="G105" s="43">
        <f>IF(Source!AK92&lt;&gt;0,Source!AK92,Source!AL92+Source!AM92+Source!AO92)</f>
        <v>7069.36</v>
      </c>
      <c r="H105" s="45"/>
      <c r="I105" s="44" t="str">
        <f>Source!BO93</f>
        <v>10-01-047-02</v>
      </c>
      <c r="J105" s="45"/>
      <c r="S105">
        <f>Source!X92</f>
        <v>37.86</v>
      </c>
      <c r="T105">
        <f>Source!X93</f>
        <v>1287.82</v>
      </c>
      <c r="U105">
        <f>Source!Y92</f>
        <v>19.29</v>
      </c>
      <c r="V105">
        <f>Source!Y93</f>
        <v>656.06</v>
      </c>
    </row>
    <row r="106" ht="12.75">
      <c r="D106" s="33" t="str">
        <f>"Объем: "&amp;Source!I92&amp;"=4,032/"&amp;"100"</f>
        <v>Объем: 0,04=4,032/100</v>
      </c>
    </row>
    <row r="107" spans="4:10" ht="12.75">
      <c r="D107" s="125" t="s">
        <v>494</v>
      </c>
      <c r="E107" s="125"/>
      <c r="F107" s="125"/>
      <c r="G107" s="125"/>
      <c r="H107" s="125"/>
      <c r="I107" s="125"/>
      <c r="J107" s="125"/>
    </row>
    <row r="108" spans="1:18" ht="14.25">
      <c r="A108" s="25"/>
      <c r="B108" s="25"/>
      <c r="C108" s="60"/>
      <c r="D108" s="60" t="s">
        <v>488</v>
      </c>
      <c r="E108" s="44"/>
      <c r="F108" s="12"/>
      <c r="G108" s="43">
        <f>Source!AO92</f>
        <v>1071.26</v>
      </c>
      <c r="H108" s="45">
        <f>Source!S92</f>
        <v>34.28</v>
      </c>
      <c r="I108" s="44">
        <f>IF(Source!BA93&lt;&gt;0,Source!BA93,1)</f>
        <v>34.01</v>
      </c>
      <c r="J108" s="45">
        <f>Source!S93</f>
        <v>1165.87</v>
      </c>
      <c r="R108">
        <f>H108</f>
        <v>34.28</v>
      </c>
    </row>
    <row r="109" spans="1:10" ht="14.25">
      <c r="A109" s="25"/>
      <c r="B109" s="25"/>
      <c r="C109" s="60"/>
      <c r="D109" s="60" t="s">
        <v>106</v>
      </c>
      <c r="E109" s="44"/>
      <c r="F109" s="12"/>
      <c r="G109" s="43">
        <f>Source!AM92</f>
        <v>231.79</v>
      </c>
      <c r="H109" s="45">
        <f>Source!Q92</f>
        <v>7.42</v>
      </c>
      <c r="I109" s="44">
        <f>IF(Source!BB93&lt;&gt;0,Source!BB93,1)</f>
        <v>11.81</v>
      </c>
      <c r="J109" s="45">
        <f>Source!Q93</f>
        <v>87.6</v>
      </c>
    </row>
    <row r="110" spans="1:18" ht="14.25">
      <c r="A110" s="25"/>
      <c r="B110" s="25"/>
      <c r="C110" s="60"/>
      <c r="D110" s="60" t="s">
        <v>427</v>
      </c>
      <c r="E110" s="44"/>
      <c r="F110" s="12"/>
      <c r="G110" s="43">
        <f>Source!AN92</f>
        <v>45.07</v>
      </c>
      <c r="H110" s="47">
        <f>Source!R92</f>
        <v>1.44</v>
      </c>
      <c r="I110" s="44">
        <f>IF(Source!BS93&lt;&gt;0,Source!BS93,1)</f>
        <v>34.01</v>
      </c>
      <c r="J110" s="47">
        <f>Source!R93</f>
        <v>49.05</v>
      </c>
      <c r="R110">
        <f>H110</f>
        <v>1.44</v>
      </c>
    </row>
    <row r="111" spans="1:10" ht="14.25">
      <c r="A111" s="25"/>
      <c r="B111" s="25"/>
      <c r="C111" s="60"/>
      <c r="D111" s="60" t="s">
        <v>429</v>
      </c>
      <c r="E111" s="44" t="s">
        <v>430</v>
      </c>
      <c r="F111" s="12"/>
      <c r="G111" s="43">
        <f>Source!AT92</f>
        <v>106</v>
      </c>
      <c r="H111" s="45">
        <f>SUM(S105:S110)</f>
        <v>37.86</v>
      </c>
      <c r="I111" s="44"/>
      <c r="J111" s="45">
        <f>SUM(T105:T110)</f>
        <v>1287.82</v>
      </c>
    </row>
    <row r="112" spans="1:10" ht="14.25">
      <c r="A112" s="25"/>
      <c r="B112" s="25"/>
      <c r="C112" s="60"/>
      <c r="D112" s="60" t="s">
        <v>431</v>
      </c>
      <c r="E112" s="44" t="s">
        <v>430</v>
      </c>
      <c r="F112" s="12"/>
      <c r="G112" s="43">
        <f>Source!AU92</f>
        <v>54</v>
      </c>
      <c r="H112" s="45">
        <f>SUM(U105:U111)</f>
        <v>19.29</v>
      </c>
      <c r="I112" s="44"/>
      <c r="J112" s="45">
        <f>SUM(V105:V111)</f>
        <v>656.06</v>
      </c>
    </row>
    <row r="113" spans="1:10" ht="14.25">
      <c r="A113" s="61"/>
      <c r="B113" s="61"/>
      <c r="C113" s="62"/>
      <c r="D113" s="62" t="s">
        <v>489</v>
      </c>
      <c r="E113" s="52" t="s">
        <v>433</v>
      </c>
      <c r="F113" s="50">
        <f>Source!AQ92</f>
        <v>122.57</v>
      </c>
      <c r="G113" s="51"/>
      <c r="H113" s="53">
        <f>Source!U93</f>
        <v>3.92224</v>
      </c>
      <c r="I113" s="52"/>
      <c r="J113" s="53"/>
    </row>
    <row r="114" spans="7:16" ht="15">
      <c r="G114" s="106">
        <f>Source!P92+Source!Q92+Source!S92+SUM(H111:H112)</f>
        <v>98.85</v>
      </c>
      <c r="H114" s="106"/>
      <c r="I114" s="106">
        <f>Source!P93+Source!Q93+Source!S93+SUM(J111:J112)</f>
        <v>3197.3499999999995</v>
      </c>
      <c r="J114" s="106"/>
      <c r="O114" s="34">
        <f>G114</f>
        <v>98.85</v>
      </c>
      <c r="P114" s="34">
        <f>I114</f>
        <v>3197.3499999999995</v>
      </c>
    </row>
    <row r="115" spans="1:22" ht="42.75">
      <c r="A115" s="25">
        <v>16</v>
      </c>
      <c r="B115" s="25" t="str">
        <f>Source!E94</f>
        <v>7</v>
      </c>
      <c r="C115" s="60" t="str">
        <f>Source!F94</f>
        <v>09-03-046-01</v>
      </c>
      <c r="D115" s="60" t="str">
        <f>Source!G94</f>
        <v>Монтаж перегородок: из алюминиевых сплавов сборно-разборных с остеклением</v>
      </c>
      <c r="E115" s="44" t="str">
        <f>Source!H94</f>
        <v>100 м2</v>
      </c>
      <c r="F115" s="12">
        <f>Source!I94</f>
        <v>0.35</v>
      </c>
      <c r="G115" s="43">
        <f>IF(Source!AK94&lt;&gt;0,Source!AK94,Source!AL94+Source!AM94+Source!AO94)</f>
        <v>3848.95</v>
      </c>
      <c r="H115" s="45"/>
      <c r="I115" s="44" t="str">
        <f>Source!BO95</f>
        <v>09-03-046-01</v>
      </c>
      <c r="J115" s="45"/>
      <c r="S115">
        <f>Source!X94</f>
        <v>989.07</v>
      </c>
      <c r="T115">
        <f>Source!X95</f>
        <v>33637.95</v>
      </c>
      <c r="U115">
        <f>Source!Y94</f>
        <v>879.17</v>
      </c>
      <c r="V115">
        <f>Source!Y95</f>
        <v>29900.4</v>
      </c>
    </row>
    <row r="116" ht="12.75">
      <c r="D116" s="33" t="str">
        <f>"Объем: "&amp;Source!I94&amp;"=34,54/"&amp;"100"</f>
        <v>Объем: 0,35=34,54/100</v>
      </c>
    </row>
    <row r="117" spans="4:10" ht="12.75">
      <c r="D117" s="125" t="s">
        <v>487</v>
      </c>
      <c r="E117" s="125"/>
      <c r="F117" s="125"/>
      <c r="G117" s="125"/>
      <c r="H117" s="125"/>
      <c r="I117" s="125"/>
      <c r="J117" s="125"/>
    </row>
    <row r="118" spans="1:18" ht="14.25">
      <c r="A118" s="25"/>
      <c r="B118" s="25"/>
      <c r="C118" s="60"/>
      <c r="D118" s="60" t="s">
        <v>488</v>
      </c>
      <c r="E118" s="44"/>
      <c r="F118" s="12"/>
      <c r="G118" s="43">
        <f>Source!AO94</f>
        <v>2997.88</v>
      </c>
      <c r="H118" s="45">
        <f>Source!S94</f>
        <v>1206.65</v>
      </c>
      <c r="I118" s="44">
        <f>IF(Source!BA95&lt;&gt;0,Source!BA95,1)</f>
        <v>34.01</v>
      </c>
      <c r="J118" s="45">
        <f>Source!S95</f>
        <v>41038.05</v>
      </c>
      <c r="R118">
        <f>H118</f>
        <v>1206.65</v>
      </c>
    </row>
    <row r="119" spans="1:10" ht="14.25">
      <c r="A119" s="25"/>
      <c r="B119" s="25"/>
      <c r="C119" s="60"/>
      <c r="D119" s="60" t="s">
        <v>106</v>
      </c>
      <c r="E119" s="44"/>
      <c r="F119" s="12"/>
      <c r="G119" s="43">
        <f>Source!AM94</f>
        <v>575.19</v>
      </c>
      <c r="H119" s="45">
        <f>Source!Q94</f>
        <v>251.65</v>
      </c>
      <c r="I119" s="44">
        <f>IF(Source!BB95&lt;&gt;0,Source!BB95,1)</f>
        <v>7.05</v>
      </c>
      <c r="J119" s="45">
        <f>Source!Q95</f>
        <v>1774.1</v>
      </c>
    </row>
    <row r="120" spans="1:18" ht="14.25">
      <c r="A120" s="25"/>
      <c r="B120" s="25"/>
      <c r="C120" s="60"/>
      <c r="D120" s="60" t="s">
        <v>427</v>
      </c>
      <c r="E120" s="44"/>
      <c r="F120" s="12"/>
      <c r="G120" s="43">
        <f>Source!AN94</f>
        <v>32.95</v>
      </c>
      <c r="H120" s="47">
        <f>Source!R94</f>
        <v>14.42</v>
      </c>
      <c r="I120" s="44">
        <f>IF(Source!BS95&lt;&gt;0,Source!BS95,1)</f>
        <v>34.01</v>
      </c>
      <c r="J120" s="47">
        <f>Source!R95</f>
        <v>490.28</v>
      </c>
      <c r="R120">
        <f>H120</f>
        <v>14.42</v>
      </c>
    </row>
    <row r="121" spans="1:10" ht="14.25">
      <c r="A121" s="25"/>
      <c r="B121" s="25"/>
      <c r="C121" s="60"/>
      <c r="D121" s="60" t="s">
        <v>428</v>
      </c>
      <c r="E121" s="44"/>
      <c r="F121" s="12"/>
      <c r="G121" s="43">
        <f>Source!AL94</f>
        <v>275.88</v>
      </c>
      <c r="H121" s="45">
        <f>Source!P94</f>
        <v>96.56</v>
      </c>
      <c r="I121" s="44">
        <f>IF(Source!BC95&lt;&gt;0,Source!BC95,1)</f>
        <v>7.28</v>
      </c>
      <c r="J121" s="45">
        <f>Source!P95</f>
        <v>702.94</v>
      </c>
    </row>
    <row r="122" spans="1:22" ht="99.75">
      <c r="A122" s="25">
        <v>17</v>
      </c>
      <c r="B122" s="25" t="str">
        <f>Source!E96</f>
        <v>7,1</v>
      </c>
      <c r="C122" s="60" t="str">
        <f>Source!F96</f>
        <v>Цена Поставщика</v>
      </c>
      <c r="D122" s="60" t="str">
        <f>Source!G96</f>
        <v>(Д-2) Перегородка наружная 1920х2100 из алюминиевой системы с дверным блоком 1400х2080 (ШхВ) (ручка скоба офисная, замок с цилиндром, шпингалеты на пассивную створку). Заполнение 5м1-10-5м1-10-5м1. Окрашенная в цвет RAL</v>
      </c>
      <c r="E122" s="44" t="str">
        <f>Source!H96</f>
        <v>ШТ</v>
      </c>
      <c r="F122" s="12">
        <f>Source!I96</f>
        <v>2.9999999999999996</v>
      </c>
      <c r="G122" s="43">
        <f>Source!AK96</f>
        <v>97157.83</v>
      </c>
      <c r="H122" s="45">
        <f>Source!O96</f>
        <v>291473.49</v>
      </c>
      <c r="I122" s="44">
        <f>IF(Source!BC97&lt;&gt;0,Source!BC97,1)</f>
        <v>1</v>
      </c>
      <c r="J122" s="45">
        <f>Source!O97</f>
        <v>291473.49</v>
      </c>
      <c r="S122">
        <f>Source!X96</f>
        <v>0</v>
      </c>
      <c r="T122">
        <f>Source!X97</f>
        <v>0</v>
      </c>
      <c r="U122">
        <f>Source!Y96</f>
        <v>0</v>
      </c>
      <c r="V122">
        <f>Source!Y97</f>
        <v>0</v>
      </c>
    </row>
    <row r="123" spans="1:22" ht="71.25">
      <c r="A123" s="25">
        <v>18</v>
      </c>
      <c r="B123" s="25" t="str">
        <f>Source!E98</f>
        <v>7,2</v>
      </c>
      <c r="C123" s="60" t="str">
        <f>Source!F98</f>
        <v>Цена Поставщика</v>
      </c>
      <c r="D123" s="60" t="str">
        <f>Source!G98</f>
        <v>(ПС-1) Внутренняя алюминиевая перегородка светопрозрачная противопожарная EIW-45 6150x4400 (ШхВ) с противопожарным стеклом. Окрашенная в цвет RAL</v>
      </c>
      <c r="E123" s="44" t="str">
        <f>Source!H98</f>
        <v>ШТ</v>
      </c>
      <c r="F123" s="12">
        <f>Source!I98</f>
        <v>1</v>
      </c>
      <c r="G123" s="43">
        <f>Source!AK98</f>
        <v>591873.49</v>
      </c>
      <c r="H123" s="45">
        <f>Source!O98</f>
        <v>591873.49</v>
      </c>
      <c r="I123" s="44">
        <f>IF(Source!BC99&lt;&gt;0,Source!BC99,1)</f>
        <v>1</v>
      </c>
      <c r="J123" s="45">
        <f>Source!O99</f>
        <v>591873.49</v>
      </c>
      <c r="S123">
        <f>Source!X98</f>
        <v>0</v>
      </c>
      <c r="T123">
        <f>Source!X99</f>
        <v>0</v>
      </c>
      <c r="U123">
        <f>Source!Y98</f>
        <v>0</v>
      </c>
      <c r="V123">
        <f>Source!Y99</f>
        <v>0</v>
      </c>
    </row>
    <row r="124" spans="1:22" ht="71.25">
      <c r="A124" s="25">
        <v>19</v>
      </c>
      <c r="B124" s="25" t="str">
        <f>Source!E100</f>
        <v>7,3</v>
      </c>
      <c r="C124" s="60" t="str">
        <f>Source!F100</f>
        <v>Цена Поставщика</v>
      </c>
      <c r="D124" s="60" t="str">
        <f>Source!G100</f>
        <v>(ПС-2) Внутренняя алюминиевая перегородка светопрозрачная противопожарная EIW-45 1700x4400 (ШхВ) с противопожарным стеклом. Окрашенная цвет RAL</v>
      </c>
      <c r="E124" s="44" t="str">
        <f>Source!H100</f>
        <v>ШТ</v>
      </c>
      <c r="F124" s="12">
        <f>Source!I100</f>
        <v>1</v>
      </c>
      <c r="G124" s="43">
        <f>Source!AK100</f>
        <v>191854.09</v>
      </c>
      <c r="H124" s="45">
        <f>Source!O100</f>
        <v>191854.09</v>
      </c>
      <c r="I124" s="44">
        <f>IF(Source!BC101&lt;&gt;0,Source!BC101,1)</f>
        <v>1</v>
      </c>
      <c r="J124" s="45">
        <f>Source!O101</f>
        <v>191854.09</v>
      </c>
      <c r="S124">
        <f>Source!X100</f>
        <v>0</v>
      </c>
      <c r="T124">
        <f>Source!X101</f>
        <v>0</v>
      </c>
      <c r="U124">
        <f>Source!Y100</f>
        <v>0</v>
      </c>
      <c r="V124">
        <f>Source!Y101</f>
        <v>0</v>
      </c>
    </row>
    <row r="125" spans="1:22" ht="71.25">
      <c r="A125" s="25">
        <v>20</v>
      </c>
      <c r="B125" s="25" t="str">
        <f>Source!E102</f>
        <v>7,4</v>
      </c>
      <c r="C125" s="60" t="s">
        <v>492</v>
      </c>
      <c r="D125" s="60" t="str">
        <f>Source!G102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E125" s="44" t="str">
        <f>Source!H102</f>
        <v>т</v>
      </c>
      <c r="F125" s="12">
        <f>Source!I102</f>
        <v>-0.006999999999999999</v>
      </c>
      <c r="G125" s="43">
        <f>Source!AK102</f>
        <v>7712</v>
      </c>
      <c r="H125" s="45">
        <f>Source!O102</f>
        <v>-53.98</v>
      </c>
      <c r="I125" s="44">
        <f>IF(Source!BC103&lt;&gt;0,Source!BC103,1)</f>
        <v>8.87</v>
      </c>
      <c r="J125" s="45">
        <f>Source!O103</f>
        <v>-478.84</v>
      </c>
      <c r="S125">
        <f>Source!X102</f>
        <v>0</v>
      </c>
      <c r="T125">
        <f>Source!X103</f>
        <v>0</v>
      </c>
      <c r="U125">
        <f>Source!Y102</f>
        <v>0</v>
      </c>
      <c r="V125">
        <f>Source!Y103</f>
        <v>0</v>
      </c>
    </row>
    <row r="126" spans="1:22" ht="57">
      <c r="A126" s="25">
        <v>21</v>
      </c>
      <c r="B126" s="25" t="str">
        <f>Source!E104</f>
        <v>7,5</v>
      </c>
      <c r="C126" s="60" t="s">
        <v>491</v>
      </c>
      <c r="D126" s="60" t="str">
        <f>Source!G104</f>
        <v>Канат двойной свивки ТК, конструкции 6х19(1+6+12)+1 о.с., оцинкованный, из проволок марки В, маркировочная группа 1770 н/мм2, диаметр 5,5 мм</v>
      </c>
      <c r="E126" s="44" t="str">
        <f>Source!H104</f>
        <v>10 м</v>
      </c>
      <c r="F126" s="12">
        <f>Source!I104</f>
        <v>-0.07</v>
      </c>
      <c r="G126" s="43">
        <f>Source!AK104</f>
        <v>50.24</v>
      </c>
      <c r="H126" s="45">
        <f>Source!O104</f>
        <v>-3.52</v>
      </c>
      <c r="I126" s="44">
        <f>IF(Source!BC105&lt;&gt;0,Source!BC105,1)</f>
        <v>6.09</v>
      </c>
      <c r="J126" s="45">
        <f>Source!O105</f>
        <v>-21.42</v>
      </c>
      <c r="S126">
        <f>Source!X104</f>
        <v>0</v>
      </c>
      <c r="T126">
        <f>Source!X105</f>
        <v>0</v>
      </c>
      <c r="U126">
        <f>Source!Y104</f>
        <v>0</v>
      </c>
      <c r="V126">
        <f>Source!Y105</f>
        <v>0</v>
      </c>
    </row>
    <row r="127" spans="1:22" ht="42.75">
      <c r="A127" s="25">
        <v>22</v>
      </c>
      <c r="B127" s="25" t="str">
        <f>Source!E106</f>
        <v>7,6</v>
      </c>
      <c r="C127" s="60" t="s">
        <v>490</v>
      </c>
      <c r="D127" s="60" t="str">
        <f>Source!G106</f>
        <v>Бруски обрезные, хвойных пород, длина 4-6,5 м, ширина 75-150 мм, толщина 40-75 мм, сорт I</v>
      </c>
      <c r="E127" s="44" t="str">
        <f>Source!H106</f>
        <v>м3</v>
      </c>
      <c r="F127" s="12">
        <f>Source!I106</f>
        <v>-0.013999999999999999</v>
      </c>
      <c r="G127" s="43">
        <f>Source!AK106</f>
        <v>1700</v>
      </c>
      <c r="H127" s="45">
        <f>Source!O106</f>
        <v>-23.8</v>
      </c>
      <c r="I127" s="44">
        <f>IF(Source!BC107&lt;&gt;0,Source!BC107,1)</f>
        <v>5.55</v>
      </c>
      <c r="J127" s="45">
        <f>Source!O107</f>
        <v>-132.09</v>
      </c>
      <c r="S127">
        <f>Source!X106</f>
        <v>0</v>
      </c>
      <c r="T127">
        <f>Source!X107</f>
        <v>0</v>
      </c>
      <c r="U127">
        <f>Source!Y106</f>
        <v>0</v>
      </c>
      <c r="V127">
        <f>Source!Y107</f>
        <v>0</v>
      </c>
    </row>
    <row r="128" spans="1:22" ht="42.75">
      <c r="A128" s="25">
        <v>23</v>
      </c>
      <c r="B128" s="25" t="str">
        <f>Source!E108</f>
        <v>7,7</v>
      </c>
      <c r="C128" s="60" t="s">
        <v>493</v>
      </c>
      <c r="D128" s="60" t="str">
        <f>Source!G108</f>
        <v>Канат пеньковый пропитанный</v>
      </c>
      <c r="E128" s="44" t="str">
        <f>Source!H108</f>
        <v>т</v>
      </c>
      <c r="F128" s="12">
        <f>Source!I108</f>
        <v>-0.000403</v>
      </c>
      <c r="G128" s="43">
        <f>Source!AK108</f>
        <v>37900</v>
      </c>
      <c r="H128" s="45">
        <f>Source!O108</f>
        <v>-15.27</v>
      </c>
      <c r="I128" s="44">
        <f>IF(Source!BC109&lt;&gt;0,Source!BC109,1)</f>
        <v>4.59</v>
      </c>
      <c r="J128" s="45">
        <f>Source!O109</f>
        <v>-70.11</v>
      </c>
      <c r="S128">
        <f>Source!X108</f>
        <v>0</v>
      </c>
      <c r="T128">
        <f>Source!X109</f>
        <v>0</v>
      </c>
      <c r="U128">
        <f>Source!Y108</f>
        <v>0</v>
      </c>
      <c r="V128">
        <f>Source!Y109</f>
        <v>0</v>
      </c>
    </row>
    <row r="129" spans="1:10" ht="14.25">
      <c r="A129" s="25"/>
      <c r="B129" s="25"/>
      <c r="C129" s="60"/>
      <c r="D129" s="60" t="s">
        <v>429</v>
      </c>
      <c r="E129" s="44" t="s">
        <v>430</v>
      </c>
      <c r="F129" s="12"/>
      <c r="G129" s="43">
        <f>Source!AT94</f>
        <v>81</v>
      </c>
      <c r="H129" s="45">
        <f>SUM(S115:S128)</f>
        <v>989.07</v>
      </c>
      <c r="I129" s="44"/>
      <c r="J129" s="45">
        <f>SUM(T115:T128)</f>
        <v>33637.95</v>
      </c>
    </row>
    <row r="130" spans="1:10" ht="14.25">
      <c r="A130" s="25"/>
      <c r="B130" s="25"/>
      <c r="C130" s="60"/>
      <c r="D130" s="60" t="s">
        <v>431</v>
      </c>
      <c r="E130" s="44" t="s">
        <v>430</v>
      </c>
      <c r="F130" s="12"/>
      <c r="G130" s="43">
        <f>Source!AU94</f>
        <v>72</v>
      </c>
      <c r="H130" s="45">
        <f>SUM(U115:U129)</f>
        <v>879.17</v>
      </c>
      <c r="I130" s="44"/>
      <c r="J130" s="45">
        <f>SUM(V115:V129)</f>
        <v>29900.4</v>
      </c>
    </row>
    <row r="131" spans="1:10" ht="14.25">
      <c r="A131" s="61"/>
      <c r="B131" s="61"/>
      <c r="C131" s="62"/>
      <c r="D131" s="62" t="s">
        <v>489</v>
      </c>
      <c r="E131" s="52" t="s">
        <v>433</v>
      </c>
      <c r="F131" s="50">
        <f>Source!AQ94</f>
        <v>298</v>
      </c>
      <c r="G131" s="51"/>
      <c r="H131" s="53">
        <f>Source!U95</f>
        <v>119.945</v>
      </c>
      <c r="I131" s="52"/>
      <c r="J131" s="53"/>
    </row>
    <row r="132" spans="7:16" ht="15">
      <c r="G132" s="106">
        <f>Source!P94+Source!Q94+Source!S94+SUM(H122:H130)</f>
        <v>1078527.6</v>
      </c>
      <c r="H132" s="106"/>
      <c r="I132" s="106">
        <f>Source!P95+Source!Q95+Source!S95+SUM(J122:J130)</f>
        <v>1181552.0499999998</v>
      </c>
      <c r="J132" s="106"/>
      <c r="O132" s="34">
        <f>G132</f>
        <v>1078527.6</v>
      </c>
      <c r="P132" s="34">
        <f>I132</f>
        <v>1181552.0499999998</v>
      </c>
    </row>
    <row r="133" spans="1:22" ht="42.75">
      <c r="A133" s="25">
        <v>24</v>
      </c>
      <c r="B133" s="25" t="str">
        <f>Source!E110</f>
        <v>8</v>
      </c>
      <c r="C133" s="60" t="str">
        <f>Source!F110</f>
        <v>56-9-1</v>
      </c>
      <c r="D133" s="60" t="str">
        <f>Source!G110</f>
        <v>Демонтаж дверных коробок: в каменных стенах с отбивкой штукатурки в откосах</v>
      </c>
      <c r="E133" s="44" t="str">
        <f>Source!H110</f>
        <v>100 ШТ</v>
      </c>
      <c r="F133" s="12">
        <f>Source!I110</f>
        <v>0.01</v>
      </c>
      <c r="G133" s="43">
        <f>IF(Source!AK110&lt;&gt;0,Source!AK110,Source!AL110+Source!AM110+Source!AO110)</f>
        <v>1643.9</v>
      </c>
      <c r="H133" s="45"/>
      <c r="I133" s="44" t="str">
        <f>Source!BO111</f>
        <v>56-9-1</v>
      </c>
      <c r="J133" s="45"/>
      <c r="S133">
        <f>Source!X110</f>
        <v>11.79</v>
      </c>
      <c r="T133">
        <f>Source!X111</f>
        <v>401.03</v>
      </c>
      <c r="U133">
        <f>Source!Y110</f>
        <v>8.92</v>
      </c>
      <c r="V133">
        <f>Source!Y111</f>
        <v>303.22</v>
      </c>
    </row>
    <row r="134" ht="12.75">
      <c r="D134" s="33" t="str">
        <f>"Объем: "&amp;Source!I110&amp;"=1/"&amp;"100"</f>
        <v>Объем: 0,01=1/100</v>
      </c>
    </row>
    <row r="135" spans="1:18" ht="14.25">
      <c r="A135" s="25"/>
      <c r="B135" s="25"/>
      <c r="C135" s="60"/>
      <c r="D135" s="60" t="s">
        <v>488</v>
      </c>
      <c r="E135" s="44"/>
      <c r="F135" s="12"/>
      <c r="G135" s="43">
        <f>Source!AO110</f>
        <v>1437.99</v>
      </c>
      <c r="H135" s="45">
        <f>Source!S110</f>
        <v>14.38</v>
      </c>
      <c r="I135" s="44">
        <f>IF(Source!BA111&lt;&gt;0,Source!BA111,1)</f>
        <v>34.01</v>
      </c>
      <c r="J135" s="45">
        <f>Source!S111</f>
        <v>489.06</v>
      </c>
      <c r="R135">
        <f>H135</f>
        <v>14.38</v>
      </c>
    </row>
    <row r="136" spans="1:10" ht="14.25">
      <c r="A136" s="25"/>
      <c r="B136" s="25"/>
      <c r="C136" s="60"/>
      <c r="D136" s="60" t="s">
        <v>106</v>
      </c>
      <c r="E136" s="44"/>
      <c r="F136" s="12"/>
      <c r="G136" s="43">
        <f>Source!AM110</f>
        <v>205.91</v>
      </c>
      <c r="H136" s="45">
        <f>Source!Q110</f>
        <v>2.06</v>
      </c>
      <c r="I136" s="44">
        <f>IF(Source!BB111&lt;&gt;0,Source!BB111,1)</f>
        <v>2.89</v>
      </c>
      <c r="J136" s="45">
        <f>Source!Q111</f>
        <v>5.95</v>
      </c>
    </row>
    <row r="137" spans="1:22" ht="14.25">
      <c r="A137" s="25">
        <v>25</v>
      </c>
      <c r="B137" s="25" t="str">
        <f>Source!E112</f>
        <v>8,1</v>
      </c>
      <c r="C137" s="60" t="str">
        <f>Source!F112</f>
        <v>999-9900</v>
      </c>
      <c r="D137" s="60" t="str">
        <f>Source!G112</f>
        <v>Строительный мусор</v>
      </c>
      <c r="E137" s="44" t="str">
        <f>Source!H112</f>
        <v>т</v>
      </c>
      <c r="F137" s="12">
        <f>Source!I112</f>
        <v>0.105</v>
      </c>
      <c r="G137" s="43">
        <f>Source!AK112</f>
        <v>0</v>
      </c>
      <c r="H137" s="45">
        <f>Source!O112</f>
        <v>0</v>
      </c>
      <c r="I137" s="44">
        <f>IF(Source!BC113&lt;&gt;0,Source!BC113,1)</f>
        <v>1</v>
      </c>
      <c r="J137" s="45">
        <f>Source!O113</f>
        <v>0</v>
      </c>
      <c r="S137">
        <f>Source!X112</f>
        <v>0</v>
      </c>
      <c r="T137">
        <f>Source!X113</f>
        <v>0</v>
      </c>
      <c r="U137">
        <f>Source!Y112</f>
        <v>0</v>
      </c>
      <c r="V137">
        <f>Source!Y113</f>
        <v>0</v>
      </c>
    </row>
    <row r="138" spans="1:10" ht="14.25">
      <c r="A138" s="25"/>
      <c r="B138" s="25"/>
      <c r="C138" s="60"/>
      <c r="D138" s="60" t="s">
        <v>429</v>
      </c>
      <c r="E138" s="44" t="s">
        <v>430</v>
      </c>
      <c r="F138" s="12"/>
      <c r="G138" s="43">
        <f>Source!AT110</f>
        <v>82</v>
      </c>
      <c r="H138" s="45">
        <f>SUM(S133:S137)</f>
        <v>11.79</v>
      </c>
      <c r="I138" s="44"/>
      <c r="J138" s="45">
        <f>SUM(T133:T137)</f>
        <v>401.03</v>
      </c>
    </row>
    <row r="139" spans="1:10" ht="14.25">
      <c r="A139" s="25"/>
      <c r="B139" s="25"/>
      <c r="C139" s="60"/>
      <c r="D139" s="60" t="s">
        <v>431</v>
      </c>
      <c r="E139" s="44" t="s">
        <v>430</v>
      </c>
      <c r="F139" s="12"/>
      <c r="G139" s="43">
        <f>Source!AU110</f>
        <v>62</v>
      </c>
      <c r="H139" s="45">
        <f>SUM(U133:U138)</f>
        <v>8.92</v>
      </c>
      <c r="I139" s="44"/>
      <c r="J139" s="45">
        <f>SUM(V133:V138)</f>
        <v>303.22</v>
      </c>
    </row>
    <row r="140" spans="1:10" ht="14.25">
      <c r="A140" s="61"/>
      <c r="B140" s="61"/>
      <c r="C140" s="62"/>
      <c r="D140" s="62" t="s">
        <v>489</v>
      </c>
      <c r="E140" s="52" t="s">
        <v>433</v>
      </c>
      <c r="F140" s="50">
        <f>Source!AQ110</f>
        <v>179.3</v>
      </c>
      <c r="G140" s="51"/>
      <c r="H140" s="53">
        <f>Source!U111</f>
        <v>1.7930000000000001</v>
      </c>
      <c r="I140" s="52"/>
      <c r="J140" s="53"/>
    </row>
    <row r="141" spans="7:16" ht="15">
      <c r="G141" s="106">
        <f>Source!P110+Source!Q110+Source!S110+SUM(H137:H139)</f>
        <v>37.150000000000006</v>
      </c>
      <c r="H141" s="106"/>
      <c r="I141" s="106">
        <f>Source!P111+Source!Q111+Source!S111+SUM(J137:J139)</f>
        <v>1199.26</v>
      </c>
      <c r="J141" s="106"/>
      <c r="O141" s="34">
        <f>G141</f>
        <v>37.150000000000006</v>
      </c>
      <c r="P141" s="34">
        <f>I141</f>
        <v>1199.26</v>
      </c>
    </row>
    <row r="142" spans="1:22" ht="28.5">
      <c r="A142" s="25">
        <v>26</v>
      </c>
      <c r="B142" s="25" t="str">
        <f>Source!E114</f>
        <v>9</v>
      </c>
      <c r="C142" s="60" t="str">
        <f>Source!F114</f>
        <v>09-04-013-02</v>
      </c>
      <c r="D142" s="60" t="str">
        <f>Source!G114</f>
        <v>Установка противопожарных дверей: двупольных глухих</v>
      </c>
      <c r="E142" s="44" t="str">
        <f>Source!H114</f>
        <v>м2</v>
      </c>
      <c r="F142" s="12">
        <f>Source!I114</f>
        <v>2.34</v>
      </c>
      <c r="G142" s="43">
        <f>IF(Source!AK114&lt;&gt;0,Source!AK114,Source!AL114+Source!AM114+Source!AO114)</f>
        <v>87.14</v>
      </c>
      <c r="H142" s="45"/>
      <c r="I142" s="44" t="str">
        <f>Source!BO115</f>
        <v>09-04-013-02</v>
      </c>
      <c r="J142" s="45"/>
      <c r="S142">
        <f>Source!X114</f>
        <v>61.51</v>
      </c>
      <c r="T142">
        <f>Source!X115</f>
        <v>2092</v>
      </c>
      <c r="U142">
        <f>Source!Y114</f>
        <v>54.68</v>
      </c>
      <c r="V142">
        <f>Source!Y115</f>
        <v>1859.56</v>
      </c>
    </row>
    <row r="143" spans="4:10" ht="12.75">
      <c r="D143" s="125" t="s">
        <v>487</v>
      </c>
      <c r="E143" s="125"/>
      <c r="F143" s="125"/>
      <c r="G143" s="125"/>
      <c r="H143" s="125"/>
      <c r="I143" s="125"/>
      <c r="J143" s="125"/>
    </row>
    <row r="144" spans="1:18" ht="14.25">
      <c r="A144" s="25"/>
      <c r="B144" s="25"/>
      <c r="C144" s="60"/>
      <c r="D144" s="60" t="s">
        <v>488</v>
      </c>
      <c r="E144" s="44"/>
      <c r="F144" s="12"/>
      <c r="G144" s="43">
        <f>Source!AO114</f>
        <v>27.97</v>
      </c>
      <c r="H144" s="45">
        <f>Source!S114</f>
        <v>75.27</v>
      </c>
      <c r="I144" s="44">
        <f>IF(Source!BA115&lt;&gt;0,Source!BA115,1)</f>
        <v>34.01</v>
      </c>
      <c r="J144" s="45">
        <f>Source!S115</f>
        <v>2559.84</v>
      </c>
      <c r="R144">
        <f>H144</f>
        <v>75.27</v>
      </c>
    </row>
    <row r="145" spans="1:10" ht="14.25">
      <c r="A145" s="25"/>
      <c r="B145" s="25"/>
      <c r="C145" s="60"/>
      <c r="D145" s="60" t="s">
        <v>106</v>
      </c>
      <c r="E145" s="44"/>
      <c r="F145" s="12"/>
      <c r="G145" s="43">
        <f>Source!AM114</f>
        <v>7.22</v>
      </c>
      <c r="H145" s="45">
        <f>Source!Q114</f>
        <v>21.12</v>
      </c>
      <c r="I145" s="44">
        <f>IF(Source!BB115&lt;&gt;0,Source!BB115,1)</f>
        <v>6.24</v>
      </c>
      <c r="J145" s="45">
        <f>Source!Q115</f>
        <v>131.78</v>
      </c>
    </row>
    <row r="146" spans="1:18" ht="14.25">
      <c r="A146" s="25"/>
      <c r="B146" s="25"/>
      <c r="C146" s="60"/>
      <c r="D146" s="60" t="s">
        <v>427</v>
      </c>
      <c r="E146" s="44"/>
      <c r="F146" s="12"/>
      <c r="G146" s="43">
        <f>Source!AN114</f>
        <v>0.23</v>
      </c>
      <c r="H146" s="47">
        <f>Source!R114</f>
        <v>0.67</v>
      </c>
      <c r="I146" s="44">
        <f>IF(Source!BS115&lt;&gt;0,Source!BS115,1)</f>
        <v>34.01</v>
      </c>
      <c r="J146" s="47">
        <f>Source!R115</f>
        <v>22.88</v>
      </c>
      <c r="R146">
        <f>H146</f>
        <v>0.67</v>
      </c>
    </row>
    <row r="147" spans="1:10" ht="14.25">
      <c r="A147" s="25"/>
      <c r="B147" s="25"/>
      <c r="C147" s="60"/>
      <c r="D147" s="60" t="s">
        <v>428</v>
      </c>
      <c r="E147" s="44"/>
      <c r="F147" s="12"/>
      <c r="G147" s="43">
        <f>Source!AL114</f>
        <v>51.95</v>
      </c>
      <c r="H147" s="45">
        <f>Source!P114</f>
        <v>121.56</v>
      </c>
      <c r="I147" s="44">
        <f>IF(Source!BC115&lt;&gt;0,Source!BC115,1)</f>
        <v>12.37</v>
      </c>
      <c r="J147" s="45">
        <f>Source!P115</f>
        <v>1503.73</v>
      </c>
    </row>
    <row r="148" spans="1:22" ht="57">
      <c r="A148" s="25">
        <v>27</v>
      </c>
      <c r="B148" s="25" t="str">
        <f>Source!E116</f>
        <v>9,1</v>
      </c>
      <c r="C148" s="60" t="str">
        <f>Source!F116</f>
        <v>Цена Поставщика</v>
      </c>
      <c r="D148" s="60" t="str">
        <f>Source!G116</f>
        <v>(Д-1)  Дверь металлическая 1300х1800, ДПМ-02 EI60, нажимной гарнитур, замок, цилиндр ключ-ключ, доводчик на одну створку, шпингалеты (2шт).</v>
      </c>
      <c r="E148" s="44" t="str">
        <f>Source!H116</f>
        <v>ШТ</v>
      </c>
      <c r="F148" s="12">
        <f>Source!I116</f>
        <v>0.999999</v>
      </c>
      <c r="G148" s="43">
        <f>Source!AK116</f>
        <v>70334.19</v>
      </c>
      <c r="H148" s="45">
        <f>Source!O116</f>
        <v>70334.12</v>
      </c>
      <c r="I148" s="44">
        <f>IF(Source!BC117&lt;&gt;0,Source!BC117,1)</f>
        <v>1</v>
      </c>
      <c r="J148" s="45">
        <f>Source!O117</f>
        <v>70334.12</v>
      </c>
      <c r="S148">
        <f>Source!X116</f>
        <v>0</v>
      </c>
      <c r="T148">
        <f>Source!X117</f>
        <v>0</v>
      </c>
      <c r="U148">
        <f>Source!Y116</f>
        <v>0</v>
      </c>
      <c r="V148">
        <f>Source!Y117</f>
        <v>0</v>
      </c>
    </row>
    <row r="149" spans="1:10" ht="14.25">
      <c r="A149" s="25"/>
      <c r="B149" s="25"/>
      <c r="C149" s="60"/>
      <c r="D149" s="60" t="s">
        <v>429</v>
      </c>
      <c r="E149" s="44" t="s">
        <v>430</v>
      </c>
      <c r="F149" s="12"/>
      <c r="G149" s="43">
        <f>Source!AT114</f>
        <v>81</v>
      </c>
      <c r="H149" s="45">
        <f>SUM(S142:S148)</f>
        <v>61.51</v>
      </c>
      <c r="I149" s="44"/>
      <c r="J149" s="45">
        <f>SUM(T142:T148)</f>
        <v>2092</v>
      </c>
    </row>
    <row r="150" spans="1:10" ht="14.25">
      <c r="A150" s="25"/>
      <c r="B150" s="25"/>
      <c r="C150" s="60"/>
      <c r="D150" s="60" t="s">
        <v>431</v>
      </c>
      <c r="E150" s="44" t="s">
        <v>430</v>
      </c>
      <c r="F150" s="12"/>
      <c r="G150" s="43">
        <f>Source!AU114</f>
        <v>72</v>
      </c>
      <c r="H150" s="45">
        <f>SUM(U142:U149)</f>
        <v>54.68</v>
      </c>
      <c r="I150" s="44"/>
      <c r="J150" s="45">
        <f>SUM(V142:V149)</f>
        <v>1859.56</v>
      </c>
    </row>
    <row r="151" spans="1:10" ht="14.25">
      <c r="A151" s="61"/>
      <c r="B151" s="61"/>
      <c r="C151" s="62"/>
      <c r="D151" s="62" t="s">
        <v>489</v>
      </c>
      <c r="E151" s="52" t="s">
        <v>433</v>
      </c>
      <c r="F151" s="50">
        <f>Source!AQ114</f>
        <v>2.78</v>
      </c>
      <c r="G151" s="51"/>
      <c r="H151" s="53">
        <f>Source!U115</f>
        <v>7.480979999999999</v>
      </c>
      <c r="I151" s="52"/>
      <c r="J151" s="53"/>
    </row>
    <row r="152" spans="7:16" ht="15">
      <c r="G152" s="106">
        <f>Source!P114+Source!Q114+Source!S114+SUM(H148:H150)</f>
        <v>70668.25999999998</v>
      </c>
      <c r="H152" s="106"/>
      <c r="I152" s="106">
        <f>Source!P115+Source!Q115+Source!S115+SUM(J148:J150)</f>
        <v>78481.03</v>
      </c>
      <c r="J152" s="106"/>
      <c r="O152" s="34">
        <f>G152</f>
        <v>70668.25999999998</v>
      </c>
      <c r="P152" s="34">
        <f>I152</f>
        <v>78481.03</v>
      </c>
    </row>
    <row r="154" spans="1:10" ht="15">
      <c r="A154" s="107" t="str">
        <f>CONCATENATE("Итого по разделу: ",IF(Source!G119&lt;&gt;"Новый раздел",Source!G119,""))</f>
        <v>Итого по разделу: Строение 2</v>
      </c>
      <c r="B154" s="107"/>
      <c r="C154" s="107"/>
      <c r="D154" s="107"/>
      <c r="E154" s="107"/>
      <c r="F154" s="107"/>
      <c r="G154" s="106">
        <f>SUM(O83:O153)</f>
        <v>1149641.61</v>
      </c>
      <c r="H154" s="113"/>
      <c r="I154" s="106">
        <f>SUM(P83:P153)</f>
        <v>1273943.7399999998</v>
      </c>
      <c r="J154" s="113"/>
    </row>
    <row r="158" spans="1:10" ht="16.5">
      <c r="A158" s="111" t="str">
        <f>CONCATENATE("Раздел: ",IF(Source!G149&lt;&gt;"Новый раздел",Source!G149,""))</f>
        <v>Раздел: Разные работы</v>
      </c>
      <c r="B158" s="111"/>
      <c r="C158" s="111"/>
      <c r="D158" s="111"/>
      <c r="E158" s="111"/>
      <c r="F158" s="111"/>
      <c r="G158" s="111"/>
      <c r="H158" s="111"/>
      <c r="I158" s="111"/>
      <c r="J158" s="111"/>
    </row>
    <row r="159" spans="1:22" ht="42.75">
      <c r="A159" s="61">
        <v>28</v>
      </c>
      <c r="B159" s="61" t="str">
        <f>Source!E153</f>
        <v>10</v>
      </c>
      <c r="C159" s="62" t="str">
        <f>Source!F153</f>
        <v>т01-01-01-041</v>
      </c>
      <c r="D159" s="62" t="str">
        <f>Source!G153</f>
        <v>Погрузочные работы при автомобильных перевозках мусора строительного с погрузкой вручную</v>
      </c>
      <c r="E159" s="52" t="str">
        <f>Source!H153</f>
        <v>1 Т ГРУЗА</v>
      </c>
      <c r="F159" s="50">
        <f>Source!I153</f>
        <v>0.52</v>
      </c>
      <c r="G159" s="51">
        <f>Source!AK153</f>
        <v>42.98</v>
      </c>
      <c r="H159" s="53">
        <f>Source!GM153</f>
        <v>22.35</v>
      </c>
      <c r="I159" s="52">
        <f>Source!AZ154</f>
        <v>13.67</v>
      </c>
      <c r="J159" s="53">
        <f>Source!GM154</f>
        <v>305.52</v>
      </c>
      <c r="S159">
        <f>Source!X153</f>
        <v>0</v>
      </c>
      <c r="T159">
        <f>Source!X154</f>
        <v>0</v>
      </c>
      <c r="U159">
        <f>Source!Y153</f>
        <v>0</v>
      </c>
      <c r="V159">
        <f>Source!Y154</f>
        <v>0</v>
      </c>
    </row>
    <row r="160" spans="7:16" ht="15">
      <c r="G160" s="106">
        <f>H159+SUM(H160:H160)</f>
        <v>22.35</v>
      </c>
      <c r="H160" s="106"/>
      <c r="I160" s="106">
        <f>J159+SUM(J160:J160)</f>
        <v>305.52</v>
      </c>
      <c r="J160" s="106"/>
      <c r="O160" s="34">
        <f>G160</f>
        <v>22.35</v>
      </c>
      <c r="P160" s="34">
        <f>I160</f>
        <v>305.52</v>
      </c>
    </row>
    <row r="161" spans="1:22" ht="57">
      <c r="A161" s="61">
        <v>29</v>
      </c>
      <c r="B161" s="61" t="str">
        <f>Source!E155</f>
        <v>11</v>
      </c>
      <c r="C161" s="62" t="str">
        <f>Source!F155</f>
        <v>т03-02-01-063</v>
      </c>
      <c r="D161" s="62" t="str">
        <f>Source!G155</f>
        <v>Перевозка грузов I класса автомобилями бортовыми грузоподъемностью до 5 т на расстояние: до 63 км</v>
      </c>
      <c r="E161" s="52" t="str">
        <f>Source!H155</f>
        <v>1 Т ГРУЗА</v>
      </c>
      <c r="F161" s="50">
        <f>Source!I155</f>
        <v>0.52</v>
      </c>
      <c r="G161" s="51">
        <f>Source!AK155</f>
        <v>54.31</v>
      </c>
      <c r="H161" s="53">
        <f>Source!GM155</f>
        <v>28.24</v>
      </c>
      <c r="I161" s="52">
        <f>Source!AZ156</f>
        <v>8.68</v>
      </c>
      <c r="J161" s="53">
        <f>Source!GM156</f>
        <v>245.13</v>
      </c>
      <c r="S161">
        <f>Source!X155</f>
        <v>0</v>
      </c>
      <c r="T161">
        <f>Source!X156</f>
        <v>0</v>
      </c>
      <c r="U161">
        <f>Source!Y155</f>
        <v>0</v>
      </c>
      <c r="V161">
        <f>Source!Y156</f>
        <v>0</v>
      </c>
    </row>
    <row r="162" spans="7:16" ht="15">
      <c r="G162" s="106">
        <f>H161+SUM(H162:H162)</f>
        <v>28.24</v>
      </c>
      <c r="H162" s="106"/>
      <c r="I162" s="106">
        <f>J161+SUM(J162:J162)</f>
        <v>245.13</v>
      </c>
      <c r="J162" s="106"/>
      <c r="O162" s="34">
        <f>G162</f>
        <v>28.24</v>
      </c>
      <c r="P162" s="34">
        <f>I162</f>
        <v>245.13</v>
      </c>
    </row>
    <row r="164" spans="1:10" ht="15">
      <c r="A164" s="107" t="str">
        <f>CONCATENATE("Итого по разделу: ",IF(Source!G158&lt;&gt;"Новый раздел",Source!G158,""))</f>
        <v>Итого по разделу: Разные работы</v>
      </c>
      <c r="B164" s="107"/>
      <c r="C164" s="107"/>
      <c r="D164" s="107"/>
      <c r="E164" s="107"/>
      <c r="F164" s="107"/>
      <c r="G164" s="106">
        <f>SUM(O158:O163)</f>
        <v>50.59</v>
      </c>
      <c r="H164" s="113"/>
      <c r="I164" s="106">
        <f>SUM(P158:P163)</f>
        <v>550.65</v>
      </c>
      <c r="J164" s="113"/>
    </row>
    <row r="167" spans="1:10" ht="14.25">
      <c r="A167" s="108" t="str">
        <f>Source!H187</f>
        <v>итого по разделу</v>
      </c>
      <c r="B167" s="108"/>
      <c r="C167" s="108"/>
      <c r="D167" s="108"/>
      <c r="E167" s="108"/>
      <c r="F167" s="108"/>
      <c r="G167" s="109">
        <f>Source!F187</f>
        <v>50.59</v>
      </c>
      <c r="H167" s="109"/>
      <c r="I167" s="109">
        <f>Source!P187</f>
        <v>550.65</v>
      </c>
      <c r="J167" s="109"/>
    </row>
    <row r="169" spans="1:32" ht="30">
      <c r="A169" s="107" t="str">
        <f>CONCATENATE("Итого по локальной смете: ",IF(Source!G189&lt;&gt;"Новая локальная смета",Source!G189,""))</f>
        <v>Итого по локальной смете: Реализация выполнения работ по обеспечению пожарной безопастности объекта ИПУ РАН</v>
      </c>
      <c r="B169" s="107"/>
      <c r="C169" s="107"/>
      <c r="D169" s="107"/>
      <c r="E169" s="107"/>
      <c r="F169" s="107"/>
      <c r="G169" s="106">
        <f>SUM(O35:O168)</f>
        <v>2091564.1300000001</v>
      </c>
      <c r="H169" s="113"/>
      <c r="I169" s="106">
        <f>SUM(P35:P168)</f>
        <v>2347721.0699999994</v>
      </c>
      <c r="J169" s="113"/>
      <c r="AF169" s="66" t="str">
        <f>CONCATENATE("Итого по локальной смете: ",IF(Source!G189&lt;&gt;"Новая локальная смета",Source!G189,""))</f>
        <v>Итого по локальной смете: Реализация выполнения работ по обеспечению пожарной безопастности объекта ИПУ РАН</v>
      </c>
    </row>
    <row r="173" spans="1:32" ht="30">
      <c r="A173" s="107" t="str">
        <f>CONCATENATE("Итого по смете: ",IF(Source!G222&lt;&gt;"Новый объект",Source!G222,""))</f>
        <v>Итого по смете: Реализация выполнения работ по обеспечению пожарной безопасности объекта ИПУ РАН</v>
      </c>
      <c r="B173" s="107"/>
      <c r="C173" s="107"/>
      <c r="D173" s="107"/>
      <c r="E173" s="107"/>
      <c r="F173" s="107"/>
      <c r="G173" s="106">
        <f>SUM(O1:O172)</f>
        <v>2091564.1300000001</v>
      </c>
      <c r="H173" s="113"/>
      <c r="I173" s="106">
        <f>SUM(P1:P172)</f>
        <v>2347721.0699999994</v>
      </c>
      <c r="J173" s="113"/>
      <c r="AF173" s="66" t="str">
        <f>CONCATENATE("Итого по смете: ",IF(Source!G222&lt;&gt;"Новый объект",Source!G222,""))</f>
        <v>Итого по смете: Реализация выполнения работ по обеспечению пожарной безопасности объекта ИПУ РАН</v>
      </c>
    </row>
    <row r="175" spans="1:10" ht="14.25">
      <c r="A175" s="108" t="str">
        <f>Source!H251</f>
        <v>Всего</v>
      </c>
      <c r="B175" s="108"/>
      <c r="C175" s="108"/>
      <c r="D175" s="108"/>
      <c r="E175" s="108"/>
      <c r="F175" s="108"/>
      <c r="G175" s="109">
        <f>Source!F251</f>
        <v>2091564.13</v>
      </c>
      <c r="H175" s="109"/>
      <c r="I175" s="109">
        <f>Source!P251</f>
        <v>2347721.07</v>
      </c>
      <c r="J175" s="109"/>
    </row>
    <row r="176" spans="1:34" ht="28.5">
      <c r="A176" s="108" t="str">
        <f>Source!H252</f>
        <v>Резерв средств на непр. расходы 2% (Приказ Минстроя России № 421-пр от 04.08.2020 п. 179а)</v>
      </c>
      <c r="B176" s="108"/>
      <c r="C176" s="108"/>
      <c r="D176" s="108"/>
      <c r="E176" s="108"/>
      <c r="F176" s="108"/>
      <c r="G176" s="109">
        <f>Source!F252</f>
        <v>41831.28</v>
      </c>
      <c r="H176" s="109"/>
      <c r="I176" s="109">
        <f>Source!P252</f>
        <v>46954.42</v>
      </c>
      <c r="J176" s="109"/>
      <c r="AH176" s="37" t="s">
        <v>201</v>
      </c>
    </row>
    <row r="177" spans="1:10" ht="14.25">
      <c r="A177" s="108" t="str">
        <f>Source!H253</f>
        <v>Итого</v>
      </c>
      <c r="B177" s="108"/>
      <c r="C177" s="108"/>
      <c r="D177" s="108"/>
      <c r="E177" s="108"/>
      <c r="F177" s="108"/>
      <c r="G177" s="109">
        <f>Source!F253</f>
        <v>2133395.41</v>
      </c>
      <c r="H177" s="109"/>
      <c r="I177" s="109">
        <f>Source!P253</f>
        <v>2394675.49</v>
      </c>
      <c r="J177" s="109"/>
    </row>
    <row r="178" spans="1:10" ht="14.25">
      <c r="A178" s="108" t="str">
        <f>Source!H254</f>
        <v>НДС 20%</v>
      </c>
      <c r="B178" s="108"/>
      <c r="C178" s="108"/>
      <c r="D178" s="108"/>
      <c r="E178" s="108"/>
      <c r="F178" s="108"/>
      <c r="G178" s="109">
        <f>Source!F254</f>
        <v>426679.08</v>
      </c>
      <c r="H178" s="109"/>
      <c r="I178" s="109">
        <f>Source!P254</f>
        <v>478935.1</v>
      </c>
      <c r="J178" s="109"/>
    </row>
    <row r="179" spans="1:10" ht="14.25">
      <c r="A179" s="108" t="str">
        <f>Source!H255</f>
        <v>Всего по смете</v>
      </c>
      <c r="B179" s="108"/>
      <c r="C179" s="108"/>
      <c r="D179" s="108"/>
      <c r="E179" s="108"/>
      <c r="F179" s="108"/>
      <c r="G179" s="109">
        <f>Source!F255</f>
        <v>2560074.49</v>
      </c>
      <c r="H179" s="109"/>
      <c r="I179" s="109">
        <f>Source!P255</f>
        <v>2873610.59</v>
      </c>
      <c r="J179" s="109"/>
    </row>
    <row r="182" spans="1:10" ht="15">
      <c r="A182" s="76"/>
      <c r="B182" s="26" t="s">
        <v>495</v>
      </c>
      <c r="C182" s="76"/>
      <c r="D182" s="77" t="str">
        <f>IF(Source!AC12&lt;&gt;"",Source!AC12," ")</f>
        <v>Вед. инженер по эксплуатации и ремонту</v>
      </c>
      <c r="E182" s="76"/>
      <c r="F182" s="76"/>
      <c r="G182" s="76"/>
      <c r="H182" s="78" t="str">
        <f>IF(Source!AB12&lt;&gt;"",Source!AB12," ")</f>
        <v>Степанова А.М.</v>
      </c>
      <c r="I182" s="79"/>
      <c r="J182" s="76"/>
    </row>
    <row r="183" spans="1:10" ht="14.25">
      <c r="A183" s="13"/>
      <c r="B183" s="13"/>
      <c r="C183" s="13"/>
      <c r="D183" s="80" t="s">
        <v>496</v>
      </c>
      <c r="E183" s="13"/>
      <c r="F183" s="81" t="s">
        <v>497</v>
      </c>
      <c r="G183" s="13"/>
      <c r="H183" s="124" t="s">
        <v>498</v>
      </c>
      <c r="I183" s="124"/>
      <c r="J183" s="13"/>
    </row>
    <row r="184" spans="1:10" ht="14.25">
      <c r="A184" s="13"/>
      <c r="B184" s="13"/>
      <c r="C184" s="13"/>
      <c r="D184" s="82"/>
      <c r="E184" s="13"/>
      <c r="F184" s="83"/>
      <c r="G184" s="13"/>
      <c r="H184" s="67"/>
      <c r="I184" s="67"/>
      <c r="J184" s="13"/>
    </row>
    <row r="185" spans="1:10" ht="14.25">
      <c r="A185" s="13"/>
      <c r="B185" s="13"/>
      <c r="C185" s="82" t="s">
        <v>499</v>
      </c>
      <c r="D185" s="13"/>
      <c r="E185" s="13"/>
      <c r="F185" s="83"/>
      <c r="G185" s="13"/>
      <c r="H185" s="67"/>
      <c r="I185" s="67"/>
      <c r="J185" s="13"/>
    </row>
    <row r="186" spans="1:10" ht="14.25">
      <c r="A186" s="13"/>
      <c r="B186" s="13"/>
      <c r="C186" s="82"/>
      <c r="D186" s="13"/>
      <c r="E186" s="13"/>
      <c r="F186" s="83"/>
      <c r="G186" s="13"/>
      <c r="H186" s="67"/>
      <c r="I186" s="67"/>
      <c r="J186" s="13"/>
    </row>
    <row r="187" spans="1:10" ht="15">
      <c r="A187" s="13"/>
      <c r="B187" s="26" t="s">
        <v>500</v>
      </c>
      <c r="C187" s="13"/>
      <c r="D187" s="17" t="str">
        <f>IF(Source!AG12&lt;&gt;"",Source!AG12," ")</f>
        <v>Заведующий РеСО</v>
      </c>
      <c r="E187" s="13"/>
      <c r="F187" s="24"/>
      <c r="G187" s="13"/>
      <c r="H187" s="40" t="str">
        <f>IF(Source!AF12&lt;&gt;"",Source!AF12," ")</f>
        <v>Покшин В.И.</v>
      </c>
      <c r="I187" s="84"/>
      <c r="J187" s="13"/>
    </row>
    <row r="188" spans="1:10" ht="14.25">
      <c r="A188" s="13"/>
      <c r="B188" s="13"/>
      <c r="C188" s="13"/>
      <c r="D188" s="80" t="s">
        <v>496</v>
      </c>
      <c r="E188" s="13"/>
      <c r="F188" s="81" t="s">
        <v>497</v>
      </c>
      <c r="G188" s="13"/>
      <c r="H188" s="124" t="s">
        <v>498</v>
      </c>
      <c r="I188" s="124"/>
      <c r="J188" s="13"/>
    </row>
    <row r="189" spans="1:10" ht="14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4.25">
      <c r="A190" s="13"/>
      <c r="B190" s="13"/>
      <c r="C190" s="82" t="s">
        <v>499</v>
      </c>
      <c r="D190" s="13"/>
      <c r="E190" s="13"/>
      <c r="F190" s="13"/>
      <c r="G190" s="13"/>
      <c r="H190" s="13"/>
      <c r="I190" s="13"/>
      <c r="J190" s="13"/>
    </row>
    <row r="191" spans="1:10" ht="14.25">
      <c r="A191" s="13"/>
      <c r="B191" s="13"/>
      <c r="C191" s="82"/>
      <c r="D191" s="13"/>
      <c r="E191" s="13"/>
      <c r="F191" s="13"/>
      <c r="G191" s="13"/>
      <c r="H191" s="13"/>
      <c r="I191" s="13"/>
      <c r="J191" s="13"/>
    </row>
    <row r="192" spans="1:10" ht="15">
      <c r="A192" s="13"/>
      <c r="B192" s="39" t="s">
        <v>501</v>
      </c>
      <c r="C192" s="13"/>
      <c r="D192" s="13"/>
      <c r="E192" s="13"/>
      <c r="F192" s="13"/>
      <c r="G192" s="13"/>
      <c r="H192" s="13"/>
      <c r="I192" s="13"/>
      <c r="J192" s="13"/>
    </row>
    <row r="193" spans="1:10" ht="15">
      <c r="A193" s="13"/>
      <c r="B193" s="39" t="s">
        <v>502</v>
      </c>
      <c r="C193" s="13"/>
      <c r="D193" s="13"/>
      <c r="E193" s="13"/>
      <c r="F193" s="13"/>
      <c r="G193" s="13"/>
      <c r="H193" s="13"/>
      <c r="I193" s="13"/>
      <c r="J193" s="13"/>
    </row>
    <row r="194" spans="1:10" ht="15">
      <c r="A194" s="13"/>
      <c r="B194" s="39" t="s">
        <v>503</v>
      </c>
      <c r="C194" s="13"/>
      <c r="D194" s="76"/>
      <c r="E194" s="76"/>
      <c r="F194" s="76"/>
      <c r="G194" s="76"/>
      <c r="H194" s="79"/>
      <c r="I194" s="79"/>
      <c r="J194" s="13"/>
    </row>
    <row r="195" spans="1:10" ht="14.25">
      <c r="A195" s="13"/>
      <c r="B195" s="13"/>
      <c r="C195" s="13"/>
      <c r="D195" s="80" t="s">
        <v>496</v>
      </c>
      <c r="E195" s="13"/>
      <c r="F195" s="81" t="s">
        <v>497</v>
      </c>
      <c r="G195" s="13"/>
      <c r="H195" s="124" t="s">
        <v>498</v>
      </c>
      <c r="I195" s="124"/>
      <c r="J195" s="13"/>
    </row>
  </sheetData>
  <sheetProtection/>
  <mergeCells count="113">
    <mergeCell ref="A2:E2"/>
    <mergeCell ref="G2:J2"/>
    <mergeCell ref="F3:J3"/>
    <mergeCell ref="G4:J4"/>
    <mergeCell ref="I5:J5"/>
    <mergeCell ref="I6:J6"/>
    <mergeCell ref="D11:G11"/>
    <mergeCell ref="I11:J11"/>
    <mergeCell ref="D12:G12"/>
    <mergeCell ref="I12:J12"/>
    <mergeCell ref="D13:G13"/>
    <mergeCell ref="I13:J14"/>
    <mergeCell ref="C14:G14"/>
    <mergeCell ref="I7:J8"/>
    <mergeCell ref="C8:G8"/>
    <mergeCell ref="C9:G9"/>
    <mergeCell ref="I9:J9"/>
    <mergeCell ref="D10:G10"/>
    <mergeCell ref="I10:J10"/>
    <mergeCell ref="E18:G18"/>
    <mergeCell ref="I18:J18"/>
    <mergeCell ref="I19:J19"/>
    <mergeCell ref="I20:J20"/>
    <mergeCell ref="F22:F23"/>
    <mergeCell ref="G22:G23"/>
    <mergeCell ref="H22:I22"/>
    <mergeCell ref="C15:G15"/>
    <mergeCell ref="I15:J16"/>
    <mergeCell ref="C16:G16"/>
    <mergeCell ref="C17:E17"/>
    <mergeCell ref="F17:H17"/>
    <mergeCell ref="I17:J17"/>
    <mergeCell ref="A35:J35"/>
    <mergeCell ref="A37:J37"/>
    <mergeCell ref="D40:J40"/>
    <mergeCell ref="G48:H48"/>
    <mergeCell ref="I48:J48"/>
    <mergeCell ref="G58:H58"/>
    <mergeCell ref="I58:J58"/>
    <mergeCell ref="A26:J26"/>
    <mergeCell ref="A27:J27"/>
    <mergeCell ref="A29:F29"/>
    <mergeCell ref="G29:H29"/>
    <mergeCell ref="G30:H30"/>
    <mergeCell ref="A31:B31"/>
    <mergeCell ref="C31:C32"/>
    <mergeCell ref="D31:D32"/>
    <mergeCell ref="E31:E32"/>
    <mergeCell ref="F31:J31"/>
    <mergeCell ref="A81:F81"/>
    <mergeCell ref="G81:H81"/>
    <mergeCell ref="I81:J81"/>
    <mergeCell ref="A83:J83"/>
    <mergeCell ref="D86:J86"/>
    <mergeCell ref="G94:H94"/>
    <mergeCell ref="I94:J94"/>
    <mergeCell ref="D61:J61"/>
    <mergeCell ref="G76:H76"/>
    <mergeCell ref="I76:J76"/>
    <mergeCell ref="A78:F78"/>
    <mergeCell ref="I78:J78"/>
    <mergeCell ref="G78:H78"/>
    <mergeCell ref="G132:H132"/>
    <mergeCell ref="I132:J132"/>
    <mergeCell ref="G141:H141"/>
    <mergeCell ref="I141:J141"/>
    <mergeCell ref="D143:J143"/>
    <mergeCell ref="G152:H152"/>
    <mergeCell ref="I152:J152"/>
    <mergeCell ref="G104:H104"/>
    <mergeCell ref="I104:J104"/>
    <mergeCell ref="D107:J107"/>
    <mergeCell ref="G114:H114"/>
    <mergeCell ref="I114:J114"/>
    <mergeCell ref="D117:J117"/>
    <mergeCell ref="G162:H162"/>
    <mergeCell ref="I162:J162"/>
    <mergeCell ref="A164:F164"/>
    <mergeCell ref="I164:J164"/>
    <mergeCell ref="G164:H164"/>
    <mergeCell ref="A167:F167"/>
    <mergeCell ref="G167:H167"/>
    <mergeCell ref="I167:J167"/>
    <mergeCell ref="A154:F154"/>
    <mergeCell ref="I154:J154"/>
    <mergeCell ref="G154:H154"/>
    <mergeCell ref="A158:J158"/>
    <mergeCell ref="G160:H160"/>
    <mergeCell ref="I160:J160"/>
    <mergeCell ref="A175:F175"/>
    <mergeCell ref="G175:H175"/>
    <mergeCell ref="I175:J175"/>
    <mergeCell ref="A176:F176"/>
    <mergeCell ref="G176:H176"/>
    <mergeCell ref="I176:J176"/>
    <mergeCell ref="A169:F169"/>
    <mergeCell ref="I169:J169"/>
    <mergeCell ref="G169:H169"/>
    <mergeCell ref="A173:F173"/>
    <mergeCell ref="I173:J173"/>
    <mergeCell ref="G173:H173"/>
    <mergeCell ref="A179:F179"/>
    <mergeCell ref="G179:H179"/>
    <mergeCell ref="I179:J179"/>
    <mergeCell ref="H183:I183"/>
    <mergeCell ref="H188:I188"/>
    <mergeCell ref="H195:I195"/>
    <mergeCell ref="A177:F177"/>
    <mergeCell ref="G177:H177"/>
    <mergeCell ref="I177:J177"/>
    <mergeCell ref="A178:F178"/>
    <mergeCell ref="G178:H178"/>
    <mergeCell ref="I178:J178"/>
  </mergeCells>
  <printOptions/>
  <pageMargins left="0.4" right="0.2" top="0.2" bottom="0.4" header="0.2" footer="0.2"/>
  <pageSetup fitToHeight="0" fitToWidth="1" orientation="portrait" paperSize="9" scale="67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1" width="129.7109375" style="0" hidden="1" customWidth="1"/>
  </cols>
  <sheetData>
    <row r="1" ht="12.75">
      <c r="A1" s="11" t="str">
        <f>Source!B1</f>
        <v>Smeta.RU  (495) 974-1589</v>
      </c>
    </row>
    <row r="2" spans="3:4" ht="14.25">
      <c r="C2" s="13"/>
      <c r="D2" s="13"/>
    </row>
    <row r="3" spans="3:4" ht="15">
      <c r="C3" s="13"/>
      <c r="D3" s="26" t="s">
        <v>393</v>
      </c>
    </row>
    <row r="4" spans="3:4" ht="15">
      <c r="C4" s="26"/>
      <c r="D4" s="26"/>
    </row>
    <row r="5" spans="3:4" ht="15">
      <c r="C5" s="156" t="s">
        <v>504</v>
      </c>
      <c r="D5" s="156"/>
    </row>
    <row r="6" spans="3:4" ht="15">
      <c r="C6" s="85"/>
      <c r="D6" s="85"/>
    </row>
    <row r="7" spans="3:4" ht="15">
      <c r="C7" s="156" t="s">
        <v>504</v>
      </c>
      <c r="D7" s="156"/>
    </row>
    <row r="8" spans="3:4" ht="15">
      <c r="C8" s="85"/>
      <c r="D8" s="85"/>
    </row>
    <row r="9" spans="3:4" ht="15">
      <c r="C9" s="26" t="s">
        <v>505</v>
      </c>
      <c r="D9" s="13"/>
    </row>
    <row r="10" spans="1:5" ht="14.25">
      <c r="A10" s="13"/>
      <c r="B10" s="13"/>
      <c r="C10" s="13"/>
      <c r="D10" s="13"/>
      <c r="E10" s="13"/>
    </row>
    <row r="11" spans="1:5" ht="15.75">
      <c r="A11" s="157" t="str">
        <f>CONCATENATE("Дефектный акт ",IF(Source!AN15&lt;&gt;"",Source!AN15," "))</f>
        <v>Дефектный акт  </v>
      </c>
      <c r="B11" s="157"/>
      <c r="C11" s="157"/>
      <c r="D11" s="157"/>
      <c r="E11" s="13"/>
    </row>
    <row r="12" spans="1:30" ht="30">
      <c r="A12" s="158" t="str">
        <f>CONCATENATE("На капитальный ремонт ",Source!F12," ",Source!G12)</f>
        <v>На капитальный ремонт  Реализация выполнения работ по обеспечению пожарной безопасности объекта ИПУ РАН</v>
      </c>
      <c r="B12" s="158"/>
      <c r="C12" s="158"/>
      <c r="D12" s="158"/>
      <c r="E12" s="13"/>
      <c r="AD12" s="88" t="str">
        <f>CONCATENATE("На капитальный ремонт ",Source!F12," ",Source!G12)</f>
        <v>На капитальный ремонт  Реализация выполнения работ по обеспечению пожарной безопасности объекта ИПУ РАН</v>
      </c>
    </row>
    <row r="13" spans="1:5" ht="14.25">
      <c r="A13" s="13"/>
      <c r="B13" s="13"/>
      <c r="C13" s="13"/>
      <c r="D13" s="13"/>
      <c r="E13" s="13"/>
    </row>
    <row r="14" spans="1:5" ht="15">
      <c r="A14" s="13"/>
      <c r="B14" s="86" t="s">
        <v>506</v>
      </c>
      <c r="C14" s="13"/>
      <c r="D14" s="13"/>
      <c r="E14" s="13"/>
    </row>
    <row r="15" spans="1:5" ht="15">
      <c r="A15" s="13"/>
      <c r="B15" s="86" t="s">
        <v>507</v>
      </c>
      <c r="C15" s="13"/>
      <c r="D15" s="13"/>
      <c r="E15" s="13"/>
    </row>
    <row r="16" spans="1:5" ht="15">
      <c r="A16" s="13"/>
      <c r="B16" s="86" t="s">
        <v>508</v>
      </c>
      <c r="C16" s="13"/>
      <c r="D16" s="13"/>
      <c r="E16" s="13"/>
    </row>
    <row r="17" spans="1:5" ht="28.5">
      <c r="A17" s="30" t="s">
        <v>411</v>
      </c>
      <c r="B17" s="30" t="s">
        <v>413</v>
      </c>
      <c r="C17" s="30" t="s">
        <v>477</v>
      </c>
      <c r="D17" s="30" t="s">
        <v>481</v>
      </c>
      <c r="E17" s="87" t="s">
        <v>509</v>
      </c>
    </row>
    <row r="18" spans="1:5" ht="14.25">
      <c r="A18" s="90">
        <v>1</v>
      </c>
      <c r="B18" s="90">
        <v>2</v>
      </c>
      <c r="C18" s="90">
        <v>3</v>
      </c>
      <c r="D18" s="90">
        <v>4</v>
      </c>
      <c r="E18" s="91">
        <v>5</v>
      </c>
    </row>
    <row r="19" spans="1:31" ht="33">
      <c r="A19" s="155" t="str">
        <f>CONCATENATE("Локальная смета: ",Source!G20)</f>
        <v>Локальная смета: Реализация выполнения работ по обеспечению пожарной безопастности объекта ИПУ РАН</v>
      </c>
      <c r="B19" s="155"/>
      <c r="C19" s="155"/>
      <c r="D19" s="155"/>
      <c r="E19" s="155"/>
      <c r="AE19" s="89" t="str">
        <f>CONCATENATE("Локальная смета: ",Source!G20)</f>
        <v>Локальная смета: Реализация выполнения работ по обеспечению пожарной безопастности объекта ИПУ РАН</v>
      </c>
    </row>
    <row r="20" spans="1:5" ht="16.5">
      <c r="A20" s="155" t="str">
        <f>CONCATENATE("Раздел: ",Source!G24)</f>
        <v>Раздел: Строение 1</v>
      </c>
      <c r="B20" s="155"/>
      <c r="C20" s="155"/>
      <c r="D20" s="155"/>
      <c r="E20" s="155"/>
    </row>
    <row r="21" spans="1:5" ht="42.75">
      <c r="A21" s="96" t="str">
        <f>Source!E28</f>
        <v>1</v>
      </c>
      <c r="B21" s="97" t="str">
        <f>Source!G28</f>
        <v>Установка и разборка внутренних трубчатых инвентарных лесов: при высоте помещений до 6 м</v>
      </c>
      <c r="C21" s="98" t="str">
        <f>Source!H28</f>
        <v>100 м2 горизонтальной проекции</v>
      </c>
      <c r="D21" s="99">
        <f>Source!I28</f>
        <v>0.14</v>
      </c>
      <c r="E21" s="97"/>
    </row>
    <row r="22" spans="1:5" ht="14.25">
      <c r="A22" s="96" t="str">
        <f>Source!E30</f>
        <v>2</v>
      </c>
      <c r="B22" s="97" t="str">
        <f>Source!G30</f>
        <v>Демонтаж фасадного остекления (применительно)</v>
      </c>
      <c r="C22" s="98" t="str">
        <f>Source!H30</f>
        <v>100 м2</v>
      </c>
      <c r="D22" s="99">
        <f>Source!I30</f>
        <v>0.04</v>
      </c>
      <c r="E22" s="97"/>
    </row>
    <row r="23" spans="1:5" ht="14.25">
      <c r="A23" s="96" t="str">
        <f>Source!E32</f>
        <v>2,1</v>
      </c>
      <c r="B23" s="97" t="str">
        <f>Source!G32</f>
        <v>Строительный мусор</v>
      </c>
      <c r="C23" s="98" t="str">
        <f>Source!H32</f>
        <v>т</v>
      </c>
      <c r="D23" s="99">
        <f>Source!I32</f>
        <v>0.1368</v>
      </c>
      <c r="E23" s="97"/>
    </row>
    <row r="24" spans="1:5" ht="28.5">
      <c r="A24" s="96" t="str">
        <f>Source!E34</f>
        <v>3</v>
      </c>
      <c r="B24" s="97" t="str">
        <f>Source!G34</f>
        <v>Монтаж перегородок: из алюминиевых сплавов сборно-разборных с остеклением</v>
      </c>
      <c r="C24" s="98" t="str">
        <f>Source!H34</f>
        <v>100 м2</v>
      </c>
      <c r="D24" s="99">
        <f>Source!I34</f>
        <v>0.41</v>
      </c>
      <c r="E24" s="97"/>
    </row>
    <row r="25" spans="1:5" ht="57">
      <c r="A25" s="96" t="str">
        <f>Source!E36</f>
        <v>3,1</v>
      </c>
      <c r="B25" s="97" t="str">
        <f>Source!G36</f>
        <v>(Д-6) Перегородка наружная 1920х2100 из алюминиевой системы с дверным блоком 1000х2080 (ШхВ)  (ручка скоба офисная, замок с цилиндром, шпингалеты на пассивную створку). Заполнение 5м1-10-5м1-10-5м1. Окрашенная в цвет RAL</v>
      </c>
      <c r="C25" s="98" t="str">
        <f>Source!H36</f>
        <v>ШТ</v>
      </c>
      <c r="D25" s="99">
        <f>Source!I36</f>
        <v>0.9999999999999999</v>
      </c>
      <c r="E25" s="97"/>
    </row>
    <row r="26" spans="1:5" ht="42.75">
      <c r="A26" s="96" t="str">
        <f>Source!E38</f>
        <v>3,2</v>
      </c>
      <c r="B26" s="97" t="str">
        <f>Source!G38</f>
        <v>(ПС-3) Внутренняя алюминиевая перегородка светопрозрачная противопожарная EIW-45 2250x4400 (ШхВ) с противопожарным стеклом. Окрашенная в цвет RAL</v>
      </c>
      <c r="C26" s="98" t="str">
        <f>Source!H38</f>
        <v>ШТ</v>
      </c>
      <c r="D26" s="99">
        <f>Source!I38</f>
        <v>0.9999999999999999</v>
      </c>
      <c r="E26" s="97"/>
    </row>
    <row r="27" spans="1:5" ht="42.75">
      <c r="A27" s="96" t="str">
        <f>Source!E40</f>
        <v>3,3</v>
      </c>
      <c r="B27" s="97" t="str">
        <f>Source!G40</f>
        <v>(ПС-4) Внутренняя алюминиевая перегородка светопрозрачная противопожарная EIW-45 6100x4400 (ШхВ) с противопожарным стеклом. Окрашенная в цвет RAL</v>
      </c>
      <c r="C27" s="98" t="str">
        <f>Source!H40</f>
        <v>ШТ</v>
      </c>
      <c r="D27" s="99">
        <f>Source!I40</f>
        <v>0.9999999999999999</v>
      </c>
      <c r="E27" s="97"/>
    </row>
    <row r="28" spans="1:5" ht="28.5">
      <c r="A28" s="96" t="str">
        <f>Source!E42</f>
        <v>3,4</v>
      </c>
      <c r="B28" s="97" t="str">
        <f>Source!G42</f>
        <v>Бруски обрезные, хвойных пород, длина 4-6,5 м, ширина 75-150 мм, толщина 40-75 мм, сорт I</v>
      </c>
      <c r="C28" s="98" t="str">
        <f>Source!H42</f>
        <v>м3</v>
      </c>
      <c r="D28" s="99">
        <f>Source!I42</f>
        <v>-0.016399999999999998</v>
      </c>
      <c r="E28" s="97"/>
    </row>
    <row r="29" spans="1:5" ht="42.75">
      <c r="A29" s="96" t="str">
        <f>Source!E44</f>
        <v>3,5</v>
      </c>
      <c r="B29" s="97" t="str">
        <f>Source!G44</f>
        <v>Канат двойной свивки ТК, конструкции 6х19(1+6+12)+1 о.с., оцинкованный, из проволок марки В, маркировочная группа 1770 н/мм2, диаметр 5,5 мм</v>
      </c>
      <c r="C29" s="98" t="str">
        <f>Source!H44</f>
        <v>10 м</v>
      </c>
      <c r="D29" s="99">
        <f>Source!I44</f>
        <v>-0.082</v>
      </c>
      <c r="E29" s="97"/>
    </row>
    <row r="30" spans="1:5" ht="42.75">
      <c r="A30" s="96" t="str">
        <f>Source!E46</f>
        <v>3,6</v>
      </c>
      <c r="B30" s="97" t="str">
        <f>Source!G46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C30" s="98" t="str">
        <f>Source!H46</f>
        <v>т</v>
      </c>
      <c r="D30" s="99">
        <f>Source!I46</f>
        <v>-0.008199999999999999</v>
      </c>
      <c r="E30" s="97"/>
    </row>
    <row r="31" spans="1:5" ht="14.25">
      <c r="A31" s="96" t="str">
        <f>Source!E48</f>
        <v>3,7</v>
      </c>
      <c r="B31" s="97" t="str">
        <f>Source!G48</f>
        <v>Канат пеньковый пропитанный</v>
      </c>
      <c r="C31" s="98" t="str">
        <f>Source!H48</f>
        <v>т</v>
      </c>
      <c r="D31" s="99">
        <f>Source!I48</f>
        <v>-0.00047149999999999997</v>
      </c>
      <c r="E31" s="97"/>
    </row>
    <row r="32" spans="1:5" ht="16.5">
      <c r="A32" s="155" t="str">
        <f>CONCATENATE("Раздел: ",Source!G82)</f>
        <v>Раздел: Строение 2</v>
      </c>
      <c r="B32" s="155"/>
      <c r="C32" s="155"/>
      <c r="D32" s="155"/>
      <c r="E32" s="155"/>
    </row>
    <row r="33" spans="1:5" ht="42.75">
      <c r="A33" s="96" t="str">
        <f>Source!E86</f>
        <v>4</v>
      </c>
      <c r="B33" s="97" t="str">
        <f>Source!G86</f>
        <v>Установка и разборка внутренних трубчатых инвентарных лесов: при высоте помещений до 6 м</v>
      </c>
      <c r="C33" s="98" t="str">
        <f>Source!H86</f>
        <v>100 м2 горизонтальной проекции</v>
      </c>
      <c r="D33" s="99">
        <f>Source!I86</f>
        <v>0.1</v>
      </c>
      <c r="E33" s="97"/>
    </row>
    <row r="34" spans="1:5" ht="14.25">
      <c r="A34" s="96" t="str">
        <f>Source!E88</f>
        <v>5</v>
      </c>
      <c r="B34" s="97" t="str">
        <f>Source!G88</f>
        <v>Демонтаж фасадного остекления (применительно)</v>
      </c>
      <c r="C34" s="98" t="str">
        <f>Source!H88</f>
        <v>100 м2</v>
      </c>
      <c r="D34" s="99">
        <f>Source!I88</f>
        <v>0.08</v>
      </c>
      <c r="E34" s="97"/>
    </row>
    <row r="35" spans="1:5" ht="14.25">
      <c r="A35" s="96" t="str">
        <f>Source!E90</f>
        <v>5,1</v>
      </c>
      <c r="B35" s="97" t="str">
        <f>Source!G90</f>
        <v>Строительный мусор</v>
      </c>
      <c r="C35" s="98" t="str">
        <f>Source!H90</f>
        <v>т</v>
      </c>
      <c r="D35" s="99">
        <f>Source!I90</f>
        <v>0.2736</v>
      </c>
      <c r="E35" s="97"/>
    </row>
    <row r="36" spans="1:5" ht="28.5">
      <c r="A36" s="96" t="str">
        <f>Source!E92</f>
        <v>6</v>
      </c>
      <c r="B36" s="97" t="str">
        <f>Source!G92</f>
        <v>Демонтаж  блоков из ПВХ в наружных  дверных проемах: площадью проема более 3 м2 (Применительно)</v>
      </c>
      <c r="C36" s="98" t="str">
        <f>Source!H92</f>
        <v>100 м2</v>
      </c>
      <c r="D36" s="99">
        <f>Source!I92</f>
        <v>0.04</v>
      </c>
      <c r="E36" s="97"/>
    </row>
    <row r="37" spans="1:5" ht="28.5">
      <c r="A37" s="96" t="str">
        <f>Source!E94</f>
        <v>7</v>
      </c>
      <c r="B37" s="97" t="str">
        <f>Source!G94</f>
        <v>Монтаж перегородок: из алюминиевых сплавов сборно-разборных с остеклением</v>
      </c>
      <c r="C37" s="98" t="str">
        <f>Source!H94</f>
        <v>100 м2</v>
      </c>
      <c r="D37" s="99">
        <f>Source!I94</f>
        <v>0.35</v>
      </c>
      <c r="E37" s="97"/>
    </row>
    <row r="38" spans="1:5" ht="57">
      <c r="A38" s="96" t="str">
        <f>Source!E96</f>
        <v>7,1</v>
      </c>
      <c r="B38" s="97" t="str">
        <f>Source!G96</f>
        <v>(Д-2) Перегородка наружная 1920х2100 из алюминиевой системы с дверным блоком 1400х2080 (ШхВ) (ручка скоба офисная, замок с цилиндром, шпингалеты на пассивную створку). Заполнение 5м1-10-5м1-10-5м1. Окрашенная в цвет RAL</v>
      </c>
      <c r="C38" s="98" t="str">
        <f>Source!H96</f>
        <v>ШТ</v>
      </c>
      <c r="D38" s="99">
        <f>Source!I96</f>
        <v>2.9999999999999996</v>
      </c>
      <c r="E38" s="97"/>
    </row>
    <row r="39" spans="1:5" ht="42.75">
      <c r="A39" s="96" t="str">
        <f>Source!E98</f>
        <v>7,2</v>
      </c>
      <c r="B39" s="97" t="str">
        <f>Source!G98</f>
        <v>(ПС-1) Внутренняя алюминиевая перегородка светопрозрачная противопожарная EIW-45 6150x4400 (ШхВ) с противопожарным стеклом. Окрашенная в цвет RAL</v>
      </c>
      <c r="C39" s="98" t="str">
        <f>Source!H98</f>
        <v>ШТ</v>
      </c>
      <c r="D39" s="99">
        <f>Source!I98</f>
        <v>1</v>
      </c>
      <c r="E39" s="97"/>
    </row>
    <row r="40" spans="1:5" ht="42.75">
      <c r="A40" s="96" t="str">
        <f>Source!E100</f>
        <v>7,3</v>
      </c>
      <c r="B40" s="97" t="str">
        <f>Source!G100</f>
        <v>(ПС-2) Внутренняя алюминиевая перегородка светопрозрачная противопожарная EIW-45 1700x4400 (ШхВ) с противопожарным стеклом. Окрашенная цвет RAL</v>
      </c>
      <c r="C40" s="98" t="str">
        <f>Source!H100</f>
        <v>ШТ</v>
      </c>
      <c r="D40" s="99">
        <f>Source!I100</f>
        <v>1</v>
      </c>
      <c r="E40" s="97"/>
    </row>
    <row r="41" spans="1:5" ht="42.75">
      <c r="A41" s="96" t="str">
        <f>Source!E102</f>
        <v>7,4</v>
      </c>
      <c r="B41" s="97" t="str">
        <f>Source!G102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C41" s="98" t="str">
        <f>Source!H102</f>
        <v>т</v>
      </c>
      <c r="D41" s="99">
        <f>Source!I102</f>
        <v>-0.006999999999999999</v>
      </c>
      <c r="E41" s="97"/>
    </row>
    <row r="42" spans="1:5" ht="42.75">
      <c r="A42" s="96" t="str">
        <f>Source!E104</f>
        <v>7,5</v>
      </c>
      <c r="B42" s="97" t="str">
        <f>Source!G104</f>
        <v>Канат двойной свивки ТК, конструкции 6х19(1+6+12)+1 о.с., оцинкованный, из проволок марки В, маркировочная группа 1770 н/мм2, диаметр 5,5 мм</v>
      </c>
      <c r="C42" s="98" t="str">
        <f>Source!H104</f>
        <v>10 м</v>
      </c>
      <c r="D42" s="99">
        <f>Source!I104</f>
        <v>-0.07</v>
      </c>
      <c r="E42" s="97"/>
    </row>
    <row r="43" spans="1:5" ht="28.5">
      <c r="A43" s="96" t="str">
        <f>Source!E106</f>
        <v>7,6</v>
      </c>
      <c r="B43" s="97" t="str">
        <f>Source!G106</f>
        <v>Бруски обрезные, хвойных пород, длина 4-6,5 м, ширина 75-150 мм, толщина 40-75 мм, сорт I</v>
      </c>
      <c r="C43" s="98" t="str">
        <f>Source!H106</f>
        <v>м3</v>
      </c>
      <c r="D43" s="99">
        <f>Source!I106</f>
        <v>-0.013999999999999999</v>
      </c>
      <c r="E43" s="97"/>
    </row>
    <row r="44" spans="1:5" ht="14.25">
      <c r="A44" s="96" t="str">
        <f>Source!E108</f>
        <v>7,7</v>
      </c>
      <c r="B44" s="97" t="str">
        <f>Source!G108</f>
        <v>Канат пеньковый пропитанный</v>
      </c>
      <c r="C44" s="98" t="str">
        <f>Source!H108</f>
        <v>т</v>
      </c>
      <c r="D44" s="99">
        <f>Source!I108</f>
        <v>-0.000403</v>
      </c>
      <c r="E44" s="97"/>
    </row>
    <row r="45" spans="1:5" ht="28.5">
      <c r="A45" s="96" t="str">
        <f>Source!E110</f>
        <v>8</v>
      </c>
      <c r="B45" s="97" t="str">
        <f>Source!G110</f>
        <v>Демонтаж дверных коробок: в каменных стенах с отбивкой штукатурки в откосах</v>
      </c>
      <c r="C45" s="98" t="str">
        <f>Source!H110</f>
        <v>100 ШТ</v>
      </c>
      <c r="D45" s="99">
        <f>Source!I110</f>
        <v>0.01</v>
      </c>
      <c r="E45" s="97"/>
    </row>
    <row r="46" spans="1:5" ht="14.25">
      <c r="A46" s="96" t="str">
        <f>Source!E112</f>
        <v>8,1</v>
      </c>
      <c r="B46" s="97" t="str">
        <f>Source!G112</f>
        <v>Строительный мусор</v>
      </c>
      <c r="C46" s="98" t="str">
        <f>Source!H112</f>
        <v>т</v>
      </c>
      <c r="D46" s="99">
        <f>Source!I112</f>
        <v>0.105</v>
      </c>
      <c r="E46" s="97"/>
    </row>
    <row r="47" spans="1:5" ht="14.25">
      <c r="A47" s="96" t="str">
        <f>Source!E114</f>
        <v>9</v>
      </c>
      <c r="B47" s="97" t="str">
        <f>Source!G114</f>
        <v>Установка противопожарных дверей: двупольных глухих</v>
      </c>
      <c r="C47" s="98" t="str">
        <f>Source!H114</f>
        <v>м2</v>
      </c>
      <c r="D47" s="99">
        <f>Source!I114</f>
        <v>2.34</v>
      </c>
      <c r="E47" s="97"/>
    </row>
    <row r="48" spans="1:5" ht="28.5">
      <c r="A48" s="96" t="str">
        <f>Source!E116</f>
        <v>9,1</v>
      </c>
      <c r="B48" s="97" t="str">
        <f>Source!G116</f>
        <v>(Д-1)  Дверь металлическая 1300х1800, ДПМ-02 EI60, нажимной гарнитур, замок, цилиндр ключ-ключ, доводчик на одну створку, шпингалеты (2шт).</v>
      </c>
      <c r="C48" s="98" t="str">
        <f>Source!H116</f>
        <v>ШТ</v>
      </c>
      <c r="D48" s="99">
        <f>Source!I116</f>
        <v>0.999999</v>
      </c>
      <c r="E48" s="97"/>
    </row>
    <row r="49" spans="1:5" ht="16.5">
      <c r="A49" s="155" t="str">
        <f>CONCATENATE("Раздел: ",Source!G149)</f>
        <v>Раздел: Разные работы</v>
      </c>
      <c r="B49" s="155"/>
      <c r="C49" s="155"/>
      <c r="D49" s="155"/>
      <c r="E49" s="155"/>
    </row>
    <row r="50" spans="1:5" ht="28.5">
      <c r="A50" s="96" t="str">
        <f>Source!E153</f>
        <v>10</v>
      </c>
      <c r="B50" s="97" t="str">
        <f>Source!G153</f>
        <v>Погрузочные работы при автомобильных перевозках мусора строительного с погрузкой вручную</v>
      </c>
      <c r="C50" s="98" t="str">
        <f>Source!H153</f>
        <v>1 Т ГРУЗА</v>
      </c>
      <c r="D50" s="99">
        <f>Source!I153</f>
        <v>0.52</v>
      </c>
      <c r="E50" s="97"/>
    </row>
    <row r="51" spans="1:5" ht="28.5">
      <c r="A51" s="92" t="str">
        <f>Source!E155</f>
        <v>11</v>
      </c>
      <c r="B51" s="93" t="str">
        <f>Source!G155</f>
        <v>Перевозка грузов I класса автомобилями бортовыми грузоподъемностью до 5 т на расстояние: до 63 км</v>
      </c>
      <c r="C51" s="94" t="str">
        <f>Source!H155</f>
        <v>1 Т ГРУЗА</v>
      </c>
      <c r="D51" s="95">
        <f>Source!I155</f>
        <v>0.52</v>
      </c>
      <c r="E51" s="93"/>
    </row>
    <row r="54" spans="1:5" ht="15">
      <c r="A54" s="39" t="s">
        <v>510</v>
      </c>
      <c r="B54" s="39"/>
      <c r="C54" s="39" t="s">
        <v>511</v>
      </c>
      <c r="D54" s="39"/>
      <c r="E54" s="39"/>
    </row>
  </sheetData>
  <sheetProtection/>
  <mergeCells count="8">
    <mergeCell ref="A32:E32"/>
    <mergeCell ref="A49:E49"/>
    <mergeCell ref="C5:D5"/>
    <mergeCell ref="C7:D7"/>
    <mergeCell ref="A11:D11"/>
    <mergeCell ref="A12:D12"/>
    <mergeCell ref="A19:E19"/>
    <mergeCell ref="A20:E20"/>
  </mergeCells>
  <printOptions/>
  <pageMargins left="0.4" right="0.2" top="0.2" bottom="0.4" header="0.2" footer="0.2"/>
  <pageSetup fitToHeight="0" fitToWidth="1" orientation="portrait" paperSize="9" scale="76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hidden="1" customWidth="1"/>
    <col min="31" max="31" width="129.7109375" style="0" hidden="1" customWidth="1"/>
  </cols>
  <sheetData>
    <row r="1" ht="12.75">
      <c r="A1" s="11" t="str">
        <f>Source!B1</f>
        <v>Smeta.RU  (495) 974-1589</v>
      </c>
    </row>
    <row r="2" spans="3:4" ht="14.25">
      <c r="C2" s="13"/>
      <c r="D2" s="13"/>
    </row>
    <row r="3" spans="3:4" ht="15">
      <c r="C3" s="13"/>
      <c r="D3" s="26" t="s">
        <v>393</v>
      </c>
    </row>
    <row r="4" spans="3:4" ht="15">
      <c r="C4" s="26"/>
      <c r="D4" s="26"/>
    </row>
    <row r="5" spans="3:4" ht="15">
      <c r="C5" s="156" t="s">
        <v>504</v>
      </c>
      <c r="D5" s="156"/>
    </row>
    <row r="6" spans="3:4" ht="15">
      <c r="C6" s="85"/>
      <c r="D6" s="85"/>
    </row>
    <row r="7" spans="3:4" ht="15">
      <c r="C7" s="156" t="s">
        <v>504</v>
      </c>
      <c r="D7" s="156"/>
    </row>
    <row r="8" spans="3:4" ht="15">
      <c r="C8" s="85"/>
      <c r="D8" s="85"/>
    </row>
    <row r="9" spans="3:4" ht="15">
      <c r="C9" s="26" t="s">
        <v>505</v>
      </c>
      <c r="D9" s="13"/>
    </row>
    <row r="10" spans="1:5" ht="14.25">
      <c r="A10" s="13"/>
      <c r="B10" s="13"/>
      <c r="C10" s="13"/>
      <c r="D10" s="13"/>
      <c r="E10" s="13"/>
    </row>
    <row r="11" spans="1:5" ht="15.75">
      <c r="A11" s="157" t="str">
        <f>CONCATENATE("Ведомость объемов работ ",IF(Source!AN15&lt;&gt;"",Source!AN15," "))</f>
        <v>Ведомость объемов работ  </v>
      </c>
      <c r="B11" s="157"/>
      <c r="C11" s="157"/>
      <c r="D11" s="157"/>
      <c r="E11" s="13"/>
    </row>
    <row r="12" spans="1:30" ht="30">
      <c r="A12" s="158" t="str">
        <f>CONCATENATE("На капитальный ремонт ",Source!F12," ",Source!G12)</f>
        <v>На капитальный ремонт  Реализация выполнения работ по обеспечению пожарной безопасности объекта ИПУ РАН</v>
      </c>
      <c r="B12" s="158"/>
      <c r="C12" s="158"/>
      <c r="D12" s="158"/>
      <c r="E12" s="13"/>
      <c r="AD12" s="88" t="str">
        <f>CONCATENATE("На капитальный ремонт ",Source!F12," ",Source!G12)</f>
        <v>На капитальный ремонт  Реализация выполнения работ по обеспечению пожарной безопасности объекта ИПУ РАН</v>
      </c>
    </row>
    <row r="13" spans="1:5" ht="14.25">
      <c r="A13" s="13"/>
      <c r="B13" s="13"/>
      <c r="C13" s="13"/>
      <c r="D13" s="13"/>
      <c r="E13" s="13"/>
    </row>
    <row r="14" spans="1:5" ht="28.5">
      <c r="A14" s="30" t="s">
        <v>411</v>
      </c>
      <c r="B14" s="30" t="s">
        <v>413</v>
      </c>
      <c r="C14" s="30" t="s">
        <v>477</v>
      </c>
      <c r="D14" s="30" t="s">
        <v>481</v>
      </c>
      <c r="E14" s="87" t="s">
        <v>509</v>
      </c>
    </row>
    <row r="15" spans="1:5" ht="14.25">
      <c r="A15" s="90">
        <v>1</v>
      </c>
      <c r="B15" s="90">
        <v>2</v>
      </c>
      <c r="C15" s="90">
        <v>3</v>
      </c>
      <c r="D15" s="90">
        <v>4</v>
      </c>
      <c r="E15" s="91">
        <v>5</v>
      </c>
    </row>
    <row r="16" spans="1:31" ht="33">
      <c r="A16" s="155" t="str">
        <f>CONCATENATE("Локальная смета: ",Source!G20)</f>
        <v>Локальная смета: Реализация выполнения работ по обеспечению пожарной безопастности объекта ИПУ РАН</v>
      </c>
      <c r="B16" s="155"/>
      <c r="C16" s="155"/>
      <c r="D16" s="155"/>
      <c r="E16" s="155"/>
      <c r="AE16" s="89" t="str">
        <f>CONCATENATE("Локальная смета: ",Source!G20)</f>
        <v>Локальная смета: Реализация выполнения работ по обеспечению пожарной безопастности объекта ИПУ РАН</v>
      </c>
    </row>
    <row r="17" spans="1:5" ht="16.5">
      <c r="A17" s="155" t="str">
        <f>CONCATENATE("Раздел: ",Source!G24)</f>
        <v>Раздел: Строение 1</v>
      </c>
      <c r="B17" s="155"/>
      <c r="C17" s="155"/>
      <c r="D17" s="155"/>
      <c r="E17" s="155"/>
    </row>
    <row r="18" spans="1:5" ht="42.75">
      <c r="A18" s="96" t="str">
        <f>Source!E28</f>
        <v>1</v>
      </c>
      <c r="B18" s="97" t="str">
        <f>Source!G28</f>
        <v>Установка и разборка внутренних трубчатых инвентарных лесов: при высоте помещений до 6 м</v>
      </c>
      <c r="C18" s="98" t="str">
        <f>Source!H28</f>
        <v>100 м2 горизонтальной проекции</v>
      </c>
      <c r="D18" s="99">
        <f>Source!I28</f>
        <v>0.14</v>
      </c>
      <c r="E18" s="97"/>
    </row>
    <row r="19" spans="1:5" ht="14.25">
      <c r="A19" s="96" t="str">
        <f>Source!E30</f>
        <v>2</v>
      </c>
      <c r="B19" s="97" t="str">
        <f>Source!G30</f>
        <v>Демонтаж фасадного остекления (применительно)</v>
      </c>
      <c r="C19" s="98" t="str">
        <f>Source!H30</f>
        <v>100 м2</v>
      </c>
      <c r="D19" s="99">
        <f>Source!I30</f>
        <v>0.04</v>
      </c>
      <c r="E19" s="97"/>
    </row>
    <row r="20" spans="1:5" ht="14.25">
      <c r="A20" s="96" t="str">
        <f>Source!E32</f>
        <v>2,1</v>
      </c>
      <c r="B20" s="97" t="str">
        <f>Source!G32</f>
        <v>Строительный мусор</v>
      </c>
      <c r="C20" s="98" t="str">
        <f>Source!H32</f>
        <v>т</v>
      </c>
      <c r="D20" s="99">
        <f>Source!I32</f>
        <v>0.1368</v>
      </c>
      <c r="E20" s="97"/>
    </row>
    <row r="21" spans="1:5" ht="28.5">
      <c r="A21" s="96" t="str">
        <f>Source!E34</f>
        <v>3</v>
      </c>
      <c r="B21" s="97" t="str">
        <f>Source!G34</f>
        <v>Монтаж перегородок: из алюминиевых сплавов сборно-разборных с остеклением</v>
      </c>
      <c r="C21" s="98" t="str">
        <f>Source!H34</f>
        <v>100 м2</v>
      </c>
      <c r="D21" s="99">
        <f>Source!I34</f>
        <v>0.41</v>
      </c>
      <c r="E21" s="97"/>
    </row>
    <row r="22" spans="1:5" ht="57">
      <c r="A22" s="96" t="str">
        <f>Source!E36</f>
        <v>3,1</v>
      </c>
      <c r="B22" s="97" t="str">
        <f>Source!G36</f>
        <v>(Д-6) Перегородка наружная 1920х2100 из алюминиевой системы с дверным блоком 1000х2080 (ШхВ)  (ручка скоба офисная, замок с цилиндром, шпингалеты на пассивную створку). Заполнение 5м1-10-5м1-10-5м1. Окрашенная в цвет RAL</v>
      </c>
      <c r="C22" s="98" t="str">
        <f>Source!H36</f>
        <v>ШТ</v>
      </c>
      <c r="D22" s="99">
        <f>Source!I36</f>
        <v>0.9999999999999999</v>
      </c>
      <c r="E22" s="97"/>
    </row>
    <row r="23" spans="1:5" ht="42.75">
      <c r="A23" s="96" t="str">
        <f>Source!E38</f>
        <v>3,2</v>
      </c>
      <c r="B23" s="97" t="str">
        <f>Source!G38</f>
        <v>(ПС-3) Внутренняя алюминиевая перегородка светопрозрачная противопожарная EIW-45 2250x4400 (ШхВ) с противопожарным стеклом. Окрашенная в цвет RAL</v>
      </c>
      <c r="C23" s="98" t="str">
        <f>Source!H38</f>
        <v>ШТ</v>
      </c>
      <c r="D23" s="99">
        <f>Source!I38</f>
        <v>0.9999999999999999</v>
      </c>
      <c r="E23" s="97"/>
    </row>
    <row r="24" spans="1:5" ht="42.75">
      <c r="A24" s="96" t="str">
        <f>Source!E40</f>
        <v>3,3</v>
      </c>
      <c r="B24" s="97" t="str">
        <f>Source!G40</f>
        <v>(ПС-4) Внутренняя алюминиевая перегородка светопрозрачная противопожарная EIW-45 6100x4400 (ШхВ) с противопожарным стеклом. Окрашенная в цвет RAL</v>
      </c>
      <c r="C24" s="98" t="str">
        <f>Source!H40</f>
        <v>ШТ</v>
      </c>
      <c r="D24" s="99">
        <f>Source!I40</f>
        <v>0.9999999999999999</v>
      </c>
      <c r="E24" s="97"/>
    </row>
    <row r="25" spans="1:5" ht="28.5">
      <c r="A25" s="96" t="str">
        <f>Source!E42</f>
        <v>3,4</v>
      </c>
      <c r="B25" s="97" t="str">
        <f>Source!G42</f>
        <v>Бруски обрезные, хвойных пород, длина 4-6,5 м, ширина 75-150 мм, толщина 40-75 мм, сорт I</v>
      </c>
      <c r="C25" s="98" t="str">
        <f>Source!H42</f>
        <v>м3</v>
      </c>
      <c r="D25" s="99">
        <f>Source!I42</f>
        <v>-0.016399999999999998</v>
      </c>
      <c r="E25" s="97"/>
    </row>
    <row r="26" spans="1:5" ht="42.75">
      <c r="A26" s="96" t="str">
        <f>Source!E44</f>
        <v>3,5</v>
      </c>
      <c r="B26" s="97" t="str">
        <f>Source!G44</f>
        <v>Канат двойной свивки ТК, конструкции 6х19(1+6+12)+1 о.с., оцинкованный, из проволок марки В, маркировочная группа 1770 н/мм2, диаметр 5,5 мм</v>
      </c>
      <c r="C26" s="98" t="str">
        <f>Source!H44</f>
        <v>10 м</v>
      </c>
      <c r="D26" s="99">
        <f>Source!I44</f>
        <v>-0.082</v>
      </c>
      <c r="E26" s="97"/>
    </row>
    <row r="27" spans="1:5" ht="42.75">
      <c r="A27" s="96" t="str">
        <f>Source!E46</f>
        <v>3,6</v>
      </c>
      <c r="B27" s="97" t="str">
        <f>Source!G46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C27" s="98" t="str">
        <f>Source!H46</f>
        <v>т</v>
      </c>
      <c r="D27" s="99">
        <f>Source!I46</f>
        <v>-0.008199999999999999</v>
      </c>
      <c r="E27" s="97"/>
    </row>
    <row r="28" spans="1:5" ht="14.25">
      <c r="A28" s="96" t="str">
        <f>Source!E48</f>
        <v>3,7</v>
      </c>
      <c r="B28" s="97" t="str">
        <f>Source!G48</f>
        <v>Канат пеньковый пропитанный</v>
      </c>
      <c r="C28" s="98" t="str">
        <f>Source!H48</f>
        <v>т</v>
      </c>
      <c r="D28" s="99">
        <f>Source!I48</f>
        <v>-0.00047149999999999997</v>
      </c>
      <c r="E28" s="97"/>
    </row>
    <row r="29" spans="1:5" ht="16.5">
      <c r="A29" s="155" t="str">
        <f>CONCATENATE("Раздел: ",Source!G82)</f>
        <v>Раздел: Строение 2</v>
      </c>
      <c r="B29" s="155"/>
      <c r="C29" s="155"/>
      <c r="D29" s="155"/>
      <c r="E29" s="155"/>
    </row>
    <row r="30" spans="1:5" ht="42.75">
      <c r="A30" s="96" t="str">
        <f>Source!E86</f>
        <v>4</v>
      </c>
      <c r="B30" s="97" t="str">
        <f>Source!G86</f>
        <v>Установка и разборка внутренних трубчатых инвентарных лесов: при высоте помещений до 6 м</v>
      </c>
      <c r="C30" s="98" t="str">
        <f>Source!H86</f>
        <v>100 м2 горизонтальной проекции</v>
      </c>
      <c r="D30" s="99">
        <f>Source!I86</f>
        <v>0.1</v>
      </c>
      <c r="E30" s="97"/>
    </row>
    <row r="31" spans="1:5" ht="14.25">
      <c r="A31" s="96" t="str">
        <f>Source!E88</f>
        <v>5</v>
      </c>
      <c r="B31" s="97" t="str">
        <f>Source!G88</f>
        <v>Демонтаж фасадного остекления (применительно)</v>
      </c>
      <c r="C31" s="98" t="str">
        <f>Source!H88</f>
        <v>100 м2</v>
      </c>
      <c r="D31" s="99">
        <f>Source!I88</f>
        <v>0.08</v>
      </c>
      <c r="E31" s="97"/>
    </row>
    <row r="32" spans="1:5" ht="14.25">
      <c r="A32" s="96" t="str">
        <f>Source!E90</f>
        <v>5,1</v>
      </c>
      <c r="B32" s="97" t="str">
        <f>Source!G90</f>
        <v>Строительный мусор</v>
      </c>
      <c r="C32" s="98" t="str">
        <f>Source!H90</f>
        <v>т</v>
      </c>
      <c r="D32" s="99">
        <f>Source!I90</f>
        <v>0.2736</v>
      </c>
      <c r="E32" s="97"/>
    </row>
    <row r="33" spans="1:5" ht="28.5">
      <c r="A33" s="96" t="str">
        <f>Source!E92</f>
        <v>6</v>
      </c>
      <c r="B33" s="97" t="str">
        <f>Source!G92</f>
        <v>Демонтаж  блоков из ПВХ в наружных  дверных проемах: площадью проема более 3 м2 (Применительно)</v>
      </c>
      <c r="C33" s="98" t="str">
        <f>Source!H92</f>
        <v>100 м2</v>
      </c>
      <c r="D33" s="99">
        <f>Source!I92</f>
        <v>0.04</v>
      </c>
      <c r="E33" s="97"/>
    </row>
    <row r="34" spans="1:5" ht="28.5">
      <c r="A34" s="96" t="str">
        <f>Source!E94</f>
        <v>7</v>
      </c>
      <c r="B34" s="97" t="str">
        <f>Source!G94</f>
        <v>Монтаж перегородок: из алюминиевых сплавов сборно-разборных с остеклением</v>
      </c>
      <c r="C34" s="98" t="str">
        <f>Source!H94</f>
        <v>100 м2</v>
      </c>
      <c r="D34" s="99">
        <f>Source!I94</f>
        <v>0.35</v>
      </c>
      <c r="E34" s="97"/>
    </row>
    <row r="35" spans="1:5" ht="57">
      <c r="A35" s="96" t="str">
        <f>Source!E96</f>
        <v>7,1</v>
      </c>
      <c r="B35" s="97" t="str">
        <f>Source!G96</f>
        <v>(Д-2) Перегородка наружная 1920х2100 из алюминиевой системы с дверным блоком 1400х2080 (ШхВ) (ручка скоба офисная, замок с цилиндром, шпингалеты на пассивную створку). Заполнение 5м1-10-5м1-10-5м1. Окрашенная в цвет RAL</v>
      </c>
      <c r="C35" s="98" t="str">
        <f>Source!H96</f>
        <v>ШТ</v>
      </c>
      <c r="D35" s="99">
        <f>Source!I96</f>
        <v>2.9999999999999996</v>
      </c>
      <c r="E35" s="97"/>
    </row>
    <row r="36" spans="1:5" ht="42.75">
      <c r="A36" s="96" t="str">
        <f>Source!E98</f>
        <v>7,2</v>
      </c>
      <c r="B36" s="97" t="str">
        <f>Source!G98</f>
        <v>(ПС-1) Внутренняя алюминиевая перегородка светопрозрачная противопожарная EIW-45 6150x4400 (ШхВ) с противопожарным стеклом. Окрашенная в цвет RAL</v>
      </c>
      <c r="C36" s="98" t="str">
        <f>Source!H98</f>
        <v>ШТ</v>
      </c>
      <c r="D36" s="99">
        <f>Source!I98</f>
        <v>1</v>
      </c>
      <c r="E36" s="97"/>
    </row>
    <row r="37" spans="1:5" ht="42.75">
      <c r="A37" s="96" t="str">
        <f>Source!E100</f>
        <v>7,3</v>
      </c>
      <c r="B37" s="97" t="str">
        <f>Source!G100</f>
        <v>(ПС-2) Внутренняя алюминиевая перегородка светопрозрачная противопожарная EIW-45 1700x4400 (ШхВ) с противопожарным стеклом. Окрашенная цвет RAL</v>
      </c>
      <c r="C37" s="98" t="str">
        <f>Source!H100</f>
        <v>ШТ</v>
      </c>
      <c r="D37" s="99">
        <f>Source!I100</f>
        <v>1</v>
      </c>
      <c r="E37" s="97"/>
    </row>
    <row r="38" spans="1:5" ht="42.75">
      <c r="A38" s="96" t="str">
        <f>Source!E102</f>
        <v>7,4</v>
      </c>
      <c r="B38" s="97" t="str">
        <f>Source!G102</f>
        <v>Элементы конструктивные зданий и сооружений с преобладанием горячекатаных профилей, средняя масса сборочной единицы от 0,1 до 0,5 т</v>
      </c>
      <c r="C38" s="98" t="str">
        <f>Source!H102</f>
        <v>т</v>
      </c>
      <c r="D38" s="99">
        <f>Source!I102</f>
        <v>-0.006999999999999999</v>
      </c>
      <c r="E38" s="97"/>
    </row>
    <row r="39" spans="1:5" ht="42.75">
      <c r="A39" s="96" t="str">
        <f>Source!E104</f>
        <v>7,5</v>
      </c>
      <c r="B39" s="97" t="str">
        <f>Source!G104</f>
        <v>Канат двойной свивки ТК, конструкции 6х19(1+6+12)+1 о.с., оцинкованный, из проволок марки В, маркировочная группа 1770 н/мм2, диаметр 5,5 мм</v>
      </c>
      <c r="C39" s="98" t="str">
        <f>Source!H104</f>
        <v>10 м</v>
      </c>
      <c r="D39" s="99">
        <f>Source!I104</f>
        <v>-0.07</v>
      </c>
      <c r="E39" s="97"/>
    </row>
    <row r="40" spans="1:5" ht="28.5">
      <c r="A40" s="96" t="str">
        <f>Source!E106</f>
        <v>7,6</v>
      </c>
      <c r="B40" s="97" t="str">
        <f>Source!G106</f>
        <v>Бруски обрезные, хвойных пород, длина 4-6,5 м, ширина 75-150 мм, толщина 40-75 мм, сорт I</v>
      </c>
      <c r="C40" s="98" t="str">
        <f>Source!H106</f>
        <v>м3</v>
      </c>
      <c r="D40" s="99">
        <f>Source!I106</f>
        <v>-0.013999999999999999</v>
      </c>
      <c r="E40" s="97"/>
    </row>
    <row r="41" spans="1:5" ht="14.25">
      <c r="A41" s="96" t="str">
        <f>Source!E108</f>
        <v>7,7</v>
      </c>
      <c r="B41" s="97" t="str">
        <f>Source!G108</f>
        <v>Канат пеньковый пропитанный</v>
      </c>
      <c r="C41" s="98" t="str">
        <f>Source!H108</f>
        <v>т</v>
      </c>
      <c r="D41" s="99">
        <f>Source!I108</f>
        <v>-0.000403</v>
      </c>
      <c r="E41" s="97"/>
    </row>
    <row r="42" spans="1:5" ht="28.5">
      <c r="A42" s="96" t="str">
        <f>Source!E110</f>
        <v>8</v>
      </c>
      <c r="B42" s="97" t="str">
        <f>Source!G110</f>
        <v>Демонтаж дверных коробок: в каменных стенах с отбивкой штукатурки в откосах</v>
      </c>
      <c r="C42" s="98" t="str">
        <f>Source!H110</f>
        <v>100 ШТ</v>
      </c>
      <c r="D42" s="99">
        <f>Source!I110</f>
        <v>0.01</v>
      </c>
      <c r="E42" s="97"/>
    </row>
    <row r="43" spans="1:5" ht="14.25">
      <c r="A43" s="96" t="str">
        <f>Source!E112</f>
        <v>8,1</v>
      </c>
      <c r="B43" s="97" t="str">
        <f>Source!G112</f>
        <v>Строительный мусор</v>
      </c>
      <c r="C43" s="98" t="str">
        <f>Source!H112</f>
        <v>т</v>
      </c>
      <c r="D43" s="99">
        <f>Source!I112</f>
        <v>0.105</v>
      </c>
      <c r="E43" s="97"/>
    </row>
    <row r="44" spans="1:5" ht="14.25">
      <c r="A44" s="96" t="str">
        <f>Source!E114</f>
        <v>9</v>
      </c>
      <c r="B44" s="97" t="str">
        <f>Source!G114</f>
        <v>Установка противопожарных дверей: двупольных глухих</v>
      </c>
      <c r="C44" s="98" t="str">
        <f>Source!H114</f>
        <v>м2</v>
      </c>
      <c r="D44" s="99">
        <f>Source!I114</f>
        <v>2.34</v>
      </c>
      <c r="E44" s="97"/>
    </row>
    <row r="45" spans="1:5" ht="28.5">
      <c r="A45" s="96" t="str">
        <f>Source!E116</f>
        <v>9,1</v>
      </c>
      <c r="B45" s="97" t="str">
        <f>Source!G116</f>
        <v>(Д-1)  Дверь металлическая 1300х1800, ДПМ-02 EI60, нажимной гарнитур, замок, цилиндр ключ-ключ, доводчик на одну створку, шпингалеты (2шт).</v>
      </c>
      <c r="C45" s="98" t="str">
        <f>Source!H116</f>
        <v>ШТ</v>
      </c>
      <c r="D45" s="99">
        <f>Source!I116</f>
        <v>0.999999</v>
      </c>
      <c r="E45" s="97"/>
    </row>
    <row r="46" spans="1:5" ht="16.5">
      <c r="A46" s="155" t="str">
        <f>CONCATENATE("Раздел: ",Source!G149)</f>
        <v>Раздел: Разные работы</v>
      </c>
      <c r="B46" s="155"/>
      <c r="C46" s="155"/>
      <c r="D46" s="155"/>
      <c r="E46" s="155"/>
    </row>
    <row r="47" spans="1:5" ht="28.5">
      <c r="A47" s="96" t="str">
        <f>Source!E153</f>
        <v>10</v>
      </c>
      <c r="B47" s="97" t="str">
        <f>Source!G153</f>
        <v>Погрузочные работы при автомобильных перевозках мусора строительного с погрузкой вручную</v>
      </c>
      <c r="C47" s="98" t="str">
        <f>Source!H153</f>
        <v>1 Т ГРУЗА</v>
      </c>
      <c r="D47" s="99">
        <f>Source!I153</f>
        <v>0.52</v>
      </c>
      <c r="E47" s="97"/>
    </row>
    <row r="48" spans="1:5" ht="28.5">
      <c r="A48" s="92" t="str">
        <f>Source!E155</f>
        <v>11</v>
      </c>
      <c r="B48" s="93" t="str">
        <f>Source!G155</f>
        <v>Перевозка грузов I класса автомобилями бортовыми грузоподъемностью до 5 т на расстояние: до 63 км</v>
      </c>
      <c r="C48" s="94" t="str">
        <f>Source!H155</f>
        <v>1 Т ГРУЗА</v>
      </c>
      <c r="D48" s="95">
        <f>Source!I155</f>
        <v>0.52</v>
      </c>
      <c r="E48" s="93"/>
    </row>
    <row r="51" spans="1:5" ht="15">
      <c r="A51" s="39" t="s">
        <v>510</v>
      </c>
      <c r="B51" s="39"/>
      <c r="C51" s="39" t="s">
        <v>511</v>
      </c>
      <c r="D51" s="39"/>
      <c r="E51" s="39"/>
    </row>
  </sheetData>
  <sheetProtection/>
  <mergeCells count="8">
    <mergeCell ref="A29:E29"/>
    <mergeCell ref="A46:E46"/>
    <mergeCell ref="C5:D5"/>
    <mergeCell ref="C7:D7"/>
    <mergeCell ref="A11:D11"/>
    <mergeCell ref="A12:D12"/>
    <mergeCell ref="A16:E16"/>
    <mergeCell ref="A17:E17"/>
  </mergeCells>
  <printOptions/>
  <pageMargins left="0.4" right="0.2" top="0.2" bottom="0.4" header="0.2" footer="0.2"/>
  <pageSetup fitToHeight="0" fitToWidth="1" orientation="portrait" paperSize="9" scale="76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t="s">
        <v>536</v>
      </c>
      <c r="B1" t="s">
        <v>537</v>
      </c>
      <c r="C1" t="s">
        <v>538</v>
      </c>
      <c r="D1" t="s">
        <v>539</v>
      </c>
      <c r="E1" t="s">
        <v>540</v>
      </c>
      <c r="F1" t="s">
        <v>541</v>
      </c>
      <c r="G1" t="s">
        <v>542</v>
      </c>
      <c r="H1" t="s">
        <v>543</v>
      </c>
      <c r="I1" t="s">
        <v>544</v>
      </c>
      <c r="J1" t="s">
        <v>545</v>
      </c>
      <c r="K1" t="s">
        <v>546</v>
      </c>
      <c r="L1" t="s">
        <v>547</v>
      </c>
    </row>
    <row r="2" spans="1:12" ht="12.7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  <c r="K2">
        <v>1</v>
      </c>
      <c r="L2">
        <v>50961513</v>
      </c>
    </row>
    <row r="4" spans="1:24" ht="12.75">
      <c r="A4" t="s">
        <v>512</v>
      </c>
      <c r="B4" t="s">
        <v>513</v>
      </c>
      <c r="C4" t="s">
        <v>514</v>
      </c>
      <c r="D4" t="s">
        <v>515</v>
      </c>
      <c r="E4" t="s">
        <v>516</v>
      </c>
      <c r="F4" t="s">
        <v>517</v>
      </c>
      <c r="G4" t="s">
        <v>518</v>
      </c>
      <c r="H4" t="s">
        <v>519</v>
      </c>
      <c r="I4" t="s">
        <v>520</v>
      </c>
      <c r="J4" t="s">
        <v>521</v>
      </c>
      <c r="K4" t="s">
        <v>522</v>
      </c>
      <c r="L4" t="s">
        <v>523</v>
      </c>
      <c r="M4" t="s">
        <v>524</v>
      </c>
      <c r="N4" t="s">
        <v>525</v>
      </c>
      <c r="O4" t="s">
        <v>526</v>
      </c>
      <c r="P4" t="s">
        <v>527</v>
      </c>
      <c r="Q4" t="s">
        <v>528</v>
      </c>
      <c r="R4" t="s">
        <v>529</v>
      </c>
      <c r="S4" t="s">
        <v>530</v>
      </c>
      <c r="T4" t="s">
        <v>531</v>
      </c>
      <c r="U4" t="s">
        <v>532</v>
      </c>
      <c r="V4" t="s">
        <v>533</v>
      </c>
      <c r="W4" t="s">
        <v>534</v>
      </c>
      <c r="X4" t="s">
        <v>535</v>
      </c>
    </row>
    <row r="6" spans="1:7" ht="12.75">
      <c r="A6">
        <f>Source!A20</f>
        <v>3</v>
      </c>
      <c r="B6">
        <v>20</v>
      </c>
      <c r="G6" t="str">
        <f>Source!G20</f>
        <v>Реализация выполнения работ по обеспечению пожарной безопастности объекта ИПУ РАН</v>
      </c>
    </row>
    <row r="7" spans="1:7" ht="12.75">
      <c r="A7">
        <f>Source!A24</f>
        <v>4</v>
      </c>
      <c r="B7">
        <v>24</v>
      </c>
      <c r="G7" t="str">
        <f>Source!G24</f>
        <v>Строение 1</v>
      </c>
    </row>
    <row r="8" spans="1:24" ht="12.75">
      <c r="A8">
        <v>20</v>
      </c>
      <c r="B8">
        <v>12</v>
      </c>
      <c r="C8">
        <v>3</v>
      </c>
      <c r="D8">
        <v>0</v>
      </c>
      <c r="E8">
        <f>SmtRes!AV12</f>
        <v>0</v>
      </c>
      <c r="F8" t="str">
        <f>SmtRes!I12</f>
        <v>11.2.13.06-0011</v>
      </c>
      <c r="G8" t="str">
        <f>SmtRes!K12</f>
        <v>Щиты настила, все толщины</v>
      </c>
      <c r="H8" t="str">
        <f>SmtRes!O12</f>
        <v>м2</v>
      </c>
      <c r="I8">
        <f>SmtRes!Y12*Source!I29</f>
        <v>0.77</v>
      </c>
      <c r="J8">
        <f>SmtRes!AO12</f>
        <v>1</v>
      </c>
      <c r="K8">
        <f>SmtRes!AE12</f>
        <v>35.22</v>
      </c>
      <c r="L8">
        <f>SmtRes!DB12</f>
        <v>193.71</v>
      </c>
      <c r="M8">
        <f>ROUND(ROUND(L8*Source!I29,6)*1,2)</f>
        <v>27.12</v>
      </c>
      <c r="N8">
        <f>SmtRes!AA12</f>
        <v>431.45</v>
      </c>
      <c r="O8">
        <f>ROUND(ROUND(L8*Source!I29,6)*SmtRes!DA12,2)</f>
        <v>332.21</v>
      </c>
      <c r="P8">
        <f>SmtRes!AG12</f>
        <v>0</v>
      </c>
      <c r="Q8">
        <f>SmtRes!DC12</f>
        <v>0</v>
      </c>
      <c r="R8">
        <f>ROUND(ROUND(Q8*Source!I29,6)*1,2)</f>
        <v>0</v>
      </c>
      <c r="S8">
        <f>SmtRes!AC12</f>
        <v>0</v>
      </c>
      <c r="T8">
        <f>ROUND(ROUND(Q8*Source!I29,6)*SmtRes!AK12,2)</f>
        <v>0</v>
      </c>
      <c r="U8">
        <f>SmtRes!X12</f>
        <v>-1448376696</v>
      </c>
      <c r="V8">
        <v>-894703423</v>
      </c>
      <c r="W8">
        <v>-816233235</v>
      </c>
      <c r="X8">
        <v>3</v>
      </c>
    </row>
    <row r="9" spans="1:24" ht="12.75">
      <c r="A9">
        <v>20</v>
      </c>
      <c r="B9">
        <v>11</v>
      </c>
      <c r="C9">
        <v>3</v>
      </c>
      <c r="D9">
        <v>0</v>
      </c>
      <c r="E9">
        <f>SmtRes!AV11</f>
        <v>0</v>
      </c>
      <c r="F9" t="str">
        <f>SmtRes!I11</f>
        <v>01.7.16.02-0003</v>
      </c>
      <c r="G9" t="str">
        <f>SmtRes!K11</f>
        <v>Детали стальных трубчатых лесов, укомплектованные пробками, крючками и хомутами, окрашенные</v>
      </c>
      <c r="H9" t="str">
        <f>SmtRes!O11</f>
        <v>т</v>
      </c>
      <c r="I9">
        <f>SmtRes!Y11*Source!I29</f>
        <v>0.00406</v>
      </c>
      <c r="J9">
        <f>SmtRes!AO11</f>
        <v>1</v>
      </c>
      <c r="K9">
        <f>SmtRes!AE11</f>
        <v>6102</v>
      </c>
      <c r="L9">
        <f>SmtRes!DB11</f>
        <v>176.96</v>
      </c>
      <c r="M9">
        <f>ROUND(ROUND(L9*Source!I29,6)*1,2)</f>
        <v>24.77</v>
      </c>
      <c r="N9">
        <f>SmtRes!AA11</f>
        <v>36367.92</v>
      </c>
      <c r="O9">
        <f>ROUND(ROUND(L9*Source!I29,6)*SmtRes!DA11,2)</f>
        <v>147.66</v>
      </c>
      <c r="P9">
        <f>SmtRes!AG11</f>
        <v>0</v>
      </c>
      <c r="Q9">
        <f>SmtRes!DC11</f>
        <v>0</v>
      </c>
      <c r="R9">
        <f>ROUND(ROUND(Q9*Source!I29,6)*1,2)</f>
        <v>0</v>
      </c>
      <c r="S9">
        <f>SmtRes!AC11</f>
        <v>0</v>
      </c>
      <c r="T9">
        <f>ROUND(ROUND(Q9*Source!I29,6)*SmtRes!AK11,2)</f>
        <v>0</v>
      </c>
      <c r="U9">
        <f>SmtRes!X11</f>
        <v>-1785850303</v>
      </c>
      <c r="V9">
        <v>-1160329382</v>
      </c>
      <c r="W9">
        <v>-1031119490</v>
      </c>
      <c r="X9">
        <v>3</v>
      </c>
    </row>
    <row r="10" spans="1:24" ht="12.75">
      <c r="A10">
        <v>20</v>
      </c>
      <c r="B10">
        <v>10</v>
      </c>
      <c r="C10">
        <v>3</v>
      </c>
      <c r="D10">
        <v>0</v>
      </c>
      <c r="E10">
        <f>SmtRes!AV10</f>
        <v>0</v>
      </c>
      <c r="F10" t="str">
        <f>SmtRes!I10</f>
        <v>01.7.16.02-0001</v>
      </c>
      <c r="G10" t="str">
        <f>SmtRes!K10</f>
        <v>Детали деревянные лесов из пиломатериалов хвойных пород</v>
      </c>
      <c r="H10" t="str">
        <f>SmtRes!O10</f>
        <v>м3</v>
      </c>
      <c r="I10">
        <f>SmtRes!Y10*Source!I29</f>
        <v>0.0011200000000000001</v>
      </c>
      <c r="J10">
        <f>SmtRes!AO10</f>
        <v>1</v>
      </c>
      <c r="K10">
        <f>SmtRes!AE10</f>
        <v>1100</v>
      </c>
      <c r="L10">
        <f>SmtRes!DB10</f>
        <v>8.8</v>
      </c>
      <c r="M10">
        <f>ROUND(ROUND(L10*Source!I29,6)*1,2)</f>
        <v>1.23</v>
      </c>
      <c r="N10">
        <f>SmtRes!AA10</f>
        <v>4895</v>
      </c>
      <c r="O10">
        <f>ROUND(ROUND(L10*Source!I29,6)*SmtRes!DA10,2)</f>
        <v>5.48</v>
      </c>
      <c r="P10">
        <f>SmtRes!AG10</f>
        <v>0</v>
      </c>
      <c r="Q10">
        <f>SmtRes!DC10</f>
        <v>0</v>
      </c>
      <c r="R10">
        <f>ROUND(ROUND(Q10*Source!I29,6)*1,2)</f>
        <v>0</v>
      </c>
      <c r="S10">
        <f>SmtRes!AC10</f>
        <v>0</v>
      </c>
      <c r="T10">
        <f>ROUND(ROUND(Q10*Source!I29,6)*SmtRes!AK10,2)</f>
        <v>0</v>
      </c>
      <c r="U10">
        <f>SmtRes!X10</f>
        <v>-1247958079</v>
      </c>
      <c r="V10">
        <v>259795051</v>
      </c>
      <c r="W10">
        <v>-296401705</v>
      </c>
      <c r="X10">
        <v>3</v>
      </c>
    </row>
    <row r="11" spans="1:24" ht="12.75">
      <c r="A11">
        <v>20</v>
      </c>
      <c r="B11">
        <v>9</v>
      </c>
      <c r="C11">
        <v>2</v>
      </c>
      <c r="D11">
        <v>0</v>
      </c>
      <c r="E11">
        <f>SmtRes!AV9</f>
        <v>0</v>
      </c>
      <c r="F11" t="str">
        <f>SmtRes!I9</f>
        <v>91.14.02-001</v>
      </c>
      <c r="G11" t="str">
        <f>SmtRes!K9</f>
        <v>Автомобили бортовые, грузоподъемность до 5 т</v>
      </c>
      <c r="H11" t="str">
        <f>SmtRes!O9</f>
        <v>маш.-ч</v>
      </c>
      <c r="I11">
        <f>SmtRes!Y9*Source!I29</f>
        <v>0.0315</v>
      </c>
      <c r="J11">
        <f>SmtRes!AO9</f>
        <v>1</v>
      </c>
      <c r="K11">
        <f>SmtRes!AF9</f>
        <v>65.71</v>
      </c>
      <c r="L11">
        <f>SmtRes!DB9</f>
        <v>14.7875</v>
      </c>
      <c r="M11">
        <f>ROUND(ROUND(L11*Source!I29,6)*1,2)</f>
        <v>2.07</v>
      </c>
      <c r="N11">
        <f>SmtRes!AB9</f>
        <v>758.95</v>
      </c>
      <c r="O11">
        <f>ROUND(ROUND(L11*Source!I29,6)*SmtRes!DA9,2)</f>
        <v>23.91</v>
      </c>
      <c r="P11">
        <f>SmtRes!AG9</f>
        <v>11.6</v>
      </c>
      <c r="Q11">
        <f>SmtRes!DC9</f>
        <v>2.6125</v>
      </c>
      <c r="R11">
        <f>ROUND(ROUND(Q11*Source!I29,6)*1,2)</f>
        <v>0.37</v>
      </c>
      <c r="S11">
        <f>SmtRes!AC9</f>
        <v>394.52</v>
      </c>
      <c r="T11">
        <f>ROUND(ROUND(Q11*Source!I29,6)*SmtRes!AK9,2)</f>
        <v>12.44</v>
      </c>
      <c r="U11">
        <f>SmtRes!X9</f>
        <v>-1057454432</v>
      </c>
      <c r="V11">
        <v>1099676110</v>
      </c>
      <c r="W11">
        <v>-44216034</v>
      </c>
      <c r="X11">
        <v>2</v>
      </c>
    </row>
    <row r="12" spans="1:24" ht="12.75">
      <c r="A12">
        <v>20</v>
      </c>
      <c r="B12">
        <v>7</v>
      </c>
      <c r="C12">
        <v>1</v>
      </c>
      <c r="D12">
        <v>0</v>
      </c>
      <c r="E12">
        <f>SmtRes!AV7</f>
        <v>1</v>
      </c>
      <c r="F12" t="str">
        <f>SmtRes!I7</f>
        <v>1-100-31</v>
      </c>
      <c r="G12" t="str">
        <f>SmtRes!K7</f>
        <v>Рабочий среднего разряда 3.1</v>
      </c>
      <c r="H12" t="str">
        <f>SmtRes!O7</f>
        <v>чел.-ч.</v>
      </c>
      <c r="I12">
        <f>SmtRes!Y7*Source!I29</f>
        <v>11.302200000000001</v>
      </c>
      <c r="J12">
        <f>SmtRes!AO7</f>
        <v>1</v>
      </c>
      <c r="K12">
        <f>SmtRes!AH7</f>
        <v>8.64</v>
      </c>
      <c r="L12">
        <f>SmtRes!DB7</f>
        <v>697.5095</v>
      </c>
      <c r="M12">
        <f>ROUND(ROUND(L12*Source!I29,6)*1,2)</f>
        <v>97.65</v>
      </c>
      <c r="N12">
        <f>SmtRes!AD7</f>
        <v>8.64</v>
      </c>
      <c r="O12">
        <f>ROUND(ROUND(L12*Source!I29,6)*SmtRes!DA7,2)</f>
        <v>97.65</v>
      </c>
      <c r="P12">
        <f>SmtRes!AG7</f>
        <v>0</v>
      </c>
      <c r="Q12">
        <f>SmtRes!DC7</f>
        <v>0</v>
      </c>
      <c r="R12">
        <f>ROUND(ROUND(Q12*Source!I29,6)*1,2)</f>
        <v>0</v>
      </c>
      <c r="S12">
        <f>SmtRes!AC7</f>
        <v>0</v>
      </c>
      <c r="T12">
        <f>ROUND(ROUND(Q12*Source!I29,6)*SmtRes!AK7,2)</f>
        <v>0</v>
      </c>
      <c r="U12">
        <f>SmtRes!X7</f>
        <v>1010519658</v>
      </c>
      <c r="V12">
        <v>-1488350428</v>
      </c>
      <c r="W12">
        <v>1466984780</v>
      </c>
      <c r="X12">
        <v>1</v>
      </c>
    </row>
    <row r="13" spans="1:24" ht="12.75">
      <c r="A13">
        <v>20</v>
      </c>
      <c r="B13">
        <v>19</v>
      </c>
      <c r="C13">
        <v>2</v>
      </c>
      <c r="D13">
        <v>0</v>
      </c>
      <c r="E13">
        <f>SmtRes!AV19</f>
        <v>0</v>
      </c>
      <c r="F13" t="str">
        <f>SmtRes!I19</f>
        <v>91.06.06-048</v>
      </c>
      <c r="G13" t="str">
        <f>SmtRes!K19</f>
        <v>Подъемники одномачтовые, грузоподъемность до 500 кг, высота подъема 45 м</v>
      </c>
      <c r="H13" t="str">
        <f>SmtRes!O19</f>
        <v>маш.-ч</v>
      </c>
      <c r="I13">
        <f>SmtRes!Y19*Source!I31</f>
        <v>0.037200000000000004</v>
      </c>
      <c r="J13">
        <f>SmtRes!AO19</f>
        <v>1</v>
      </c>
      <c r="K13">
        <f>SmtRes!AF19</f>
        <v>31.26</v>
      </c>
      <c r="L13">
        <f>SmtRes!DB19</f>
        <v>29.07</v>
      </c>
      <c r="M13">
        <f>ROUND(ROUND(L13*Source!I31,6)*1,2)</f>
        <v>1.16</v>
      </c>
      <c r="N13">
        <f>SmtRes!AB19</f>
        <v>474.53</v>
      </c>
      <c r="O13">
        <f>ROUND(ROUND(L13*Source!I31,6)*SmtRes!DA19,2)</f>
        <v>17.65</v>
      </c>
      <c r="P13">
        <f>SmtRes!AG19</f>
        <v>13.5</v>
      </c>
      <c r="Q13">
        <f>SmtRes!DC19</f>
        <v>12.56</v>
      </c>
      <c r="R13">
        <f>ROUND(ROUND(Q13*Source!I31,6)*1,2)</f>
        <v>0.5</v>
      </c>
      <c r="S13">
        <f>SmtRes!AC19</f>
        <v>459.14</v>
      </c>
      <c r="T13">
        <f>ROUND(ROUND(Q13*Source!I31,6)*SmtRes!AK19,2)</f>
        <v>17.09</v>
      </c>
      <c r="U13">
        <f>SmtRes!X19</f>
        <v>-1360328220</v>
      </c>
      <c r="V13">
        <v>-1418040551</v>
      </c>
      <c r="W13">
        <v>522838803</v>
      </c>
      <c r="X13">
        <v>2</v>
      </c>
    </row>
    <row r="14" spans="1:24" ht="12.75">
      <c r="A14">
        <v>20</v>
      </c>
      <c r="B14">
        <v>17</v>
      </c>
      <c r="C14">
        <v>1</v>
      </c>
      <c r="D14">
        <v>0</v>
      </c>
      <c r="E14">
        <f>SmtRes!AV17</f>
        <v>1</v>
      </c>
      <c r="F14" t="str">
        <f>SmtRes!I17</f>
        <v>1-100-23</v>
      </c>
      <c r="G14" t="str">
        <f>SmtRes!K17</f>
        <v>Рабочий среднего разряда 2.3</v>
      </c>
      <c r="H14" t="str">
        <f>SmtRes!O17</f>
        <v>чел.-ч.</v>
      </c>
      <c r="I14">
        <f>SmtRes!Y17*Source!I31</f>
        <v>1.8444</v>
      </c>
      <c r="J14">
        <f>SmtRes!AO17</f>
        <v>1</v>
      </c>
      <c r="K14">
        <f>SmtRes!AH17</f>
        <v>8.02</v>
      </c>
      <c r="L14">
        <f>SmtRes!DB17</f>
        <v>369.8</v>
      </c>
      <c r="M14">
        <f>ROUND(ROUND(L14*Source!I31,6)*1,2)</f>
        <v>14.79</v>
      </c>
      <c r="N14">
        <f>SmtRes!AD17</f>
        <v>8.02</v>
      </c>
      <c r="O14">
        <f>ROUND(ROUND(L14*Source!I31,6)*SmtRes!DA17,2)</f>
        <v>14.79</v>
      </c>
      <c r="P14">
        <f>SmtRes!AG17</f>
        <v>0</v>
      </c>
      <c r="Q14">
        <f>SmtRes!DC17</f>
        <v>0</v>
      </c>
      <c r="R14">
        <f>ROUND(ROUND(Q14*Source!I31,6)*1,2)</f>
        <v>0</v>
      </c>
      <c r="S14">
        <f>SmtRes!AC17</f>
        <v>0</v>
      </c>
      <c r="T14">
        <f>ROUND(ROUND(Q14*Source!I31,6)*SmtRes!AK17,2)</f>
        <v>0</v>
      </c>
      <c r="U14">
        <f>SmtRes!X17</f>
        <v>-228054128</v>
      </c>
      <c r="V14">
        <v>-1057066998</v>
      </c>
      <c r="W14">
        <v>-1107782587</v>
      </c>
      <c r="X14">
        <v>1</v>
      </c>
    </row>
    <row r="15" spans="1:24" ht="12.75">
      <c r="A15">
        <v>20</v>
      </c>
      <c r="B15">
        <v>37</v>
      </c>
      <c r="C15">
        <v>2</v>
      </c>
      <c r="D15">
        <v>0</v>
      </c>
      <c r="E15">
        <f>SmtRes!AV37</f>
        <v>0</v>
      </c>
      <c r="F15" t="str">
        <f>SmtRes!I37</f>
        <v>91.14.02-001</v>
      </c>
      <c r="G15" t="str">
        <f>SmtRes!K37</f>
        <v>Автомобили бортовые, грузоподъемность до 5 т</v>
      </c>
      <c r="H15" t="str">
        <f>SmtRes!O37</f>
        <v>маш.-ч</v>
      </c>
      <c r="I15">
        <f>SmtRes!Y37*Source!I35</f>
        <v>0.14350000000000002</v>
      </c>
      <c r="J15">
        <f>SmtRes!AO37</f>
        <v>1</v>
      </c>
      <c r="K15">
        <f>SmtRes!AF37</f>
        <v>65.71</v>
      </c>
      <c r="L15">
        <f>SmtRes!DB37</f>
        <v>23</v>
      </c>
      <c r="M15">
        <f>ROUND(ROUND(L15*Source!I35,6)*1,2)</f>
        <v>9.43</v>
      </c>
      <c r="N15">
        <f>SmtRes!AB37</f>
        <v>758.95</v>
      </c>
      <c r="O15">
        <f>ROUND(ROUND(L15*Source!I35,6)*SmtRes!DA37,2)</f>
        <v>108.92</v>
      </c>
      <c r="P15">
        <f>SmtRes!AG37</f>
        <v>11.6</v>
      </c>
      <c r="Q15">
        <f>SmtRes!DC37</f>
        <v>4.0625</v>
      </c>
      <c r="R15">
        <f>ROUND(ROUND(Q15*Source!I35,6)*1,2)</f>
        <v>1.67</v>
      </c>
      <c r="S15">
        <f>SmtRes!AC37</f>
        <v>394.52</v>
      </c>
      <c r="T15">
        <f>ROUND(ROUND(Q15*Source!I35,6)*SmtRes!AK37,2)</f>
        <v>56.65</v>
      </c>
      <c r="U15">
        <f>SmtRes!X37</f>
        <v>-841254546</v>
      </c>
      <c r="V15">
        <v>786429305</v>
      </c>
      <c r="W15">
        <v>1719692319</v>
      </c>
      <c r="X15">
        <v>2</v>
      </c>
    </row>
    <row r="16" spans="1:24" ht="12.75">
      <c r="A16">
        <v>20</v>
      </c>
      <c r="B16">
        <v>36</v>
      </c>
      <c r="C16">
        <v>2</v>
      </c>
      <c r="D16">
        <v>0</v>
      </c>
      <c r="E16">
        <f>SmtRes!AV36</f>
        <v>0</v>
      </c>
      <c r="F16" t="str">
        <f>SmtRes!I36</f>
        <v>91.06.03-062</v>
      </c>
      <c r="G16" t="str">
        <f>SmtRes!K36</f>
        <v>Лебедки электрические тяговым усилием до 31,39 кН (3,2 т)</v>
      </c>
      <c r="H16" t="str">
        <f>SmtRes!O36</f>
        <v>маш.-ч</v>
      </c>
      <c r="I16">
        <f>SmtRes!Y36*Source!I35</f>
        <v>22.498749999999998</v>
      </c>
      <c r="J16">
        <f>SmtRes!AO36</f>
        <v>1</v>
      </c>
      <c r="K16">
        <f>SmtRes!AF36</f>
        <v>6.9</v>
      </c>
      <c r="L16">
        <f>SmtRes!DB36</f>
        <v>378.6375</v>
      </c>
      <c r="M16">
        <f>ROUND(ROUND(L16*Source!I35,6)*1,2)</f>
        <v>155.24</v>
      </c>
      <c r="N16">
        <f>SmtRes!AB36</f>
        <v>32.5</v>
      </c>
      <c r="O16">
        <f>ROUND(ROUND(L16*Source!I35,6)*SmtRes!DA36,2)</f>
        <v>731.19</v>
      </c>
      <c r="P16">
        <f>SmtRes!AG36</f>
        <v>0</v>
      </c>
      <c r="Q16">
        <f>SmtRes!DC36</f>
        <v>0</v>
      </c>
      <c r="R16">
        <f>ROUND(ROUND(Q16*Source!I35,6)*1,2)</f>
        <v>0</v>
      </c>
      <c r="S16">
        <f>SmtRes!AC36</f>
        <v>0</v>
      </c>
      <c r="T16">
        <f>ROUND(ROUND(Q16*Source!I35,6)*SmtRes!AK36,2)</f>
        <v>0</v>
      </c>
      <c r="U16">
        <f>SmtRes!X36</f>
        <v>-1595939894</v>
      </c>
      <c r="V16">
        <v>804237458</v>
      </c>
      <c r="W16">
        <v>1538099167</v>
      </c>
      <c r="X16">
        <v>2</v>
      </c>
    </row>
    <row r="17" spans="1:24" ht="12.75">
      <c r="A17">
        <v>20</v>
      </c>
      <c r="B17">
        <v>35</v>
      </c>
      <c r="C17">
        <v>2</v>
      </c>
      <c r="D17">
        <v>0</v>
      </c>
      <c r="E17">
        <f>SmtRes!AV35</f>
        <v>0</v>
      </c>
      <c r="F17" t="str">
        <f>SmtRes!I35</f>
        <v>91.05.05-015</v>
      </c>
      <c r="G17" t="str">
        <f>SmtRes!K35</f>
        <v>Краны на автомобильном ходу, грузоподъемность 16 т</v>
      </c>
      <c r="H17" t="str">
        <f>SmtRes!O35</f>
        <v>маш.-ч</v>
      </c>
      <c r="I17">
        <f>SmtRes!Y35*Source!I35</f>
        <v>1.1275</v>
      </c>
      <c r="J17">
        <f>SmtRes!AO35</f>
        <v>1</v>
      </c>
      <c r="K17">
        <f>SmtRes!AF35</f>
        <v>115.4</v>
      </c>
      <c r="L17">
        <f>SmtRes!DB35</f>
        <v>317.35</v>
      </c>
      <c r="M17">
        <f>ROUND(ROUND(L17*Source!I35,6)*1,2)</f>
        <v>130.11</v>
      </c>
      <c r="N17">
        <f>SmtRes!AB35</f>
        <v>1096.3</v>
      </c>
      <c r="O17">
        <f>ROUND(ROUND(L17*Source!I35,6)*SmtRes!DA35,2)</f>
        <v>1236.08</v>
      </c>
      <c r="P17">
        <f>SmtRes!AG35</f>
        <v>13.5</v>
      </c>
      <c r="Q17">
        <f>SmtRes!DC35</f>
        <v>37.125</v>
      </c>
      <c r="R17">
        <f>ROUND(ROUND(Q17*Source!I35,6)*1,2)</f>
        <v>15.22</v>
      </c>
      <c r="S17">
        <f>SmtRes!AC35</f>
        <v>459.14</v>
      </c>
      <c r="T17">
        <f>ROUND(ROUND(Q17*Source!I35,6)*SmtRes!AK35,2)</f>
        <v>517.67</v>
      </c>
      <c r="U17">
        <f>SmtRes!X35</f>
        <v>-1346461524</v>
      </c>
      <c r="V17">
        <v>416507353</v>
      </c>
      <c r="W17">
        <v>5399079</v>
      </c>
      <c r="X17">
        <v>2</v>
      </c>
    </row>
    <row r="18" spans="1:24" ht="12.75">
      <c r="A18">
        <v>20</v>
      </c>
      <c r="B18">
        <v>33</v>
      </c>
      <c r="C18">
        <v>1</v>
      </c>
      <c r="D18">
        <v>0</v>
      </c>
      <c r="E18">
        <f>SmtRes!AV33</f>
        <v>1</v>
      </c>
      <c r="F18" t="str">
        <f>SmtRes!I33</f>
        <v>1-100-43</v>
      </c>
      <c r="G18" t="str">
        <f>SmtRes!K33</f>
        <v>Рабочий среднего разряда 4.3</v>
      </c>
      <c r="H18" t="str">
        <f>SmtRes!O33</f>
        <v>чел.-ч.</v>
      </c>
      <c r="I18">
        <f>SmtRes!Y33*Source!I35</f>
        <v>140.50699999999998</v>
      </c>
      <c r="J18">
        <f>SmtRes!AO33</f>
        <v>1</v>
      </c>
      <c r="K18">
        <f>SmtRes!AH33</f>
        <v>10.06</v>
      </c>
      <c r="L18">
        <f>SmtRes!DB33</f>
        <v>3447.562</v>
      </c>
      <c r="M18">
        <f>ROUND(ROUND(L18*Source!I35,6)*1,2)</f>
        <v>1413.5</v>
      </c>
      <c r="N18">
        <f>SmtRes!AD33</f>
        <v>10.06</v>
      </c>
      <c r="O18">
        <f>ROUND(ROUND(L18*Source!I35,6)*SmtRes!DA33,2)</f>
        <v>1413.5</v>
      </c>
      <c r="P18">
        <f>SmtRes!AG33</f>
        <v>0</v>
      </c>
      <c r="Q18">
        <f>SmtRes!DC33</f>
        <v>0</v>
      </c>
      <c r="R18">
        <f>ROUND(ROUND(Q18*Source!I35,6)*1,2)</f>
        <v>0</v>
      </c>
      <c r="S18">
        <f>SmtRes!AC33</f>
        <v>0</v>
      </c>
      <c r="T18">
        <f>ROUND(ROUND(Q18*Source!I35,6)*SmtRes!AK33,2)</f>
        <v>0</v>
      </c>
      <c r="U18">
        <f>SmtRes!X33</f>
        <v>687044855</v>
      </c>
      <c r="V18">
        <v>1838218977</v>
      </c>
      <c r="W18">
        <v>2069007811</v>
      </c>
      <c r="X18">
        <v>1</v>
      </c>
    </row>
    <row r="19" spans="1:24" ht="12.75">
      <c r="A19">
        <f>Source!A37</f>
        <v>18</v>
      </c>
      <c r="B19">
        <v>37</v>
      </c>
      <c r="C19">
        <v>3</v>
      </c>
      <c r="D19">
        <f>Source!BI37</f>
        <v>1</v>
      </c>
      <c r="E19">
        <f>Source!FS37</f>
        <v>0</v>
      </c>
      <c r="F19" t="str">
        <f>Source!F37</f>
        <v>Цена Поставщика</v>
      </c>
      <c r="G19" t="str">
        <f>Source!G37</f>
        <v>(Д-6) Перегородка наружная 1920х2100 из алюминиевой системы с дверным блоком 1000х2080 (ШхВ)  (ручка скоба офисная, замок с цилиндром, шпингалеты на пассивную створку). Заполнение 5м1-10-5м1-10-5м1. Окрашенная в цвет RAL</v>
      </c>
      <c r="H19" t="str">
        <f>Source!H37</f>
        <v>ШТ</v>
      </c>
      <c r="I19">
        <f>Source!I37</f>
        <v>0.9999999999999999</v>
      </c>
      <c r="J19">
        <v>1</v>
      </c>
      <c r="K19">
        <f>Source!AC37</f>
        <v>108936.28</v>
      </c>
      <c r="M19">
        <f>ROUND(K19*I19,2)</f>
        <v>108936.28</v>
      </c>
      <c r="N19">
        <f>Source!AC37*IF(Source!BC37&lt;&gt;0,Source!BC37,1)</f>
        <v>108936.28</v>
      </c>
      <c r="O19">
        <f>ROUND(N19*I19,2)</f>
        <v>108936.28</v>
      </c>
      <c r="P19">
        <f>Source!AE37</f>
        <v>0</v>
      </c>
      <c r="R19">
        <f>ROUND(P19*I19,2)</f>
        <v>0</v>
      </c>
      <c r="S19">
        <f>Source!AE37*IF(Source!BS37&lt;&gt;0,Source!BS37,1)</f>
        <v>0</v>
      </c>
      <c r="T19">
        <f>ROUND(S19*I19,2)</f>
        <v>0</v>
      </c>
      <c r="U19">
        <f>Source!GF37</f>
        <v>901786959</v>
      </c>
      <c r="V19">
        <v>117264273</v>
      </c>
      <c r="W19">
        <v>1030940660</v>
      </c>
      <c r="X19">
        <v>3</v>
      </c>
    </row>
    <row r="20" spans="1:24" ht="12.75">
      <c r="A20">
        <f>Source!A39</f>
        <v>18</v>
      </c>
      <c r="B20">
        <v>39</v>
      </c>
      <c r="C20">
        <v>3</v>
      </c>
      <c r="D20">
        <f>Source!BI39</f>
        <v>1</v>
      </c>
      <c r="E20">
        <f>Source!FS39</f>
        <v>0</v>
      </c>
      <c r="F20" t="str">
        <f>Source!F39</f>
        <v>Цена Поставщика</v>
      </c>
      <c r="G20" t="str">
        <f>Source!G39</f>
        <v>(ПС-3) Внутренняя алюминиевая перегородка светопрозрачная противопожарная EIW-45 2250x4400 (ШхВ) с противопожарным стеклом. Окрашенная в цвет RAL</v>
      </c>
      <c r="H20" t="str">
        <f>Source!H39</f>
        <v>ШТ</v>
      </c>
      <c r="I20">
        <f>Source!I39</f>
        <v>0.9999999999999999</v>
      </c>
      <c r="J20">
        <v>1</v>
      </c>
      <c r="K20">
        <f>Source!AC39</f>
        <v>241294.69</v>
      </c>
      <c r="M20">
        <f>ROUND(K20*I20,2)</f>
        <v>241294.69</v>
      </c>
      <c r="N20">
        <f>Source!AC39*IF(Source!BC39&lt;&gt;0,Source!BC39,1)</f>
        <v>241294.69</v>
      </c>
      <c r="O20">
        <f>ROUND(N20*I20,2)</f>
        <v>241294.69</v>
      </c>
      <c r="P20">
        <f>Source!AE39</f>
        <v>0</v>
      </c>
      <c r="R20">
        <f>ROUND(P20*I20,2)</f>
        <v>0</v>
      </c>
      <c r="S20">
        <f>Source!AE39*IF(Source!BS39&lt;&gt;0,Source!BS39,1)</f>
        <v>0</v>
      </c>
      <c r="T20">
        <f>ROUND(S20*I20,2)</f>
        <v>0</v>
      </c>
      <c r="U20">
        <f>Source!GF39</f>
        <v>-1579696575</v>
      </c>
      <c r="V20">
        <v>632688993</v>
      </c>
      <c r="W20">
        <v>1586744123</v>
      </c>
      <c r="X20">
        <v>3</v>
      </c>
    </row>
    <row r="21" spans="1:24" ht="12.75">
      <c r="A21">
        <f>Source!A41</f>
        <v>18</v>
      </c>
      <c r="B21">
        <v>41</v>
      </c>
      <c r="C21">
        <v>3</v>
      </c>
      <c r="D21">
        <f>Source!BI41</f>
        <v>1</v>
      </c>
      <c r="E21">
        <f>Source!FS41</f>
        <v>0</v>
      </c>
      <c r="F21" t="str">
        <f>Source!F41</f>
        <v>Цена Поставщика</v>
      </c>
      <c r="G21" t="str">
        <f>Source!G41</f>
        <v>(ПС-4) Внутренняя алюминиевая перегородка светопрозрачная противопожарная EIW-45 6100x4400 (ШхВ) с противопожарным стеклом. Окрашенная в цвет RAL</v>
      </c>
      <c r="H21" t="str">
        <f>Source!H41</f>
        <v>ШТ</v>
      </c>
      <c r="I21">
        <f>Source!I41</f>
        <v>0.9999999999999999</v>
      </c>
      <c r="J21">
        <v>1</v>
      </c>
      <c r="K21">
        <f>Source!AC41</f>
        <v>587378.89</v>
      </c>
      <c r="M21">
        <f>ROUND(K21*I21,2)</f>
        <v>587378.89</v>
      </c>
      <c r="N21">
        <f>Source!AC41*IF(Source!BC41&lt;&gt;0,Source!BC41,1)</f>
        <v>587378.89</v>
      </c>
      <c r="O21">
        <f>ROUND(N21*I21,2)</f>
        <v>587378.89</v>
      </c>
      <c r="P21">
        <f>Source!AE41</f>
        <v>0</v>
      </c>
      <c r="R21">
        <f>ROUND(P21*I21,2)</f>
        <v>0</v>
      </c>
      <c r="S21">
        <f>Source!AE41*IF(Source!BS41&lt;&gt;0,Source!BS41,1)</f>
        <v>0</v>
      </c>
      <c r="T21">
        <f>ROUND(S21*I21,2)</f>
        <v>0</v>
      </c>
      <c r="U21">
        <f>Source!GF41</f>
        <v>-846146321</v>
      </c>
      <c r="V21">
        <v>559877930</v>
      </c>
      <c r="W21">
        <v>-1215192027</v>
      </c>
      <c r="X21">
        <v>3</v>
      </c>
    </row>
    <row r="22" spans="1:7" ht="12.75">
      <c r="A22">
        <f>Source!A82</f>
        <v>4</v>
      </c>
      <c r="B22">
        <v>82</v>
      </c>
      <c r="G22" t="str">
        <f>Source!G82</f>
        <v>Строение 2</v>
      </c>
    </row>
    <row r="23" spans="1:24" ht="12.75">
      <c r="A23">
        <v>20</v>
      </c>
      <c r="B23">
        <v>56</v>
      </c>
      <c r="C23">
        <v>3</v>
      </c>
      <c r="D23">
        <v>0</v>
      </c>
      <c r="E23">
        <f>SmtRes!AV56</f>
        <v>0</v>
      </c>
      <c r="F23" t="str">
        <f>SmtRes!I56</f>
        <v>11.2.13.06-0011</v>
      </c>
      <c r="G23" t="str">
        <f>SmtRes!K56</f>
        <v>Щиты настила, все толщины</v>
      </c>
      <c r="H23" t="str">
        <f>SmtRes!O56</f>
        <v>м2</v>
      </c>
      <c r="I23">
        <f>SmtRes!Y56*Source!I87</f>
        <v>0.55</v>
      </c>
      <c r="J23">
        <f>SmtRes!AO56</f>
        <v>1</v>
      </c>
      <c r="K23">
        <f>SmtRes!AE56</f>
        <v>35.22</v>
      </c>
      <c r="L23">
        <f>SmtRes!DB56</f>
        <v>193.71</v>
      </c>
      <c r="M23">
        <f>ROUND(ROUND(L23*Source!I87,6)*1,2)</f>
        <v>19.37</v>
      </c>
      <c r="N23">
        <f>SmtRes!AA56</f>
        <v>431.45</v>
      </c>
      <c r="O23">
        <f>ROUND(ROUND(L23*Source!I87,6)*SmtRes!DA56,2)</f>
        <v>237.29</v>
      </c>
      <c r="P23">
        <f>SmtRes!AG56</f>
        <v>0</v>
      </c>
      <c r="Q23">
        <f>SmtRes!DC56</f>
        <v>0</v>
      </c>
      <c r="R23">
        <f>ROUND(ROUND(Q23*Source!I87,6)*1,2)</f>
        <v>0</v>
      </c>
      <c r="S23">
        <f>SmtRes!AC56</f>
        <v>0</v>
      </c>
      <c r="T23">
        <f>ROUND(ROUND(Q23*Source!I87,6)*SmtRes!AK56,2)</f>
        <v>0</v>
      </c>
      <c r="U23">
        <f>SmtRes!X56</f>
        <v>-1448376696</v>
      </c>
      <c r="V23">
        <v>-894703423</v>
      </c>
      <c r="W23">
        <v>-816233235</v>
      </c>
      <c r="X23">
        <v>3</v>
      </c>
    </row>
    <row r="24" spans="1:24" ht="12.75">
      <c r="A24">
        <v>20</v>
      </c>
      <c r="B24">
        <v>55</v>
      </c>
      <c r="C24">
        <v>3</v>
      </c>
      <c r="D24">
        <v>0</v>
      </c>
      <c r="E24">
        <f>SmtRes!AV55</f>
        <v>0</v>
      </c>
      <c r="F24" t="str">
        <f>SmtRes!I55</f>
        <v>01.7.16.02-0003</v>
      </c>
      <c r="G24" t="str">
        <f>SmtRes!K55</f>
        <v>Детали стальных трубчатых лесов, укомплектованные пробками, крючками и хомутами, окрашенные</v>
      </c>
      <c r="H24" t="str">
        <f>SmtRes!O55</f>
        <v>т</v>
      </c>
      <c r="I24">
        <f>SmtRes!Y55*Source!I87</f>
        <v>0.0029000000000000002</v>
      </c>
      <c r="J24">
        <f>SmtRes!AO55</f>
        <v>1</v>
      </c>
      <c r="K24">
        <f>SmtRes!AE55</f>
        <v>6102</v>
      </c>
      <c r="L24">
        <f>SmtRes!DB55</f>
        <v>176.96</v>
      </c>
      <c r="M24">
        <f>ROUND(ROUND(L24*Source!I87,6)*1,2)</f>
        <v>17.7</v>
      </c>
      <c r="N24">
        <f>SmtRes!AA55</f>
        <v>36367.92</v>
      </c>
      <c r="O24">
        <f>ROUND(ROUND(L24*Source!I87,6)*SmtRes!DA55,2)</f>
        <v>105.47</v>
      </c>
      <c r="P24">
        <f>SmtRes!AG55</f>
        <v>0</v>
      </c>
      <c r="Q24">
        <f>SmtRes!DC55</f>
        <v>0</v>
      </c>
      <c r="R24">
        <f>ROUND(ROUND(Q24*Source!I87,6)*1,2)</f>
        <v>0</v>
      </c>
      <c r="S24">
        <f>SmtRes!AC55</f>
        <v>0</v>
      </c>
      <c r="T24">
        <f>ROUND(ROUND(Q24*Source!I87,6)*SmtRes!AK55,2)</f>
        <v>0</v>
      </c>
      <c r="U24">
        <f>SmtRes!X55</f>
        <v>-1785850303</v>
      </c>
      <c r="V24">
        <v>-1160329382</v>
      </c>
      <c r="W24">
        <v>-1031119490</v>
      </c>
      <c r="X24">
        <v>3</v>
      </c>
    </row>
    <row r="25" spans="1:24" ht="12.75">
      <c r="A25">
        <v>20</v>
      </c>
      <c r="B25">
        <v>54</v>
      </c>
      <c r="C25">
        <v>3</v>
      </c>
      <c r="D25">
        <v>0</v>
      </c>
      <c r="E25">
        <f>SmtRes!AV54</f>
        <v>0</v>
      </c>
      <c r="F25" t="str">
        <f>SmtRes!I54</f>
        <v>01.7.16.02-0001</v>
      </c>
      <c r="G25" t="str">
        <f>SmtRes!K54</f>
        <v>Детали деревянные лесов из пиломатериалов хвойных пород</v>
      </c>
      <c r="H25" t="str">
        <f>SmtRes!O54</f>
        <v>м3</v>
      </c>
      <c r="I25">
        <f>SmtRes!Y54*Source!I87</f>
        <v>0.0008</v>
      </c>
      <c r="J25">
        <f>SmtRes!AO54</f>
        <v>1</v>
      </c>
      <c r="K25">
        <f>SmtRes!AE54</f>
        <v>1100</v>
      </c>
      <c r="L25">
        <f>SmtRes!DB54</f>
        <v>8.8</v>
      </c>
      <c r="M25">
        <f>ROUND(ROUND(L25*Source!I87,6)*1,2)</f>
        <v>0.88</v>
      </c>
      <c r="N25">
        <f>SmtRes!AA54</f>
        <v>4895</v>
      </c>
      <c r="O25">
        <f>ROUND(ROUND(L25*Source!I87,6)*SmtRes!DA54,2)</f>
        <v>3.92</v>
      </c>
      <c r="P25">
        <f>SmtRes!AG54</f>
        <v>0</v>
      </c>
      <c r="Q25">
        <f>SmtRes!DC54</f>
        <v>0</v>
      </c>
      <c r="R25">
        <f>ROUND(ROUND(Q25*Source!I87,6)*1,2)</f>
        <v>0</v>
      </c>
      <c r="S25">
        <f>SmtRes!AC54</f>
        <v>0</v>
      </c>
      <c r="T25">
        <f>ROUND(ROUND(Q25*Source!I87,6)*SmtRes!AK54,2)</f>
        <v>0</v>
      </c>
      <c r="U25">
        <f>SmtRes!X54</f>
        <v>-1247958079</v>
      </c>
      <c r="V25">
        <v>259795051</v>
      </c>
      <c r="W25">
        <v>-296401705</v>
      </c>
      <c r="X25">
        <v>3</v>
      </c>
    </row>
    <row r="26" spans="1:24" ht="12.75">
      <c r="A26">
        <v>20</v>
      </c>
      <c r="B26">
        <v>53</v>
      </c>
      <c r="C26">
        <v>2</v>
      </c>
      <c r="D26">
        <v>0</v>
      </c>
      <c r="E26">
        <f>SmtRes!AV53</f>
        <v>0</v>
      </c>
      <c r="F26" t="str">
        <f>SmtRes!I53</f>
        <v>91.14.02-001</v>
      </c>
      <c r="G26" t="str">
        <f>SmtRes!K53</f>
        <v>Автомобили бортовые, грузоподъемность до 5 т</v>
      </c>
      <c r="H26" t="str">
        <f>SmtRes!O53</f>
        <v>маш.-ч</v>
      </c>
      <c r="I26">
        <f>SmtRes!Y53*Source!I87</f>
        <v>0.0225</v>
      </c>
      <c r="J26">
        <f>SmtRes!AO53</f>
        <v>1</v>
      </c>
      <c r="K26">
        <f>SmtRes!AF53</f>
        <v>65.71</v>
      </c>
      <c r="L26">
        <f>SmtRes!DB53</f>
        <v>14.7875</v>
      </c>
      <c r="M26">
        <f>ROUND(ROUND(L26*Source!I87,6)*1,2)</f>
        <v>1.48</v>
      </c>
      <c r="N26">
        <f>SmtRes!AB53</f>
        <v>758.95</v>
      </c>
      <c r="O26">
        <f>ROUND(ROUND(L26*Source!I87,6)*SmtRes!DA53,2)</f>
        <v>17.08</v>
      </c>
      <c r="P26">
        <f>SmtRes!AG53</f>
        <v>11.6</v>
      </c>
      <c r="Q26">
        <f>SmtRes!DC53</f>
        <v>2.6125</v>
      </c>
      <c r="R26">
        <f>ROUND(ROUND(Q26*Source!I87,6)*1,2)</f>
        <v>0.26</v>
      </c>
      <c r="S26">
        <f>SmtRes!AC53</f>
        <v>394.52</v>
      </c>
      <c r="T26">
        <f>ROUND(ROUND(Q26*Source!I87,6)*SmtRes!AK53,2)</f>
        <v>8.89</v>
      </c>
      <c r="U26">
        <f>SmtRes!X53</f>
        <v>-1057454432</v>
      </c>
      <c r="V26">
        <v>1099676110</v>
      </c>
      <c r="W26">
        <v>-44216034</v>
      </c>
      <c r="X26">
        <v>2</v>
      </c>
    </row>
    <row r="27" spans="1:24" ht="12.75">
      <c r="A27">
        <v>20</v>
      </c>
      <c r="B27">
        <v>51</v>
      </c>
      <c r="C27">
        <v>1</v>
      </c>
      <c r="D27">
        <v>0</v>
      </c>
      <c r="E27">
        <f>SmtRes!AV51</f>
        <v>1</v>
      </c>
      <c r="F27" t="str">
        <f>SmtRes!I51</f>
        <v>1-100-31</v>
      </c>
      <c r="G27" t="str">
        <f>SmtRes!K51</f>
        <v>Рабочий среднего разряда 3.1</v>
      </c>
      <c r="H27" t="str">
        <f>SmtRes!O51</f>
        <v>чел.-ч.</v>
      </c>
      <c r="I27">
        <f>SmtRes!Y51*Source!I87</f>
        <v>8.073</v>
      </c>
      <c r="J27">
        <f>SmtRes!AO51</f>
        <v>1</v>
      </c>
      <c r="K27">
        <f>SmtRes!AH51</f>
        <v>8.64</v>
      </c>
      <c r="L27">
        <f>SmtRes!DB51</f>
        <v>697.5095</v>
      </c>
      <c r="M27">
        <f>ROUND(ROUND(L27*Source!I87,6)*1,2)</f>
        <v>69.75</v>
      </c>
      <c r="N27">
        <f>SmtRes!AD51</f>
        <v>8.64</v>
      </c>
      <c r="O27">
        <f>ROUND(ROUND(L27*Source!I87,6)*SmtRes!DA51,2)</f>
        <v>69.75</v>
      </c>
      <c r="P27">
        <f>SmtRes!AG51</f>
        <v>0</v>
      </c>
      <c r="Q27">
        <f>SmtRes!DC51</f>
        <v>0</v>
      </c>
      <c r="R27">
        <f>ROUND(ROUND(Q27*Source!I87,6)*1,2)</f>
        <v>0</v>
      </c>
      <c r="S27">
        <f>SmtRes!AC51</f>
        <v>0</v>
      </c>
      <c r="T27">
        <f>ROUND(ROUND(Q27*Source!I87,6)*SmtRes!AK51,2)</f>
        <v>0</v>
      </c>
      <c r="U27">
        <f>SmtRes!X51</f>
        <v>1010519658</v>
      </c>
      <c r="V27">
        <v>-1488350428</v>
      </c>
      <c r="W27">
        <v>1466984780</v>
      </c>
      <c r="X27">
        <v>1</v>
      </c>
    </row>
    <row r="28" spans="1:24" ht="12.75">
      <c r="A28">
        <v>20</v>
      </c>
      <c r="B28">
        <v>63</v>
      </c>
      <c r="C28">
        <v>2</v>
      </c>
      <c r="D28">
        <v>0</v>
      </c>
      <c r="E28">
        <f>SmtRes!AV63</f>
        <v>0</v>
      </c>
      <c r="F28" t="str">
        <f>SmtRes!I63</f>
        <v>91.06.06-048</v>
      </c>
      <c r="G28" t="str">
        <f>SmtRes!K63</f>
        <v>Подъемники одномачтовые, грузоподъемность до 500 кг, высота подъема 45 м</v>
      </c>
      <c r="H28" t="str">
        <f>SmtRes!O63</f>
        <v>маш.-ч</v>
      </c>
      <c r="I28">
        <f>SmtRes!Y63*Source!I89</f>
        <v>0.07440000000000001</v>
      </c>
      <c r="J28">
        <f>SmtRes!AO63</f>
        <v>1</v>
      </c>
      <c r="K28">
        <f>SmtRes!AF63</f>
        <v>31.26</v>
      </c>
      <c r="L28">
        <f>SmtRes!DB63</f>
        <v>29.07</v>
      </c>
      <c r="M28">
        <f>ROUND(ROUND(L28*Source!I89,6)*1,2)</f>
        <v>2.33</v>
      </c>
      <c r="N28">
        <f>SmtRes!AB63</f>
        <v>474.53</v>
      </c>
      <c r="O28">
        <f>ROUND(ROUND(L28*Source!I89,6)*SmtRes!DA63,2)</f>
        <v>35.3</v>
      </c>
      <c r="P28">
        <f>SmtRes!AG63</f>
        <v>13.5</v>
      </c>
      <c r="Q28">
        <f>SmtRes!DC63</f>
        <v>12.56</v>
      </c>
      <c r="R28">
        <f>ROUND(ROUND(Q28*Source!I89,6)*1,2)</f>
        <v>1</v>
      </c>
      <c r="S28">
        <f>SmtRes!AC63</f>
        <v>459.14</v>
      </c>
      <c r="T28">
        <f>ROUND(ROUND(Q28*Source!I89,6)*SmtRes!AK63,2)</f>
        <v>34.17</v>
      </c>
      <c r="U28">
        <f>SmtRes!X63</f>
        <v>-1360328220</v>
      </c>
      <c r="V28">
        <v>-1418040551</v>
      </c>
      <c r="W28">
        <v>522838803</v>
      </c>
      <c r="X28">
        <v>2</v>
      </c>
    </row>
    <row r="29" spans="1:24" ht="12.75">
      <c r="A29">
        <v>20</v>
      </c>
      <c r="B29">
        <v>61</v>
      </c>
      <c r="C29">
        <v>1</v>
      </c>
      <c r="D29">
        <v>0</v>
      </c>
      <c r="E29">
        <f>SmtRes!AV61</f>
        <v>1</v>
      </c>
      <c r="F29" t="str">
        <f>SmtRes!I61</f>
        <v>1-100-23</v>
      </c>
      <c r="G29" t="str">
        <f>SmtRes!K61</f>
        <v>Рабочий среднего разряда 2.3</v>
      </c>
      <c r="H29" t="str">
        <f>SmtRes!O61</f>
        <v>чел.-ч.</v>
      </c>
      <c r="I29">
        <f>SmtRes!Y61*Source!I89</f>
        <v>3.6888</v>
      </c>
      <c r="J29">
        <f>SmtRes!AO61</f>
        <v>1</v>
      </c>
      <c r="K29">
        <f>SmtRes!AH61</f>
        <v>8.02</v>
      </c>
      <c r="L29">
        <f>SmtRes!DB61</f>
        <v>369.8</v>
      </c>
      <c r="M29">
        <f>ROUND(ROUND(L29*Source!I89,6)*1,2)</f>
        <v>29.58</v>
      </c>
      <c r="N29">
        <f>SmtRes!AD61</f>
        <v>8.02</v>
      </c>
      <c r="O29">
        <f>ROUND(ROUND(L29*Source!I89,6)*SmtRes!DA61,2)</f>
        <v>29.58</v>
      </c>
      <c r="P29">
        <f>SmtRes!AG61</f>
        <v>0</v>
      </c>
      <c r="Q29">
        <f>SmtRes!DC61</f>
        <v>0</v>
      </c>
      <c r="R29">
        <f>ROUND(ROUND(Q29*Source!I89,6)*1,2)</f>
        <v>0</v>
      </c>
      <c r="S29">
        <f>SmtRes!AC61</f>
        <v>0</v>
      </c>
      <c r="T29">
        <f>ROUND(ROUND(Q29*Source!I89,6)*SmtRes!AK61,2)</f>
        <v>0</v>
      </c>
      <c r="U29">
        <f>SmtRes!X61</f>
        <v>-228054128</v>
      </c>
      <c r="V29">
        <v>-1057066998</v>
      </c>
      <c r="W29">
        <v>-1107782587</v>
      </c>
      <c r="X29">
        <v>1</v>
      </c>
    </row>
    <row r="30" spans="1:24" ht="12.75">
      <c r="A30">
        <v>20</v>
      </c>
      <c r="B30">
        <v>78</v>
      </c>
      <c r="C30">
        <v>2</v>
      </c>
      <c r="D30">
        <v>0</v>
      </c>
      <c r="E30">
        <f>SmtRes!AV78</f>
        <v>0</v>
      </c>
      <c r="F30" t="str">
        <f>SmtRes!I78</f>
        <v>91.14.02-001</v>
      </c>
      <c r="G30" t="str">
        <f>SmtRes!K78</f>
        <v>Автомобили бортовые, грузоподъемность до 5 т</v>
      </c>
      <c r="H30" t="str">
        <f>SmtRes!O78</f>
        <v>маш.-ч</v>
      </c>
      <c r="I30">
        <f>SmtRes!Y78*Source!I93</f>
        <v>0.10496000000000001</v>
      </c>
      <c r="J30">
        <f>SmtRes!AO78</f>
        <v>1</v>
      </c>
      <c r="K30">
        <f>SmtRes!AF78</f>
        <v>65.71</v>
      </c>
      <c r="L30">
        <f>SmtRes!DB78</f>
        <v>172.424</v>
      </c>
      <c r="M30">
        <f>ROUND(ROUND(L30*Source!I93,6)*1,2)</f>
        <v>6.9</v>
      </c>
      <c r="N30">
        <f>SmtRes!AB78</f>
        <v>758.95</v>
      </c>
      <c r="O30">
        <f>ROUND(ROUND(L30*Source!I93,6)*SmtRes!DA78,2)</f>
        <v>79.66</v>
      </c>
      <c r="P30">
        <f>SmtRes!AG78</f>
        <v>11.6</v>
      </c>
      <c r="Q30">
        <f>SmtRes!DC78</f>
        <v>30.44</v>
      </c>
      <c r="R30">
        <f>ROUND(ROUND(Q30*Source!I93,6)*1,2)</f>
        <v>1.22</v>
      </c>
      <c r="S30">
        <f>SmtRes!AC78</f>
        <v>394.52</v>
      </c>
      <c r="T30">
        <f>ROUND(ROUND(Q30*Source!I93,6)*SmtRes!AK78,2)</f>
        <v>41.41</v>
      </c>
      <c r="U30">
        <f>SmtRes!X78</f>
        <v>1862470278</v>
      </c>
      <c r="V30">
        <v>-1661837192</v>
      </c>
      <c r="W30">
        <v>437302953</v>
      </c>
      <c r="X30">
        <v>2</v>
      </c>
    </row>
    <row r="31" spans="1:24" ht="12.75">
      <c r="A31">
        <v>20</v>
      </c>
      <c r="B31">
        <v>77</v>
      </c>
      <c r="C31">
        <v>2</v>
      </c>
      <c r="D31">
        <v>0</v>
      </c>
      <c r="E31">
        <f>SmtRes!AV77</f>
        <v>0</v>
      </c>
      <c r="F31" t="str">
        <f>SmtRes!I77</f>
        <v>91.06.06-048</v>
      </c>
      <c r="G31" t="str">
        <f>SmtRes!K77</f>
        <v>Подъемники одномачтовые, грузоподъемность до 500 кг, высота подъема 45 м</v>
      </c>
      <c r="H31" t="str">
        <f>SmtRes!O77</f>
        <v>маш.-ч</v>
      </c>
      <c r="I31">
        <f>SmtRes!Y77*Source!I93</f>
        <v>0.016640000000000002</v>
      </c>
      <c r="J31">
        <f>SmtRes!AO77</f>
        <v>1</v>
      </c>
      <c r="K31">
        <f>SmtRes!AF77</f>
        <v>31.26</v>
      </c>
      <c r="L31">
        <f>SmtRes!DB77</f>
        <v>13.008</v>
      </c>
      <c r="M31">
        <f>ROUND(ROUND(L31*Source!I93,6)*1,2)</f>
        <v>0.52</v>
      </c>
      <c r="N31">
        <f>SmtRes!AB77</f>
        <v>474.53</v>
      </c>
      <c r="O31">
        <f>ROUND(ROUND(L31*Source!I93,6)*SmtRes!DA77,2)</f>
        <v>7.9</v>
      </c>
      <c r="P31">
        <f>SmtRes!AG77</f>
        <v>13.5</v>
      </c>
      <c r="Q31">
        <f>SmtRes!DC77</f>
        <v>5.616</v>
      </c>
      <c r="R31">
        <f>ROUND(ROUND(Q31*Source!I93,6)*1,2)</f>
        <v>0.22</v>
      </c>
      <c r="S31">
        <f>SmtRes!AC77</f>
        <v>459.14</v>
      </c>
      <c r="T31">
        <f>ROUND(ROUND(Q31*Source!I93,6)*SmtRes!AK77,2)</f>
        <v>7.64</v>
      </c>
      <c r="U31">
        <f>SmtRes!X77</f>
        <v>-1360328220</v>
      </c>
      <c r="V31">
        <v>-1418040551</v>
      </c>
      <c r="W31">
        <v>522838803</v>
      </c>
      <c r="X31">
        <v>2</v>
      </c>
    </row>
    <row r="32" spans="1:24" ht="12.75">
      <c r="A32">
        <v>20</v>
      </c>
      <c r="B32">
        <v>75</v>
      </c>
      <c r="C32">
        <v>1</v>
      </c>
      <c r="D32">
        <v>0</v>
      </c>
      <c r="E32">
        <f>SmtRes!AV75</f>
        <v>1</v>
      </c>
      <c r="F32" t="str">
        <f>SmtRes!I75</f>
        <v>1-100-32</v>
      </c>
      <c r="G32" t="str">
        <f>SmtRes!K75</f>
        <v>Рабочий среднего разряда 3.2</v>
      </c>
      <c r="H32" t="str">
        <f>SmtRes!O75</f>
        <v>чел.-ч.</v>
      </c>
      <c r="I32">
        <f>SmtRes!Y75*Source!I93</f>
        <v>3.92224</v>
      </c>
      <c r="J32">
        <f>SmtRes!AO75</f>
        <v>1</v>
      </c>
      <c r="K32">
        <f>SmtRes!AH75</f>
        <v>8.74</v>
      </c>
      <c r="L32">
        <f>SmtRes!DB75</f>
        <v>857.008</v>
      </c>
      <c r="M32">
        <f>ROUND(ROUND(L32*Source!I93,6)*1,2)</f>
        <v>34.28</v>
      </c>
      <c r="N32">
        <f>SmtRes!AD75</f>
        <v>8.74</v>
      </c>
      <c r="O32">
        <f>ROUND(ROUND(L32*Source!I93,6)*SmtRes!DA75,2)</f>
        <v>34.28</v>
      </c>
      <c r="P32">
        <f>SmtRes!AG75</f>
        <v>0</v>
      </c>
      <c r="Q32">
        <f>SmtRes!DC75</f>
        <v>0</v>
      </c>
      <c r="R32">
        <f>ROUND(ROUND(Q32*Source!I93,6)*1,2)</f>
        <v>0</v>
      </c>
      <c r="S32">
        <f>SmtRes!AC75</f>
        <v>0</v>
      </c>
      <c r="T32">
        <f>ROUND(ROUND(Q32*Source!I93,6)*SmtRes!AK75,2)</f>
        <v>0</v>
      </c>
      <c r="U32">
        <f>SmtRes!X75</f>
        <v>-784637506</v>
      </c>
      <c r="V32">
        <v>1064126574</v>
      </c>
      <c r="W32">
        <v>-598052579</v>
      </c>
      <c r="X32">
        <v>1</v>
      </c>
    </row>
    <row r="33" spans="1:24" ht="12.75">
      <c r="A33">
        <v>20</v>
      </c>
      <c r="B33">
        <v>101</v>
      </c>
      <c r="C33">
        <v>2</v>
      </c>
      <c r="D33">
        <v>0</v>
      </c>
      <c r="E33">
        <f>SmtRes!AV101</f>
        <v>0</v>
      </c>
      <c r="F33" t="str">
        <f>SmtRes!I101</f>
        <v>91.14.02-001</v>
      </c>
      <c r="G33" t="str">
        <f>SmtRes!K101</f>
        <v>Автомобили бортовые, грузоподъемность до 5 т</v>
      </c>
      <c r="H33" t="str">
        <f>SmtRes!O101</f>
        <v>маш.-ч</v>
      </c>
      <c r="I33">
        <f>SmtRes!Y101*Source!I95</f>
        <v>0.1225</v>
      </c>
      <c r="J33">
        <f>SmtRes!AO101</f>
        <v>1</v>
      </c>
      <c r="K33">
        <f>SmtRes!AF101</f>
        <v>65.71</v>
      </c>
      <c r="L33">
        <f>SmtRes!DB101</f>
        <v>23</v>
      </c>
      <c r="M33">
        <f>ROUND(ROUND(L33*Source!I95,6)*1,2)</f>
        <v>8.05</v>
      </c>
      <c r="N33">
        <f>SmtRes!AB101</f>
        <v>758.95</v>
      </c>
      <c r="O33">
        <f>ROUND(ROUND(L33*Source!I95,6)*SmtRes!DA101,2)</f>
        <v>92.98</v>
      </c>
      <c r="P33">
        <f>SmtRes!AG101</f>
        <v>11.6</v>
      </c>
      <c r="Q33">
        <f>SmtRes!DC101</f>
        <v>4.0625</v>
      </c>
      <c r="R33">
        <f>ROUND(ROUND(Q33*Source!I95,6)*1,2)</f>
        <v>1.42</v>
      </c>
      <c r="S33">
        <f>SmtRes!AC101</f>
        <v>394.52</v>
      </c>
      <c r="T33">
        <f>ROUND(ROUND(Q33*Source!I95,6)*SmtRes!AK101,2)</f>
        <v>48.36</v>
      </c>
      <c r="U33">
        <f>SmtRes!X101</f>
        <v>-841254546</v>
      </c>
      <c r="V33">
        <v>786429305</v>
      </c>
      <c r="W33">
        <v>1719692319</v>
      </c>
      <c r="X33">
        <v>2</v>
      </c>
    </row>
    <row r="34" spans="1:24" ht="12.75">
      <c r="A34">
        <v>20</v>
      </c>
      <c r="B34">
        <v>100</v>
      </c>
      <c r="C34">
        <v>2</v>
      </c>
      <c r="D34">
        <v>0</v>
      </c>
      <c r="E34">
        <f>SmtRes!AV100</f>
        <v>0</v>
      </c>
      <c r="F34" t="str">
        <f>SmtRes!I100</f>
        <v>91.06.03-062</v>
      </c>
      <c r="G34" t="str">
        <f>SmtRes!K100</f>
        <v>Лебедки электрические тяговым усилием до 31,39 кН (3,2 т)</v>
      </c>
      <c r="H34" t="str">
        <f>SmtRes!O100</f>
        <v>маш.-ч</v>
      </c>
      <c r="I34">
        <f>SmtRes!Y100*Source!I95</f>
        <v>19.206249999999997</v>
      </c>
      <c r="J34">
        <f>SmtRes!AO100</f>
        <v>1</v>
      </c>
      <c r="K34">
        <f>SmtRes!AF100</f>
        <v>6.9</v>
      </c>
      <c r="L34">
        <f>SmtRes!DB100</f>
        <v>378.6375</v>
      </c>
      <c r="M34">
        <f>ROUND(ROUND(L34*Source!I95,6)*1,2)</f>
        <v>132.52</v>
      </c>
      <c r="N34">
        <f>SmtRes!AB100</f>
        <v>32.5</v>
      </c>
      <c r="O34">
        <f>ROUND(ROUND(L34*Source!I95,6)*SmtRes!DA100,2)</f>
        <v>624.18</v>
      </c>
      <c r="P34">
        <f>SmtRes!AG100</f>
        <v>0</v>
      </c>
      <c r="Q34">
        <f>SmtRes!DC100</f>
        <v>0</v>
      </c>
      <c r="R34">
        <f>ROUND(ROUND(Q34*Source!I95,6)*1,2)</f>
        <v>0</v>
      </c>
      <c r="S34">
        <f>SmtRes!AC100</f>
        <v>0</v>
      </c>
      <c r="T34">
        <f>ROUND(ROUND(Q34*Source!I95,6)*SmtRes!AK100,2)</f>
        <v>0</v>
      </c>
      <c r="U34">
        <f>SmtRes!X100</f>
        <v>-1595939894</v>
      </c>
      <c r="V34">
        <v>804237458</v>
      </c>
      <c r="W34">
        <v>1538099167</v>
      </c>
      <c r="X34">
        <v>2</v>
      </c>
    </row>
    <row r="35" spans="1:24" ht="12.75">
      <c r="A35">
        <v>20</v>
      </c>
      <c r="B35">
        <v>99</v>
      </c>
      <c r="C35">
        <v>2</v>
      </c>
      <c r="D35">
        <v>0</v>
      </c>
      <c r="E35">
        <f>SmtRes!AV99</f>
        <v>0</v>
      </c>
      <c r="F35" t="str">
        <f>SmtRes!I99</f>
        <v>91.05.05-015</v>
      </c>
      <c r="G35" t="str">
        <f>SmtRes!K99</f>
        <v>Краны на автомобильном ходу, грузоподъемность 16 т</v>
      </c>
      <c r="H35" t="str">
        <f>SmtRes!O99</f>
        <v>маш.-ч</v>
      </c>
      <c r="I35">
        <f>SmtRes!Y99*Source!I95</f>
        <v>0.9624999999999999</v>
      </c>
      <c r="J35">
        <f>SmtRes!AO99</f>
        <v>1</v>
      </c>
      <c r="K35">
        <f>SmtRes!AF99</f>
        <v>115.4</v>
      </c>
      <c r="L35">
        <f>SmtRes!DB99</f>
        <v>317.35</v>
      </c>
      <c r="M35">
        <f>ROUND(ROUND(L35*Source!I95,6)*1,2)</f>
        <v>111.07</v>
      </c>
      <c r="N35">
        <f>SmtRes!AB99</f>
        <v>1096.3</v>
      </c>
      <c r="O35">
        <f>ROUND(ROUND(L35*Source!I95,6)*SmtRes!DA99,2)</f>
        <v>1055.19</v>
      </c>
      <c r="P35">
        <f>SmtRes!AG99</f>
        <v>13.5</v>
      </c>
      <c r="Q35">
        <f>SmtRes!DC99</f>
        <v>37.125</v>
      </c>
      <c r="R35">
        <f>ROUND(ROUND(Q35*Source!I95,6)*1,2)</f>
        <v>12.99</v>
      </c>
      <c r="S35">
        <f>SmtRes!AC99</f>
        <v>459.14</v>
      </c>
      <c r="T35">
        <f>ROUND(ROUND(Q35*Source!I95,6)*SmtRes!AK99,2)</f>
        <v>441.92</v>
      </c>
      <c r="U35">
        <f>SmtRes!X99</f>
        <v>-1346461524</v>
      </c>
      <c r="V35">
        <v>416507353</v>
      </c>
      <c r="W35">
        <v>5399079</v>
      </c>
      <c r="X35">
        <v>2</v>
      </c>
    </row>
    <row r="36" spans="1:24" ht="12.75">
      <c r="A36">
        <v>20</v>
      </c>
      <c r="B36">
        <v>97</v>
      </c>
      <c r="C36">
        <v>1</v>
      </c>
      <c r="D36">
        <v>0</v>
      </c>
      <c r="E36">
        <f>SmtRes!AV97</f>
        <v>1</v>
      </c>
      <c r="F36" t="str">
        <f>SmtRes!I97</f>
        <v>1-100-43</v>
      </c>
      <c r="G36" t="str">
        <f>SmtRes!K97</f>
        <v>Рабочий среднего разряда 4.3</v>
      </c>
      <c r="H36" t="str">
        <f>SmtRes!O97</f>
        <v>чел.-ч.</v>
      </c>
      <c r="I36">
        <f>SmtRes!Y97*Source!I95</f>
        <v>119.945</v>
      </c>
      <c r="J36">
        <f>SmtRes!AO97</f>
        <v>1</v>
      </c>
      <c r="K36">
        <f>SmtRes!AH97</f>
        <v>10.06</v>
      </c>
      <c r="L36">
        <f>SmtRes!DB97</f>
        <v>3447.562</v>
      </c>
      <c r="M36">
        <f>ROUND(ROUND(L36*Source!I95,6)*1,2)</f>
        <v>1206.65</v>
      </c>
      <c r="N36">
        <f>SmtRes!AD97</f>
        <v>10.06</v>
      </c>
      <c r="O36">
        <f>ROUND(ROUND(L36*Source!I95,6)*SmtRes!DA97,2)</f>
        <v>1206.65</v>
      </c>
      <c r="P36">
        <f>SmtRes!AG97</f>
        <v>0</v>
      </c>
      <c r="Q36">
        <f>SmtRes!DC97</f>
        <v>0</v>
      </c>
      <c r="R36">
        <f>ROUND(ROUND(Q36*Source!I95,6)*1,2)</f>
        <v>0</v>
      </c>
      <c r="S36">
        <f>SmtRes!AC97</f>
        <v>0</v>
      </c>
      <c r="T36">
        <f>ROUND(ROUND(Q36*Source!I95,6)*SmtRes!AK97,2)</f>
        <v>0</v>
      </c>
      <c r="U36">
        <f>SmtRes!X97</f>
        <v>687044855</v>
      </c>
      <c r="V36">
        <v>1838218977</v>
      </c>
      <c r="W36">
        <v>2069007811</v>
      </c>
      <c r="X36">
        <v>1</v>
      </c>
    </row>
    <row r="37" spans="1:24" ht="12.75">
      <c r="A37">
        <f>Source!A97</f>
        <v>18</v>
      </c>
      <c r="B37">
        <v>97</v>
      </c>
      <c r="C37">
        <v>3</v>
      </c>
      <c r="D37">
        <f>Source!BI97</f>
        <v>1</v>
      </c>
      <c r="E37">
        <f>Source!FS97</f>
        <v>0</v>
      </c>
      <c r="F37" t="str">
        <f>Source!F97</f>
        <v>Цена Поставщика</v>
      </c>
      <c r="G37" t="str">
        <f>Source!G97</f>
        <v>(Д-2) Перегородка наружная 1920х2100 из алюминиевой системы с дверным блоком 1400х2080 (ШхВ) (ручка скоба офисная, замок с цилиндром, шпингалеты на пассивную створку). Заполнение 5м1-10-5м1-10-5м1. Окрашенная в цвет RAL</v>
      </c>
      <c r="H37" t="str">
        <f>Source!H97</f>
        <v>ШТ</v>
      </c>
      <c r="I37">
        <f>Source!I97</f>
        <v>2.9999999999999996</v>
      </c>
      <c r="J37">
        <v>1</v>
      </c>
      <c r="K37">
        <f>Source!AC97</f>
        <v>97157.83</v>
      </c>
      <c r="M37">
        <f>ROUND(K37*I37,2)</f>
        <v>291473.49</v>
      </c>
      <c r="N37">
        <f>Source!AC97*IF(Source!BC97&lt;&gt;0,Source!BC97,1)</f>
        <v>97157.83</v>
      </c>
      <c r="O37">
        <f>ROUND(N37*I37,2)</f>
        <v>291473.49</v>
      </c>
      <c r="P37">
        <f>Source!AE97</f>
        <v>0</v>
      </c>
      <c r="R37">
        <f>ROUND(P37*I37,2)</f>
        <v>0</v>
      </c>
      <c r="S37">
        <f>Source!AE97*IF(Source!BS97&lt;&gt;0,Source!BS97,1)</f>
        <v>0</v>
      </c>
      <c r="T37">
        <f>ROUND(S37*I37,2)</f>
        <v>0</v>
      </c>
      <c r="U37">
        <f>Source!GF97</f>
        <v>-1045658283</v>
      </c>
      <c r="V37">
        <v>-1894604991</v>
      </c>
      <c r="W37">
        <v>-1757356320</v>
      </c>
      <c r="X37">
        <v>3</v>
      </c>
    </row>
    <row r="38" spans="1:24" ht="12.75">
      <c r="A38">
        <f>Source!A99</f>
        <v>18</v>
      </c>
      <c r="B38">
        <v>99</v>
      </c>
      <c r="C38">
        <v>3</v>
      </c>
      <c r="D38">
        <f>Source!BI99</f>
        <v>1</v>
      </c>
      <c r="E38">
        <f>Source!FS99</f>
        <v>0</v>
      </c>
      <c r="F38" t="str">
        <f>Source!F99</f>
        <v>Цена Поставщика</v>
      </c>
      <c r="G38" t="str">
        <f>Source!G99</f>
        <v>(ПС-1) Внутренняя алюминиевая перегородка светопрозрачная противопожарная EIW-45 6150x4400 (ШхВ) с противопожарным стеклом. Окрашенная в цвет RAL</v>
      </c>
      <c r="H38" t="str">
        <f>Source!H99</f>
        <v>ШТ</v>
      </c>
      <c r="I38">
        <f>Source!I99</f>
        <v>1</v>
      </c>
      <c r="J38">
        <v>1</v>
      </c>
      <c r="K38">
        <f>Source!AC99</f>
        <v>591873.49</v>
      </c>
      <c r="M38">
        <f>ROUND(K38*I38,2)</f>
        <v>591873.49</v>
      </c>
      <c r="N38">
        <f>Source!AC99*IF(Source!BC99&lt;&gt;0,Source!BC99,1)</f>
        <v>591873.49</v>
      </c>
      <c r="O38">
        <f>ROUND(N38*I38,2)</f>
        <v>591873.49</v>
      </c>
      <c r="P38">
        <f>Source!AE99</f>
        <v>0</v>
      </c>
      <c r="R38">
        <f>ROUND(P38*I38,2)</f>
        <v>0</v>
      </c>
      <c r="S38">
        <f>Source!AE99*IF(Source!BS99&lt;&gt;0,Source!BS99,1)</f>
        <v>0</v>
      </c>
      <c r="T38">
        <f>ROUND(S38*I38,2)</f>
        <v>0</v>
      </c>
      <c r="U38">
        <f>Source!GF99</f>
        <v>1874146856</v>
      </c>
      <c r="V38">
        <v>2086909385</v>
      </c>
      <c r="W38">
        <v>-1358029789</v>
      </c>
      <c r="X38">
        <v>3</v>
      </c>
    </row>
    <row r="39" spans="1:24" ht="12.75">
      <c r="A39">
        <f>Source!A101</f>
        <v>18</v>
      </c>
      <c r="B39">
        <v>101</v>
      </c>
      <c r="C39">
        <v>3</v>
      </c>
      <c r="D39">
        <f>Source!BI101</f>
        <v>1</v>
      </c>
      <c r="E39">
        <f>Source!FS101</f>
        <v>0</v>
      </c>
      <c r="F39" t="str">
        <f>Source!F101</f>
        <v>Цена Поставщика</v>
      </c>
      <c r="G39" t="str">
        <f>Source!G101</f>
        <v>(ПС-2) Внутренняя алюминиевая перегородка светопрозрачная противопожарная EIW-45 1700x4400 (ШхВ) с противопожарным стеклом. Окрашенная цвет RAL</v>
      </c>
      <c r="H39" t="str">
        <f>Source!H101</f>
        <v>ШТ</v>
      </c>
      <c r="I39">
        <f>Source!I101</f>
        <v>1</v>
      </c>
      <c r="J39">
        <v>1</v>
      </c>
      <c r="K39">
        <f>Source!AC101</f>
        <v>191854.09</v>
      </c>
      <c r="M39">
        <f>ROUND(K39*I39,2)</f>
        <v>191854.09</v>
      </c>
      <c r="N39">
        <f>Source!AC101*IF(Source!BC101&lt;&gt;0,Source!BC101,1)</f>
        <v>191854.09</v>
      </c>
      <c r="O39">
        <f>ROUND(N39*I39,2)</f>
        <v>191854.09</v>
      </c>
      <c r="P39">
        <f>Source!AE101</f>
        <v>0</v>
      </c>
      <c r="R39">
        <f>ROUND(P39*I39,2)</f>
        <v>0</v>
      </c>
      <c r="S39">
        <f>Source!AE101*IF(Source!BS101&lt;&gt;0,Source!BS101,1)</f>
        <v>0</v>
      </c>
      <c r="T39">
        <f>ROUND(S39*I39,2)</f>
        <v>0</v>
      </c>
      <c r="U39">
        <f>Source!GF101</f>
        <v>-1222242704</v>
      </c>
      <c r="V39">
        <v>-1048462489</v>
      </c>
      <c r="W39">
        <v>-1626873890</v>
      </c>
      <c r="X39">
        <v>3</v>
      </c>
    </row>
    <row r="40" spans="1:24" ht="12.75">
      <c r="A40">
        <v>20</v>
      </c>
      <c r="B40">
        <v>115</v>
      </c>
      <c r="C40">
        <v>2</v>
      </c>
      <c r="D40">
        <v>0</v>
      </c>
      <c r="E40">
        <f>SmtRes!AV115</f>
        <v>0</v>
      </c>
      <c r="F40" t="str">
        <f>SmtRes!I115</f>
        <v>91.21.10-003</v>
      </c>
      <c r="G40" t="str">
        <f>SmtRes!K115</f>
        <v>Молотки при работе от передвижных компрессорных станций отбойные пневматические</v>
      </c>
      <c r="H40" t="str">
        <f>SmtRes!O115</f>
        <v>маш.-ч</v>
      </c>
      <c r="I40">
        <f>SmtRes!Y115*Source!I111</f>
        <v>0.0793</v>
      </c>
      <c r="J40">
        <f>SmtRes!AO115</f>
        <v>1</v>
      </c>
      <c r="K40">
        <f>SmtRes!AF115</f>
        <v>1.53</v>
      </c>
      <c r="L40">
        <f>SmtRes!DB115</f>
        <v>12.13</v>
      </c>
      <c r="M40">
        <f>ROUND(ROUND(L40*Source!I111,6)*1,2)</f>
        <v>0.12</v>
      </c>
      <c r="N40">
        <f>SmtRes!AB115</f>
        <v>5.86</v>
      </c>
      <c r="O40">
        <f>ROUND(ROUND(L40*Source!I111,6)*SmtRes!DA115,2)</f>
        <v>0.46</v>
      </c>
      <c r="P40">
        <f>SmtRes!AG115</f>
        <v>0</v>
      </c>
      <c r="Q40">
        <f>SmtRes!DC115</f>
        <v>0</v>
      </c>
      <c r="R40">
        <f>ROUND(ROUND(Q40*Source!I111,6)*1,2)</f>
        <v>0</v>
      </c>
      <c r="S40">
        <f>SmtRes!AC115</f>
        <v>0</v>
      </c>
      <c r="T40">
        <f>ROUND(ROUND(Q40*Source!I111,6)*SmtRes!AK115,2)</f>
        <v>0</v>
      </c>
      <c r="U40">
        <f>SmtRes!X115</f>
        <v>745726032</v>
      </c>
      <c r="V40">
        <v>1553951943</v>
      </c>
      <c r="W40">
        <v>365230934</v>
      </c>
      <c r="X40">
        <v>2</v>
      </c>
    </row>
    <row r="41" spans="1:24" ht="12.75">
      <c r="A41">
        <v>20</v>
      </c>
      <c r="B41">
        <v>114</v>
      </c>
      <c r="C41">
        <v>2</v>
      </c>
      <c r="D41">
        <v>0</v>
      </c>
      <c r="E41">
        <f>SmtRes!AV114</f>
        <v>0</v>
      </c>
      <c r="F41" t="str">
        <f>SmtRes!I114</f>
        <v>91.18.01-508</v>
      </c>
      <c r="G41" t="str">
        <f>SmtRes!K114</f>
        <v>Компрессоры передвижные с электродвигателем, производительность до 5,0 м3/мин</v>
      </c>
      <c r="H41" t="str">
        <f>SmtRes!O114</f>
        <v>маш.-ч</v>
      </c>
      <c r="I41">
        <f>SmtRes!Y114*Source!I111</f>
        <v>0.039700000000000006</v>
      </c>
      <c r="J41">
        <f>SmtRes!AO114</f>
        <v>1</v>
      </c>
      <c r="K41">
        <f>SmtRes!AF114</f>
        <v>48.81</v>
      </c>
      <c r="L41">
        <f>SmtRes!DB114</f>
        <v>193.78</v>
      </c>
      <c r="M41">
        <f>ROUND(ROUND(L41*Source!I111,6)*1,2)</f>
        <v>1.94</v>
      </c>
      <c r="N41">
        <f>SmtRes!AB114</f>
        <v>138.13</v>
      </c>
      <c r="O41">
        <f>ROUND(ROUND(L41*Source!I111,6)*SmtRes!DA114,2)</f>
        <v>5.48</v>
      </c>
      <c r="P41">
        <f>SmtRes!AG114</f>
        <v>0</v>
      </c>
      <c r="Q41">
        <f>SmtRes!DC114</f>
        <v>0</v>
      </c>
      <c r="R41">
        <f>ROUND(ROUND(Q41*Source!I111,6)*1,2)</f>
        <v>0</v>
      </c>
      <c r="S41">
        <f>SmtRes!AC114</f>
        <v>0</v>
      </c>
      <c r="T41">
        <f>ROUND(ROUND(Q41*Source!I111,6)*SmtRes!AK114,2)</f>
        <v>0</v>
      </c>
      <c r="U41">
        <f>SmtRes!X114</f>
        <v>-681442505</v>
      </c>
      <c r="V41">
        <v>1680492550</v>
      </c>
      <c r="W41">
        <v>1533835762</v>
      </c>
      <c r="X41">
        <v>2</v>
      </c>
    </row>
    <row r="42" spans="1:24" ht="12.75">
      <c r="A42">
        <v>20</v>
      </c>
      <c r="B42">
        <v>113</v>
      </c>
      <c r="C42">
        <v>1</v>
      </c>
      <c r="D42">
        <v>0</v>
      </c>
      <c r="E42">
        <f>SmtRes!AV113</f>
        <v>1</v>
      </c>
      <c r="F42" t="str">
        <f>SmtRes!I113</f>
        <v>1-100-23</v>
      </c>
      <c r="G42" t="str">
        <f>SmtRes!K113</f>
        <v>Рабочий среднего разряда 2.3</v>
      </c>
      <c r="H42" t="str">
        <f>SmtRes!O113</f>
        <v>чел.-ч.</v>
      </c>
      <c r="I42">
        <f>SmtRes!Y113*Source!I111</f>
        <v>1.7930000000000001</v>
      </c>
      <c r="J42">
        <f>SmtRes!AO113</f>
        <v>1</v>
      </c>
      <c r="K42">
        <f>SmtRes!AH113</f>
        <v>8.02</v>
      </c>
      <c r="L42">
        <f>SmtRes!DB113</f>
        <v>1437.99</v>
      </c>
      <c r="M42">
        <f>ROUND(ROUND(L42*Source!I111,6)*1,2)</f>
        <v>14.38</v>
      </c>
      <c r="N42">
        <f>SmtRes!AD113</f>
        <v>8.02</v>
      </c>
      <c r="O42">
        <f>ROUND(ROUND(L42*Source!I111,6)*SmtRes!DA113,2)</f>
        <v>14.38</v>
      </c>
      <c r="P42">
        <f>SmtRes!AG113</f>
        <v>0</v>
      </c>
      <c r="Q42">
        <f>SmtRes!DC113</f>
        <v>0</v>
      </c>
      <c r="R42">
        <f>ROUND(ROUND(Q42*Source!I111,6)*1,2)</f>
        <v>0</v>
      </c>
      <c r="S42">
        <f>SmtRes!AC113</f>
        <v>0</v>
      </c>
      <c r="T42">
        <f>ROUND(ROUND(Q42*Source!I111,6)*SmtRes!AK113,2)</f>
        <v>0</v>
      </c>
      <c r="U42">
        <f>SmtRes!X113</f>
        <v>-228054128</v>
      </c>
      <c r="V42">
        <v>-1057066998</v>
      </c>
      <c r="W42">
        <v>-1107782587</v>
      </c>
      <c r="X42">
        <v>1</v>
      </c>
    </row>
    <row r="43" spans="1:24" ht="12.75">
      <c r="A43">
        <v>20</v>
      </c>
      <c r="B43">
        <v>131</v>
      </c>
      <c r="C43">
        <v>3</v>
      </c>
      <c r="D43">
        <v>0</v>
      </c>
      <c r="E43">
        <f>SmtRes!AV131</f>
        <v>0</v>
      </c>
      <c r="F43" t="str">
        <f>SmtRes!I131</f>
        <v>14.5.01.10-0029</v>
      </c>
      <c r="G43" t="str">
        <f>SmtRes!K131</f>
        <v>Пена монтажная полиуретановая противопожарная однокомпонентная модифицированная для заполнения, уплотнения, утепления, изоляции и соединения швов и стыков в местах с повышенными требованиями пожарной безопасности (0,88 л)</v>
      </c>
      <c r="H43" t="str">
        <f>SmtRes!O131</f>
        <v>ШТ</v>
      </c>
      <c r="I43">
        <f>SmtRes!Y131*Source!I115</f>
        <v>0.4446</v>
      </c>
      <c r="J43">
        <f>SmtRes!AO131</f>
        <v>1</v>
      </c>
      <c r="K43">
        <f>SmtRes!AE131</f>
        <v>110.11</v>
      </c>
      <c r="L43">
        <f>SmtRes!DB131</f>
        <v>20.92</v>
      </c>
      <c r="M43">
        <f>ROUND(ROUND(L43*Source!I115,6)*1,2)</f>
        <v>48.95</v>
      </c>
      <c r="N43">
        <f>SmtRes!AA131</f>
        <v>474.57</v>
      </c>
      <c r="O43">
        <f>ROUND(ROUND(L43*Source!I115,6)*SmtRes!DA131,2)</f>
        <v>210.99</v>
      </c>
      <c r="P43">
        <f>SmtRes!AG131</f>
        <v>0</v>
      </c>
      <c r="Q43">
        <f>SmtRes!DC131</f>
        <v>0</v>
      </c>
      <c r="R43">
        <f>ROUND(ROUND(Q43*Source!I115,6)*1,2)</f>
        <v>0</v>
      </c>
      <c r="S43">
        <f>SmtRes!AC131</f>
        <v>0</v>
      </c>
      <c r="T43">
        <f>ROUND(ROUND(Q43*Source!I115,6)*SmtRes!AK131,2)</f>
        <v>0</v>
      </c>
      <c r="U43">
        <f>SmtRes!X131</f>
        <v>963662901</v>
      </c>
      <c r="V43">
        <v>-1602861610</v>
      </c>
      <c r="W43">
        <v>1254977120</v>
      </c>
      <c r="X43">
        <v>3</v>
      </c>
    </row>
    <row r="44" spans="1:24" ht="12.75">
      <c r="A44">
        <v>20</v>
      </c>
      <c r="B44">
        <v>130</v>
      </c>
      <c r="C44">
        <v>3</v>
      </c>
      <c r="D44">
        <v>0</v>
      </c>
      <c r="E44">
        <f>SmtRes!AV130</f>
        <v>0</v>
      </c>
      <c r="F44" t="str">
        <f>SmtRes!I130</f>
        <v>01.7.15.02-0051</v>
      </c>
      <c r="G44" t="str">
        <f>SmtRes!K130</f>
        <v>Болты анкерные</v>
      </c>
      <c r="H44" t="str">
        <f>SmtRes!O130</f>
        <v>т</v>
      </c>
      <c r="I44">
        <f>SmtRes!Y130*Source!I115</f>
        <v>0.007019999999999999</v>
      </c>
      <c r="J44">
        <f>SmtRes!AO130</f>
        <v>1</v>
      </c>
      <c r="K44">
        <f>SmtRes!AE130</f>
        <v>10068</v>
      </c>
      <c r="L44">
        <f>SmtRes!DB130</f>
        <v>30.2</v>
      </c>
      <c r="M44">
        <f>ROUND(ROUND(L44*Source!I115,6)*1,2)</f>
        <v>70.67</v>
      </c>
      <c r="N44">
        <f>SmtRes!AA130</f>
        <v>181324.68</v>
      </c>
      <c r="O44">
        <f>ROUND(ROUND(L44*Source!I115,6)*SmtRes!DA130,2)</f>
        <v>1272.73</v>
      </c>
      <c r="P44">
        <f>SmtRes!AG130</f>
        <v>0</v>
      </c>
      <c r="Q44">
        <f>SmtRes!DC130</f>
        <v>0</v>
      </c>
      <c r="R44">
        <f>ROUND(ROUND(Q44*Source!I115,6)*1,2)</f>
        <v>0</v>
      </c>
      <c r="S44">
        <f>SmtRes!AC130</f>
        <v>0</v>
      </c>
      <c r="T44">
        <f>ROUND(ROUND(Q44*Source!I115,6)*SmtRes!AK130,2)</f>
        <v>0</v>
      </c>
      <c r="U44">
        <f>SmtRes!X130</f>
        <v>-75391123</v>
      </c>
      <c r="V44">
        <v>-1622413554</v>
      </c>
      <c r="W44">
        <v>-1578920783</v>
      </c>
      <c r="X44">
        <v>3</v>
      </c>
    </row>
    <row r="45" spans="1:24" ht="12.75">
      <c r="A45">
        <v>20</v>
      </c>
      <c r="B45">
        <v>129</v>
      </c>
      <c r="C45">
        <v>3</v>
      </c>
      <c r="D45">
        <v>0</v>
      </c>
      <c r="E45">
        <f>SmtRes!AV129</f>
        <v>0</v>
      </c>
      <c r="F45" t="str">
        <f>SmtRes!I129</f>
        <v>01.7.11.07-0032</v>
      </c>
      <c r="G45" t="str">
        <f>SmtRes!K129</f>
        <v>Электроды сварочные Э42, диаметр 4 мм</v>
      </c>
      <c r="H45" t="str">
        <f>SmtRes!O129</f>
        <v>т</v>
      </c>
      <c r="I45">
        <f>SmtRes!Y129*Source!I115</f>
        <v>0.0001872</v>
      </c>
      <c r="J45">
        <f>SmtRes!AO129</f>
        <v>1</v>
      </c>
      <c r="K45">
        <f>SmtRes!AE129</f>
        <v>10315.01</v>
      </c>
      <c r="L45">
        <f>SmtRes!DB129</f>
        <v>0.83</v>
      </c>
      <c r="M45">
        <f>ROUND(ROUND(L45*Source!I115,6)*1,2)</f>
        <v>1.94</v>
      </c>
      <c r="N45">
        <f>SmtRes!AA129</f>
        <v>105316.25</v>
      </c>
      <c r="O45">
        <f>ROUND(ROUND(L45*Source!I115,6)*SmtRes!DA129,2)</f>
        <v>19.83</v>
      </c>
      <c r="P45">
        <f>SmtRes!AG129</f>
        <v>0</v>
      </c>
      <c r="Q45">
        <f>SmtRes!DC129</f>
        <v>0</v>
      </c>
      <c r="R45">
        <f>ROUND(ROUND(Q45*Source!I115,6)*1,2)</f>
        <v>0</v>
      </c>
      <c r="S45">
        <f>SmtRes!AC129</f>
        <v>0</v>
      </c>
      <c r="T45">
        <f>ROUND(ROUND(Q45*Source!I115,6)*SmtRes!AK129,2)</f>
        <v>0</v>
      </c>
      <c r="U45">
        <f>SmtRes!X129</f>
        <v>1467298708</v>
      </c>
      <c r="V45">
        <v>-167707044</v>
      </c>
      <c r="W45">
        <v>1556568756</v>
      </c>
      <c r="X45">
        <v>3</v>
      </c>
    </row>
    <row r="46" spans="1:24" ht="12.75">
      <c r="A46">
        <v>20</v>
      </c>
      <c r="B46">
        <v>128</v>
      </c>
      <c r="C46">
        <v>2</v>
      </c>
      <c r="D46">
        <v>0</v>
      </c>
      <c r="E46">
        <f>SmtRes!AV128</f>
        <v>0</v>
      </c>
      <c r="F46" t="str">
        <f>SmtRes!I128</f>
        <v>91.17.04-233</v>
      </c>
      <c r="G46" t="str">
        <f>SmtRes!K128</f>
        <v>Установки для сварки ручной дуговой (постоянного тока)</v>
      </c>
      <c r="H46" t="str">
        <f>SmtRes!O128</f>
        <v>маш.-ч</v>
      </c>
      <c r="I46">
        <f>SmtRes!Y128*Source!I115</f>
        <v>2.1352499999999996</v>
      </c>
      <c r="J46">
        <f>SmtRes!AO128</f>
        <v>1</v>
      </c>
      <c r="K46">
        <f>SmtRes!AF128</f>
        <v>8.1</v>
      </c>
      <c r="L46">
        <f>SmtRes!DB128</f>
        <v>7.3875</v>
      </c>
      <c r="M46">
        <f>ROUND(ROUND(L46*Source!I115,6)*1,2)</f>
        <v>17.29</v>
      </c>
      <c r="N46">
        <f>SmtRes!AB128</f>
        <v>40.99</v>
      </c>
      <c r="O46">
        <f>ROUND(ROUND(L46*Source!I115,6)*SmtRes!DA128,2)</f>
        <v>87.47</v>
      </c>
      <c r="P46">
        <f>SmtRes!AG128</f>
        <v>0</v>
      </c>
      <c r="Q46">
        <f>SmtRes!DC128</f>
        <v>0</v>
      </c>
      <c r="R46">
        <f>ROUND(ROUND(Q46*Source!I115,6)*1,2)</f>
        <v>0</v>
      </c>
      <c r="S46">
        <f>SmtRes!AC128</f>
        <v>0</v>
      </c>
      <c r="T46">
        <f>ROUND(ROUND(Q46*Source!I115,6)*SmtRes!AK128,2)</f>
        <v>0</v>
      </c>
      <c r="U46">
        <f>SmtRes!X128</f>
        <v>900652632</v>
      </c>
      <c r="V46">
        <v>1828647166</v>
      </c>
      <c r="W46">
        <v>1221640938</v>
      </c>
      <c r="X46">
        <v>2</v>
      </c>
    </row>
    <row r="47" spans="1:24" ht="12.75">
      <c r="A47">
        <v>20</v>
      </c>
      <c r="B47">
        <v>127</v>
      </c>
      <c r="C47">
        <v>2</v>
      </c>
      <c r="D47">
        <v>0</v>
      </c>
      <c r="E47">
        <f>SmtRes!AV127</f>
        <v>0</v>
      </c>
      <c r="F47" t="str">
        <f>SmtRes!I127</f>
        <v>91.14.02-001</v>
      </c>
      <c r="G47" t="str">
        <f>SmtRes!K127</f>
        <v>Автомобили бортовые, грузоподъемность до 5 т</v>
      </c>
      <c r="H47" t="str">
        <f>SmtRes!O127</f>
        <v>маш.-ч</v>
      </c>
      <c r="I47">
        <f>SmtRes!Y127*Source!I115</f>
        <v>0.058499999999999996</v>
      </c>
      <c r="J47">
        <f>SmtRes!AO127</f>
        <v>1</v>
      </c>
      <c r="K47">
        <f>SmtRes!AF127</f>
        <v>65.71</v>
      </c>
      <c r="L47">
        <f>SmtRes!DB127</f>
        <v>1.6375</v>
      </c>
      <c r="M47">
        <f>ROUND(ROUND(L47*Source!I115,6)*1,2)</f>
        <v>3.83</v>
      </c>
      <c r="N47">
        <f>SmtRes!AB127</f>
        <v>758.95</v>
      </c>
      <c r="O47">
        <f>ROUND(ROUND(L47*Source!I115,6)*SmtRes!DA127,2)</f>
        <v>44.26</v>
      </c>
      <c r="P47">
        <f>SmtRes!AG127</f>
        <v>11.6</v>
      </c>
      <c r="Q47">
        <f>SmtRes!DC127</f>
        <v>0.2875</v>
      </c>
      <c r="R47">
        <f>ROUND(ROUND(Q47*Source!I115,6)*1,2)</f>
        <v>0.67</v>
      </c>
      <c r="S47">
        <f>SmtRes!AC127</f>
        <v>394.52</v>
      </c>
      <c r="T47">
        <f>ROUND(ROUND(Q47*Source!I115,6)*SmtRes!AK127,2)</f>
        <v>22.88</v>
      </c>
      <c r="U47">
        <f>SmtRes!X127</f>
        <v>-841254546</v>
      </c>
      <c r="V47">
        <v>786429305</v>
      </c>
      <c r="W47">
        <v>1719692319</v>
      </c>
      <c r="X47">
        <v>2</v>
      </c>
    </row>
    <row r="48" spans="1:24" ht="12.75">
      <c r="A48">
        <v>20</v>
      </c>
      <c r="B48">
        <v>125</v>
      </c>
      <c r="C48">
        <v>1</v>
      </c>
      <c r="D48">
        <v>0</v>
      </c>
      <c r="E48">
        <f>SmtRes!AV125</f>
        <v>1</v>
      </c>
      <c r="F48" t="str">
        <f>SmtRes!I125</f>
        <v>1-100-43</v>
      </c>
      <c r="G48" t="str">
        <f>SmtRes!K125</f>
        <v>Рабочий среднего разряда 4.3</v>
      </c>
      <c r="H48" t="str">
        <f>SmtRes!O125</f>
        <v>чел.-ч.</v>
      </c>
      <c r="I48">
        <f>SmtRes!Y125*Source!I115</f>
        <v>7.480979999999999</v>
      </c>
      <c r="J48">
        <f>SmtRes!AO125</f>
        <v>1</v>
      </c>
      <c r="K48">
        <f>SmtRes!AH125</f>
        <v>10.06</v>
      </c>
      <c r="L48">
        <f>SmtRes!DB125</f>
        <v>32.1655</v>
      </c>
      <c r="M48">
        <f>ROUND(ROUND(L48*Source!I115,6)*1,2)</f>
        <v>75.27</v>
      </c>
      <c r="N48">
        <f>SmtRes!AD125</f>
        <v>10.06</v>
      </c>
      <c r="O48">
        <f>ROUND(ROUND(L48*Source!I115,6)*SmtRes!DA125,2)</f>
        <v>75.27</v>
      </c>
      <c r="P48">
        <f>SmtRes!AG125</f>
        <v>0</v>
      </c>
      <c r="Q48">
        <f>SmtRes!DC125</f>
        <v>0</v>
      </c>
      <c r="R48">
        <f>ROUND(ROUND(Q48*Source!I115,6)*1,2)</f>
        <v>0</v>
      </c>
      <c r="S48">
        <f>SmtRes!AC125</f>
        <v>0</v>
      </c>
      <c r="T48">
        <f>ROUND(ROUND(Q48*Source!I115,6)*SmtRes!AK125,2)</f>
        <v>0</v>
      </c>
      <c r="U48">
        <f>SmtRes!X125</f>
        <v>687044855</v>
      </c>
      <c r="V48">
        <v>1838218977</v>
      </c>
      <c r="W48">
        <v>2069007811</v>
      </c>
      <c r="X48">
        <v>1</v>
      </c>
    </row>
    <row r="49" spans="1:24" ht="12.75">
      <c r="A49">
        <f>Source!A117</f>
        <v>18</v>
      </c>
      <c r="B49">
        <v>117</v>
      </c>
      <c r="C49">
        <v>3</v>
      </c>
      <c r="D49">
        <f>Source!BI117</f>
        <v>1</v>
      </c>
      <c r="E49">
        <f>Source!FS117</f>
        <v>0</v>
      </c>
      <c r="F49" t="str">
        <f>Source!F117</f>
        <v>Цена Поставщика</v>
      </c>
      <c r="G49" t="str">
        <f>Source!G117</f>
        <v>(Д-1)  Дверь металлическая 1300х1800, ДПМ-02 EI60, нажимной гарнитур, замок, цилиндр ключ-ключ, доводчик на одну створку, шпингалеты (2шт).</v>
      </c>
      <c r="H49" t="str">
        <f>Source!H117</f>
        <v>ШТ</v>
      </c>
      <c r="I49">
        <f>Source!I117</f>
        <v>0.999999</v>
      </c>
      <c r="J49">
        <v>1</v>
      </c>
      <c r="K49">
        <f>Source!AC117</f>
        <v>70334.19</v>
      </c>
      <c r="M49">
        <f>ROUND(K49*I49,2)</f>
        <v>70334.12</v>
      </c>
      <c r="N49">
        <f>Source!AC117*IF(Source!BC117&lt;&gt;0,Source!BC117,1)</f>
        <v>70334.19</v>
      </c>
      <c r="O49">
        <f>ROUND(N49*I49,2)</f>
        <v>70334.12</v>
      </c>
      <c r="P49">
        <f>Source!AE117</f>
        <v>0</v>
      </c>
      <c r="R49">
        <f>ROUND(P49*I49,2)</f>
        <v>0</v>
      </c>
      <c r="S49">
        <f>Source!AE117*IF(Source!BS117&lt;&gt;0,Source!BS117,1)</f>
        <v>0</v>
      </c>
      <c r="T49">
        <f>ROUND(S49*I49,2)</f>
        <v>0</v>
      </c>
      <c r="U49">
        <f>Source!GF117</f>
        <v>-1756091015</v>
      </c>
      <c r="V49">
        <v>-2090583211</v>
      </c>
      <c r="W49">
        <v>286144294</v>
      </c>
      <c r="X49">
        <v>3</v>
      </c>
    </row>
    <row r="50" spans="1:7" ht="12.75">
      <c r="A50">
        <f>Source!A149</f>
        <v>4</v>
      </c>
      <c r="B50">
        <v>149</v>
      </c>
      <c r="G50" t="str">
        <f>Source!G149</f>
        <v>Разные работы</v>
      </c>
    </row>
    <row r="51" spans="1:24" ht="12.75">
      <c r="A51">
        <v>20</v>
      </c>
      <c r="B51">
        <v>136</v>
      </c>
      <c r="C51">
        <v>2</v>
      </c>
      <c r="D51">
        <v>0</v>
      </c>
      <c r="E51">
        <f>SmtRes!AV136</f>
        <v>0</v>
      </c>
      <c r="F51" t="str">
        <f>SmtRes!I136</f>
        <v>400051</v>
      </c>
      <c r="G51" t="str">
        <f>SmtRes!K136</f>
        <v>Автомобиль-самосвал, грузоподъемность до 7 т</v>
      </c>
      <c r="H51" t="str">
        <f>SmtRes!O136</f>
        <v>маш.-ч</v>
      </c>
      <c r="I51">
        <f>SmtRes!Y136*Source!I154</f>
        <v>0.1508</v>
      </c>
      <c r="J51">
        <f>SmtRes!AO136</f>
        <v>1</v>
      </c>
      <c r="K51">
        <f>SmtRes!AF136</f>
        <v>111</v>
      </c>
      <c r="L51">
        <f>SmtRes!DB136</f>
        <v>32.19</v>
      </c>
      <c r="M51">
        <f>ROUND(ROUND(L51*Source!I154,6)*1,2)</f>
        <v>16.74</v>
      </c>
      <c r="N51">
        <f>SmtRes!AB136</f>
        <v>111</v>
      </c>
      <c r="O51">
        <f>ROUND(ROUND(L51*Source!I154,6)*SmtRes!DA136,2)</f>
        <v>16.74</v>
      </c>
      <c r="P51">
        <f>SmtRes!AG136</f>
        <v>11.6</v>
      </c>
      <c r="Q51">
        <f>SmtRes!DC136</f>
        <v>3.36</v>
      </c>
      <c r="R51">
        <f>ROUND(ROUND(Q51*Source!I154,6)*1,2)</f>
        <v>1.75</v>
      </c>
      <c r="S51">
        <f>SmtRes!AC136</f>
        <v>11.6</v>
      </c>
      <c r="T51">
        <f>ROUND(ROUND(Q51*Source!I154,6)*SmtRes!AK136,2)</f>
        <v>1.75</v>
      </c>
      <c r="U51">
        <f>SmtRes!X136</f>
        <v>1020660697</v>
      </c>
      <c r="V51">
        <v>1673915069</v>
      </c>
      <c r="W51">
        <v>-244032597</v>
      </c>
      <c r="X51">
        <v>2</v>
      </c>
    </row>
    <row r="52" spans="1:24" ht="12.75">
      <c r="A52">
        <v>20</v>
      </c>
      <c r="B52">
        <v>135</v>
      </c>
      <c r="C52">
        <v>1</v>
      </c>
      <c r="D52">
        <v>0</v>
      </c>
      <c r="E52">
        <f>SmtRes!AV135</f>
        <v>1</v>
      </c>
      <c r="F52" t="str">
        <f>SmtRes!I135</f>
        <v>1-1010</v>
      </c>
      <c r="G52" t="str">
        <f>SmtRes!K135</f>
        <v>Рабочий строитель среднего разряда 1</v>
      </c>
      <c r="H52" t="str">
        <f>SmtRes!O135</f>
        <v>чел.-ч</v>
      </c>
      <c r="I52">
        <f>SmtRes!Y135*Source!I154</f>
        <v>0.300404</v>
      </c>
      <c r="J52">
        <f>SmtRes!AO135</f>
        <v>1</v>
      </c>
      <c r="K52">
        <f>SmtRes!AH135</f>
        <v>7.19</v>
      </c>
      <c r="L52">
        <f>SmtRes!DB135</f>
        <v>4.15</v>
      </c>
      <c r="M52">
        <f>ROUND(ROUND(L52*Source!I154,6)*1,2)</f>
        <v>2.16</v>
      </c>
      <c r="N52">
        <f>SmtRes!AD135</f>
        <v>7.19</v>
      </c>
      <c r="O52">
        <f>ROUND(ROUND(L52*Source!I154,6)*SmtRes!DA135,2)</f>
        <v>2.16</v>
      </c>
      <c r="P52">
        <f>SmtRes!AG135</f>
        <v>0</v>
      </c>
      <c r="Q52">
        <f>SmtRes!DC135</f>
        <v>0</v>
      </c>
      <c r="R52">
        <f>ROUND(ROUND(Q52*Source!I154,6)*1,2)</f>
        <v>0</v>
      </c>
      <c r="S52">
        <f>SmtRes!AC135</f>
        <v>0</v>
      </c>
      <c r="T52">
        <f>ROUND(ROUND(Q52*Source!I154,6)*SmtRes!AK135,2)</f>
        <v>0</v>
      </c>
      <c r="U52">
        <f>SmtRes!X135</f>
        <v>317644410</v>
      </c>
      <c r="V52">
        <v>-2019694442</v>
      </c>
      <c r="W52">
        <v>400193360</v>
      </c>
      <c r="X52">
        <v>1</v>
      </c>
    </row>
    <row r="53" ht="12.75">
      <c r="A53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8" width="12.7109375" style="0" customWidth="1"/>
    <col min="15" max="15" width="127.7109375" style="0" hidden="1" customWidth="1"/>
    <col min="16" max="18" width="0" style="0" hidden="1" customWidth="1"/>
  </cols>
  <sheetData>
    <row r="2" spans="1:8" ht="16.5">
      <c r="A2" s="161" t="s">
        <v>548</v>
      </c>
      <c r="B2" s="162"/>
      <c r="C2" s="162"/>
      <c r="D2" s="162"/>
      <c r="E2" s="162"/>
      <c r="F2" s="162"/>
      <c r="G2" s="162"/>
      <c r="H2" s="162"/>
    </row>
    <row r="3" spans="1:15" ht="16.5">
      <c r="A3" s="161" t="str">
        <f>CONCATENATE("Объект: ",IF(Source!G222&lt;&gt;"Новый объект",Source!G222,""))</f>
        <v>Объект: Реализация выполнения работ по обеспечению пожарной безопасности объекта ИПУ РАН</v>
      </c>
      <c r="B3" s="162"/>
      <c r="C3" s="162"/>
      <c r="D3" s="162"/>
      <c r="E3" s="162"/>
      <c r="F3" s="162"/>
      <c r="G3" s="162"/>
      <c r="H3" s="162"/>
      <c r="O3" s="100" t="s">
        <v>549</v>
      </c>
    </row>
    <row r="4" spans="1:8" ht="12.75">
      <c r="A4" s="131" t="s">
        <v>550</v>
      </c>
      <c r="B4" s="131" t="s">
        <v>551</v>
      </c>
      <c r="C4" s="131" t="s">
        <v>477</v>
      </c>
      <c r="D4" s="131" t="s">
        <v>552</v>
      </c>
      <c r="E4" s="139" t="s">
        <v>553</v>
      </c>
      <c r="F4" s="140"/>
      <c r="G4" s="139" t="s">
        <v>556</v>
      </c>
      <c r="H4" s="140"/>
    </row>
    <row r="5" spans="1:8" ht="12.75">
      <c r="A5" s="165"/>
      <c r="B5" s="165"/>
      <c r="C5" s="165"/>
      <c r="D5" s="165"/>
      <c r="E5" s="166"/>
      <c r="F5" s="167"/>
      <c r="G5" s="166"/>
      <c r="H5" s="167"/>
    </row>
    <row r="6" spans="1:8" ht="14.25">
      <c r="A6" s="132"/>
      <c r="B6" s="132"/>
      <c r="C6" s="132"/>
      <c r="D6" s="132"/>
      <c r="E6" s="30" t="s">
        <v>554</v>
      </c>
      <c r="F6" s="30" t="s">
        <v>555</v>
      </c>
      <c r="G6" s="30" t="s">
        <v>554</v>
      </c>
      <c r="H6" s="30" t="s">
        <v>555</v>
      </c>
    </row>
    <row r="7" spans="1:8" ht="14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15" ht="33">
      <c r="A8" s="161" t="str">
        <f>CONCATENATE("Локальная смета: ",IF(Source!G22&lt;&gt;"Новая локальная смета",Source!G22,""))</f>
        <v>Локальная смета: Реализация выполнения работ по обеспечению пожарной безопастности объекта ИПУ РАН</v>
      </c>
      <c r="B8" s="162"/>
      <c r="C8" s="162"/>
      <c r="D8" s="162"/>
      <c r="E8" s="162"/>
      <c r="F8" s="162"/>
      <c r="G8" s="162"/>
      <c r="H8" s="162"/>
      <c r="O8" s="100" t="s">
        <v>557</v>
      </c>
    </row>
    <row r="9" spans="1:8" ht="16.5">
      <c r="A9" s="161" t="str">
        <f>CONCATENATE("Раздел: ",IF(Source!G26&lt;&gt;"Новый раздел",Source!G26,""))</f>
        <v>Раздел: Строение 1</v>
      </c>
      <c r="B9" s="162"/>
      <c r="C9" s="162"/>
      <c r="D9" s="162"/>
      <c r="E9" s="162"/>
      <c r="F9" s="162"/>
      <c r="G9" s="162"/>
      <c r="H9" s="162"/>
    </row>
    <row r="10" spans="1:8" ht="14.25">
      <c r="A10" s="163" t="s">
        <v>558</v>
      </c>
      <c r="B10" s="164"/>
      <c r="C10" s="164"/>
      <c r="D10" s="164"/>
      <c r="E10" s="164"/>
      <c r="F10" s="164"/>
      <c r="G10" s="164"/>
      <c r="H10" s="164"/>
    </row>
    <row r="11" spans="1:17" ht="14.25">
      <c r="A11" s="101" t="s">
        <v>313</v>
      </c>
      <c r="B11" s="93" t="s">
        <v>314</v>
      </c>
      <c r="C11" s="93" t="s">
        <v>297</v>
      </c>
      <c r="D11" s="94">
        <f>ROUND(SUMIF(RV_DATA!W8:RV_DATA!W21,-1107782587,RV_DATA!I8:RV_DATA!I21),6)</f>
        <v>1.8444</v>
      </c>
      <c r="E11" s="102">
        <f>ROUND(RV_DATA!K14,6)</f>
        <v>8.02</v>
      </c>
      <c r="F11" s="102">
        <f>ROUND(SUMIF(RV_DATA!W8:RV_DATA!W21,-1107782587,RV_DATA!M8:RV_DATA!M21),6)</f>
        <v>14.79</v>
      </c>
      <c r="G11" s="102">
        <f>ROUND(RV_DATA!N14,6)</f>
        <v>8.02</v>
      </c>
      <c r="H11" s="102">
        <f>ROUND(SUMIF(RV_DATA!W8:RV_DATA!W21,-1107782587,RV_DATA!O8:RV_DATA!O21),6)</f>
        <v>14.79</v>
      </c>
      <c r="Q11">
        <v>1</v>
      </c>
    </row>
    <row r="12" spans="1:17" ht="14.25">
      <c r="A12" s="101" t="s">
        <v>295</v>
      </c>
      <c r="B12" s="93" t="s">
        <v>296</v>
      </c>
      <c r="C12" s="93" t="s">
        <v>297</v>
      </c>
      <c r="D12" s="94">
        <f>ROUND(SUMIF(RV_DATA!W8:RV_DATA!W21,1466984780,RV_DATA!I8:RV_DATA!I21),6)</f>
        <v>11.3022</v>
      </c>
      <c r="E12" s="102">
        <f>ROUND(RV_DATA!K12,6)</f>
        <v>8.64</v>
      </c>
      <c r="F12" s="102">
        <f>ROUND(SUMIF(RV_DATA!W8:RV_DATA!W21,1466984780,RV_DATA!M8:RV_DATA!M21),6)</f>
        <v>97.65</v>
      </c>
      <c r="G12" s="102">
        <f>ROUND(RV_DATA!N12,6)</f>
        <v>8.64</v>
      </c>
      <c r="H12" s="102">
        <f>ROUND(SUMIF(RV_DATA!W8:RV_DATA!W21,1466984780,RV_DATA!O8:RV_DATA!O21),6)</f>
        <v>97.65</v>
      </c>
      <c r="Q12">
        <v>1</v>
      </c>
    </row>
    <row r="13" spans="1:17" ht="14.25">
      <c r="A13" s="101" t="s">
        <v>319</v>
      </c>
      <c r="B13" s="93" t="s">
        <v>320</v>
      </c>
      <c r="C13" s="93" t="s">
        <v>297</v>
      </c>
      <c r="D13" s="94">
        <f>ROUND(SUMIF(RV_DATA!W8:RV_DATA!W21,2069007811,RV_DATA!I8:RV_DATA!I21),6)</f>
        <v>140.507</v>
      </c>
      <c r="E13" s="102">
        <f>ROUND(RV_DATA!K18,6)</f>
        <v>10.06</v>
      </c>
      <c r="F13" s="102">
        <f>ROUND(SUMIF(RV_DATA!W8:RV_DATA!W21,2069007811,RV_DATA!M8:RV_DATA!M21),6)</f>
        <v>1413.5</v>
      </c>
      <c r="G13" s="102">
        <f>ROUND(RV_DATA!N18,6)</f>
        <v>10.06</v>
      </c>
      <c r="H13" s="102">
        <f>ROUND(SUMIF(RV_DATA!W8:RV_DATA!W21,2069007811,RV_DATA!O8:RV_DATA!O21),6)</f>
        <v>1413.5</v>
      </c>
      <c r="Q13">
        <v>1</v>
      </c>
    </row>
    <row r="14" spans="1:8" ht="15">
      <c r="A14" s="159" t="s">
        <v>559</v>
      </c>
      <c r="B14" s="159"/>
      <c r="C14" s="159"/>
      <c r="D14" s="159"/>
      <c r="E14" s="160">
        <f>SUMIF(Q11:Q13,1,F11:F13)</f>
        <v>1525.94</v>
      </c>
      <c r="F14" s="160"/>
      <c r="G14" s="160">
        <f>SUMIF(Q11:Q13,1,H11:H13)</f>
        <v>1525.94</v>
      </c>
      <c r="H14" s="159"/>
    </row>
    <row r="15" spans="1:8" ht="14.25">
      <c r="A15" s="163" t="s">
        <v>560</v>
      </c>
      <c r="B15" s="164"/>
      <c r="C15" s="164"/>
      <c r="D15" s="164"/>
      <c r="E15" s="164"/>
      <c r="F15" s="164"/>
      <c r="G15" s="164"/>
      <c r="H15" s="164"/>
    </row>
    <row r="16" spans="1:17" ht="28.5">
      <c r="A16" s="101" t="s">
        <v>321</v>
      </c>
      <c r="B16" s="93" t="s">
        <v>323</v>
      </c>
      <c r="C16" s="93" t="s">
        <v>303</v>
      </c>
      <c r="D16" s="94">
        <f>ROUND(SUMIF(RV_DATA!W8:RV_DATA!W21,5399079,RV_DATA!I8:RV_DATA!I21),6)</f>
        <v>1.1275</v>
      </c>
      <c r="E16" s="102">
        <f>ROUND(RV_DATA!K17,6)</f>
        <v>115.4</v>
      </c>
      <c r="F16" s="102">
        <f>ROUND(SUMIF(RV_DATA!W8:RV_DATA!W21,5399079,RV_DATA!M8:RV_DATA!M21),6)</f>
        <v>130.11</v>
      </c>
      <c r="G16" s="102">
        <f>ROUND(RV_DATA!N17,6)</f>
        <v>1096.3</v>
      </c>
      <c r="H16" s="102">
        <f>ROUND(SUMIF(RV_DATA!W8:RV_DATA!W21,5399079,RV_DATA!O8:RV_DATA!O21),6)</f>
        <v>1236.08</v>
      </c>
      <c r="Q16">
        <v>2</v>
      </c>
    </row>
    <row r="17" spans="1:17" ht="28.5">
      <c r="A17" s="101" t="s">
        <v>324</v>
      </c>
      <c r="B17" s="93" t="s">
        <v>326</v>
      </c>
      <c r="C17" s="93" t="s">
        <v>303</v>
      </c>
      <c r="D17" s="94">
        <f>ROUND(SUMIF(RV_DATA!W8:RV_DATA!W21,1538099167,RV_DATA!I8:RV_DATA!I21),6)</f>
        <v>22.49875</v>
      </c>
      <c r="E17" s="102">
        <f>ROUND(RV_DATA!K16,6)</f>
        <v>6.9</v>
      </c>
      <c r="F17" s="102">
        <f>ROUND(SUMIF(RV_DATA!W8:RV_DATA!W21,1538099167,RV_DATA!M8:RV_DATA!M21),6)</f>
        <v>155.24</v>
      </c>
      <c r="G17" s="102">
        <f>ROUND(RV_DATA!N16,6)</f>
        <v>32.5</v>
      </c>
      <c r="H17" s="102">
        <f>ROUND(SUMIF(RV_DATA!W8:RV_DATA!W21,1538099167,RV_DATA!O8:RV_DATA!O21),6)</f>
        <v>731.19</v>
      </c>
      <c r="Q17">
        <v>2</v>
      </c>
    </row>
    <row r="18" spans="1:17" ht="42.75">
      <c r="A18" s="101" t="s">
        <v>316</v>
      </c>
      <c r="B18" s="93" t="s">
        <v>318</v>
      </c>
      <c r="C18" s="93" t="s">
        <v>303</v>
      </c>
      <c r="D18" s="94">
        <f>ROUND(SUMIF(RV_DATA!W8:RV_DATA!W21,522838803,RV_DATA!I8:RV_DATA!I21),6)</f>
        <v>0.0372</v>
      </c>
      <c r="E18" s="102">
        <f>ROUND(RV_DATA!K13,6)</f>
        <v>31.26</v>
      </c>
      <c r="F18" s="102">
        <f>ROUND(SUMIF(RV_DATA!W8:RV_DATA!W21,522838803,RV_DATA!M8:RV_DATA!M21),6)</f>
        <v>1.16</v>
      </c>
      <c r="G18" s="102">
        <f>ROUND(RV_DATA!N13,6)</f>
        <v>474.53</v>
      </c>
      <c r="H18" s="102">
        <f>ROUND(SUMIF(RV_DATA!W8:RV_DATA!W21,522838803,RV_DATA!O8:RV_DATA!O21),6)</f>
        <v>17.65</v>
      </c>
      <c r="Q18">
        <v>2</v>
      </c>
    </row>
    <row r="19" spans="1:17" ht="28.5">
      <c r="A19" s="101" t="s">
        <v>300</v>
      </c>
      <c r="B19" s="93" t="s">
        <v>302</v>
      </c>
      <c r="C19" s="93" t="s">
        <v>303</v>
      </c>
      <c r="D19" s="94">
        <f>ROUND(SUMIF(RV_DATA!W8:RV_DATA!W21,-44216034,RV_DATA!I8:RV_DATA!I21),6)</f>
        <v>0.0315</v>
      </c>
      <c r="E19" s="102">
        <f>ROUND(RV_DATA!K11,6)</f>
        <v>65.71</v>
      </c>
      <c r="F19" s="102">
        <f>ROUND(SUMIF(RV_DATA!W8:RV_DATA!W21,-44216034,RV_DATA!M8:RV_DATA!M21),6)</f>
        <v>2.07</v>
      </c>
      <c r="G19" s="102">
        <f>ROUND(RV_DATA!N11,6)</f>
        <v>758.95</v>
      </c>
      <c r="H19" s="102">
        <f>ROUND(SUMIF(RV_DATA!W8:RV_DATA!W21,-44216034,RV_DATA!O8:RV_DATA!O21),6)</f>
        <v>23.91</v>
      </c>
      <c r="Q19">
        <v>2</v>
      </c>
    </row>
    <row r="20" spans="1:17" ht="28.5">
      <c r="A20" s="101" t="s">
        <v>300</v>
      </c>
      <c r="B20" s="93" t="s">
        <v>302</v>
      </c>
      <c r="C20" s="93" t="s">
        <v>303</v>
      </c>
      <c r="D20" s="94">
        <f>ROUND(SUMIF(RV_DATA!W8:RV_DATA!W21,1719692319,RV_DATA!I8:RV_DATA!I21),6)</f>
        <v>0.1435</v>
      </c>
      <c r="E20" s="102">
        <f>ROUND(RV_DATA!K15,6)</f>
        <v>65.71</v>
      </c>
      <c r="F20" s="102">
        <f>ROUND(SUMIF(RV_DATA!W8:RV_DATA!W21,1719692319,RV_DATA!M8:RV_DATA!M21),6)</f>
        <v>9.43</v>
      </c>
      <c r="G20" s="102">
        <f>ROUND(RV_DATA!N15,6)</f>
        <v>758.95</v>
      </c>
      <c r="H20" s="102">
        <f>ROUND(SUMIF(RV_DATA!W8:RV_DATA!W21,1719692319,RV_DATA!O8:RV_DATA!O21),6)</f>
        <v>108.92</v>
      </c>
      <c r="Q20">
        <v>2</v>
      </c>
    </row>
    <row r="21" spans="1:8" ht="15">
      <c r="A21" s="159" t="s">
        <v>561</v>
      </c>
      <c r="B21" s="159"/>
      <c r="C21" s="159"/>
      <c r="D21" s="159"/>
      <c r="E21" s="160">
        <f>SUMIF(Q16:Q20,2,F16:F20)</f>
        <v>298.01000000000005</v>
      </c>
      <c r="F21" s="160"/>
      <c r="G21" s="160">
        <f>SUMIF(Q16:Q20,2,H16:H20)</f>
        <v>2117.75</v>
      </c>
      <c r="H21" s="159"/>
    </row>
    <row r="22" spans="1:8" ht="14.25">
      <c r="A22" s="163" t="s">
        <v>562</v>
      </c>
      <c r="B22" s="164"/>
      <c r="C22" s="164"/>
      <c r="D22" s="164"/>
      <c r="E22" s="164"/>
      <c r="F22" s="164"/>
      <c r="G22" s="164"/>
      <c r="H22" s="164"/>
    </row>
    <row r="23" spans="1:17" ht="28.5">
      <c r="A23" s="101" t="s">
        <v>304</v>
      </c>
      <c r="B23" s="93" t="s">
        <v>306</v>
      </c>
      <c r="C23" s="93" t="s">
        <v>70</v>
      </c>
      <c r="D23" s="94">
        <f>ROUND(SUMIF(RV_DATA!W8:RV_DATA!W21,-296401705,RV_DATA!I8:RV_DATA!I21),6)</f>
        <v>0.00112</v>
      </c>
      <c r="E23" s="102">
        <f>ROUND(RV_DATA!K10,6)</f>
        <v>1100</v>
      </c>
      <c r="F23" s="102">
        <f>ROUND(SUMIF(RV_DATA!W8:RV_DATA!W21,-296401705,RV_DATA!M8:RV_DATA!M21),6)</f>
        <v>1.23</v>
      </c>
      <c r="G23" s="102">
        <f>ROUND(RV_DATA!N10,6)</f>
        <v>4895</v>
      </c>
      <c r="H23" s="102">
        <f>ROUND(SUMIF(RV_DATA!W8:RV_DATA!W21,-296401705,RV_DATA!O8:RV_DATA!O21),6)</f>
        <v>5.48</v>
      </c>
      <c r="Q23">
        <v>3</v>
      </c>
    </row>
    <row r="24" spans="1:17" ht="42.75">
      <c r="A24" s="101" t="s">
        <v>307</v>
      </c>
      <c r="B24" s="93" t="s">
        <v>309</v>
      </c>
      <c r="C24" s="93" t="s">
        <v>50</v>
      </c>
      <c r="D24" s="94">
        <f>ROUND(SUMIF(RV_DATA!W8:RV_DATA!W21,-1031119490,RV_DATA!I8:RV_DATA!I21),6)</f>
        <v>0.00406</v>
      </c>
      <c r="E24" s="102">
        <f>ROUND(RV_DATA!K9,6)</f>
        <v>6102</v>
      </c>
      <c r="F24" s="102">
        <f>ROUND(SUMIF(RV_DATA!W8:RV_DATA!W21,-1031119490,RV_DATA!M8:RV_DATA!M21),6)</f>
        <v>24.77</v>
      </c>
      <c r="G24" s="102">
        <f>ROUND(RV_DATA!N9,6)</f>
        <v>36367.92</v>
      </c>
      <c r="H24" s="102">
        <f>ROUND(SUMIF(RV_DATA!W8:RV_DATA!W21,-1031119490,RV_DATA!O8:RV_DATA!O21),6)</f>
        <v>147.66</v>
      </c>
      <c r="Q24">
        <v>3</v>
      </c>
    </row>
    <row r="25" spans="1:17" ht="28.5">
      <c r="A25" s="101" t="s">
        <v>310</v>
      </c>
      <c r="B25" s="93" t="s">
        <v>312</v>
      </c>
      <c r="C25" s="93" t="s">
        <v>174</v>
      </c>
      <c r="D25" s="94">
        <f>ROUND(SUMIF(RV_DATA!W8:RV_DATA!W21,-816233235,RV_DATA!I8:RV_DATA!I21),6)</f>
        <v>0.77</v>
      </c>
      <c r="E25" s="102">
        <f>ROUND(RV_DATA!K8,6)</f>
        <v>35.22</v>
      </c>
      <c r="F25" s="102">
        <f>ROUND(SUMIF(RV_DATA!W8:RV_DATA!W21,-816233235,RV_DATA!M8:RV_DATA!M21),6)</f>
        <v>27.12</v>
      </c>
      <c r="G25" s="102">
        <f>ROUND(RV_DATA!N8,6)</f>
        <v>431.45</v>
      </c>
      <c r="H25" s="102">
        <f>ROUND(SUMIF(RV_DATA!W8:RV_DATA!W21,-816233235,RV_DATA!O8:RV_DATA!O21),6)</f>
        <v>332.21</v>
      </c>
      <c r="Q25">
        <v>3</v>
      </c>
    </row>
    <row r="26" spans="1:17" ht="99.75">
      <c r="A26" s="101" t="s">
        <v>59</v>
      </c>
      <c r="B26" s="93" t="s">
        <v>60</v>
      </c>
      <c r="C26" s="93" t="s">
        <v>61</v>
      </c>
      <c r="D26" s="94">
        <f>ROUND(SUMIF(RV_DATA!W8:RV_DATA!W21,1030940660,RV_DATA!I8:RV_DATA!I21),6)</f>
        <v>1</v>
      </c>
      <c r="E26" s="102">
        <f>ROUND(RV_DATA!K19,6)</f>
        <v>108936.28</v>
      </c>
      <c r="F26" s="102">
        <f>ROUND(SUMIF(RV_DATA!W8:RV_DATA!W21,1030940660,RV_DATA!M8:RV_DATA!M21),6)</f>
        <v>108936.28</v>
      </c>
      <c r="G26" s="102">
        <f>ROUND(RV_DATA!N19,6)</f>
        <v>108936.28</v>
      </c>
      <c r="H26" s="102">
        <f>ROUND(SUMIF(RV_DATA!W8:RV_DATA!W21,1030940660,RV_DATA!O8:RV_DATA!O21),6)</f>
        <v>108936.28</v>
      </c>
      <c r="Q26">
        <v>3</v>
      </c>
    </row>
    <row r="27" spans="1:17" ht="71.25">
      <c r="A27" s="101" t="s">
        <v>59</v>
      </c>
      <c r="B27" s="93" t="s">
        <v>64</v>
      </c>
      <c r="C27" s="93" t="s">
        <v>61</v>
      </c>
      <c r="D27" s="94">
        <f>ROUND(SUMIF(RV_DATA!W8:RV_DATA!W21,1586744123,RV_DATA!I8:RV_DATA!I21),6)</f>
        <v>1</v>
      </c>
      <c r="E27" s="102">
        <f>ROUND(RV_DATA!K20,6)</f>
        <v>241294.69</v>
      </c>
      <c r="F27" s="102">
        <f>ROUND(SUMIF(RV_DATA!W8:RV_DATA!W21,1586744123,RV_DATA!M8:RV_DATA!M21),6)</f>
        <v>241294.69</v>
      </c>
      <c r="G27" s="102">
        <f>ROUND(RV_DATA!N20,6)</f>
        <v>241294.69</v>
      </c>
      <c r="H27" s="102">
        <f>ROUND(SUMIF(RV_DATA!W8:RV_DATA!W21,1586744123,RV_DATA!O8:RV_DATA!O21),6)</f>
        <v>241294.69</v>
      </c>
      <c r="Q27">
        <v>3</v>
      </c>
    </row>
    <row r="28" spans="1:17" ht="71.25">
      <c r="A28" s="101" t="s">
        <v>59</v>
      </c>
      <c r="B28" s="93" t="s">
        <v>66</v>
      </c>
      <c r="C28" s="93" t="s">
        <v>61</v>
      </c>
      <c r="D28" s="94">
        <f>ROUND(SUMIF(RV_DATA!W8:RV_DATA!W21,-1215192027,RV_DATA!I8:RV_DATA!I21),6)</f>
        <v>1</v>
      </c>
      <c r="E28" s="102">
        <f>ROUND(RV_DATA!K21,6)</f>
        <v>587378.89</v>
      </c>
      <c r="F28" s="102">
        <f>ROUND(SUMIF(RV_DATA!W8:RV_DATA!W21,-1215192027,RV_DATA!M8:RV_DATA!M21),6)</f>
        <v>587378.89</v>
      </c>
      <c r="G28" s="102">
        <f>ROUND(RV_DATA!N21,6)</f>
        <v>587378.89</v>
      </c>
      <c r="H28" s="102">
        <f>ROUND(SUMIF(RV_DATA!W8:RV_DATA!W21,-1215192027,RV_DATA!O8:RV_DATA!O21),6)</f>
        <v>587378.89</v>
      </c>
      <c r="Q28">
        <v>3</v>
      </c>
    </row>
    <row r="29" spans="1:8" ht="15">
      <c r="A29" s="159" t="s">
        <v>563</v>
      </c>
      <c r="B29" s="159"/>
      <c r="C29" s="159"/>
      <c r="D29" s="159"/>
      <c r="E29" s="160">
        <f>SUMIF(Q23:Q28,3,F23:F28)</f>
        <v>937662.98</v>
      </c>
      <c r="F29" s="160"/>
      <c r="G29" s="160">
        <f>SUMIF(Q23:Q28,3,H23:H28)</f>
        <v>938095.21</v>
      </c>
      <c r="H29" s="159"/>
    </row>
    <row r="30" spans="1:8" ht="16.5">
      <c r="A30" s="161" t="str">
        <f>CONCATENATE("Раздел: ",IF(Source!G84&lt;&gt;"Новый раздел",Source!G84,""))</f>
        <v>Раздел: Строение 2</v>
      </c>
      <c r="B30" s="162"/>
      <c r="C30" s="162"/>
      <c r="D30" s="162"/>
      <c r="E30" s="162"/>
      <c r="F30" s="162"/>
      <c r="G30" s="162"/>
      <c r="H30" s="162"/>
    </row>
    <row r="31" spans="1:8" ht="14.25">
      <c r="A31" s="163" t="s">
        <v>558</v>
      </c>
      <c r="B31" s="164"/>
      <c r="C31" s="164"/>
      <c r="D31" s="164"/>
      <c r="E31" s="164"/>
      <c r="F31" s="164"/>
      <c r="G31" s="164"/>
      <c r="H31" s="164"/>
    </row>
    <row r="32" spans="1:17" ht="14.25">
      <c r="A32" s="101" t="s">
        <v>313</v>
      </c>
      <c r="B32" s="93" t="s">
        <v>314</v>
      </c>
      <c r="C32" s="93" t="s">
        <v>297</v>
      </c>
      <c r="D32" s="94">
        <f>ROUND(SUMIF(RV_DATA!W23:RV_DATA!W49,-1107782587,RV_DATA!I23:RV_DATA!I49),6)</f>
        <v>5.4818</v>
      </c>
      <c r="E32" s="102">
        <f>ROUND(RV_DATA!K29,6)</f>
        <v>8.02</v>
      </c>
      <c r="F32" s="102">
        <f>ROUND(SUMIF(RV_DATA!W23:RV_DATA!W49,-1107782587,RV_DATA!M23:RV_DATA!M49),6)</f>
        <v>43.96</v>
      </c>
      <c r="G32" s="102">
        <f>ROUND(RV_DATA!N29,6)</f>
        <v>8.02</v>
      </c>
      <c r="H32" s="102">
        <f>ROUND(SUMIF(RV_DATA!W23:RV_DATA!W49,-1107782587,RV_DATA!O23:RV_DATA!O49),6)</f>
        <v>43.96</v>
      </c>
      <c r="Q32">
        <v>1</v>
      </c>
    </row>
    <row r="33" spans="1:17" ht="14.25">
      <c r="A33" s="101" t="s">
        <v>295</v>
      </c>
      <c r="B33" s="93" t="s">
        <v>296</v>
      </c>
      <c r="C33" s="93" t="s">
        <v>297</v>
      </c>
      <c r="D33" s="94">
        <f>ROUND(SUMIF(RV_DATA!W23:RV_DATA!W49,1466984780,RV_DATA!I23:RV_DATA!I49),6)</f>
        <v>8.073</v>
      </c>
      <c r="E33" s="102">
        <f>ROUND(RV_DATA!K27,6)</f>
        <v>8.64</v>
      </c>
      <c r="F33" s="102">
        <f>ROUND(SUMIF(RV_DATA!W23:RV_DATA!W49,1466984780,RV_DATA!M23:RV_DATA!M49),6)</f>
        <v>69.75</v>
      </c>
      <c r="G33" s="102">
        <f>ROUND(RV_DATA!N27,6)</f>
        <v>8.64</v>
      </c>
      <c r="H33" s="102">
        <f>ROUND(SUMIF(RV_DATA!W23:RV_DATA!W49,1466984780,RV_DATA!O23:RV_DATA!O49),6)</f>
        <v>69.75</v>
      </c>
      <c r="Q33">
        <v>1</v>
      </c>
    </row>
    <row r="34" spans="1:17" ht="14.25">
      <c r="A34" s="101" t="s">
        <v>327</v>
      </c>
      <c r="B34" s="93" t="s">
        <v>328</v>
      </c>
      <c r="C34" s="93" t="s">
        <v>297</v>
      </c>
      <c r="D34" s="94">
        <f>ROUND(SUMIF(RV_DATA!W23:RV_DATA!W49,-598052579,RV_DATA!I23:RV_DATA!I49),6)</f>
        <v>3.92224</v>
      </c>
      <c r="E34" s="102">
        <f>ROUND(RV_DATA!K32,6)</f>
        <v>8.74</v>
      </c>
      <c r="F34" s="102">
        <f>ROUND(SUMIF(RV_DATA!W23:RV_DATA!W49,-598052579,RV_DATA!M23:RV_DATA!M49),6)</f>
        <v>34.28</v>
      </c>
      <c r="G34" s="102">
        <f>ROUND(RV_DATA!N32,6)</f>
        <v>8.74</v>
      </c>
      <c r="H34" s="102">
        <f>ROUND(SUMIF(RV_DATA!W23:RV_DATA!W49,-598052579,RV_DATA!O23:RV_DATA!O49),6)</f>
        <v>34.28</v>
      </c>
      <c r="Q34">
        <v>1</v>
      </c>
    </row>
    <row r="35" spans="1:17" ht="14.25">
      <c r="A35" s="101" t="s">
        <v>319</v>
      </c>
      <c r="B35" s="93" t="s">
        <v>320</v>
      </c>
      <c r="C35" s="93" t="s">
        <v>297</v>
      </c>
      <c r="D35" s="94">
        <f>ROUND(SUMIF(RV_DATA!W23:RV_DATA!W49,2069007811,RV_DATA!I23:RV_DATA!I49),6)</f>
        <v>127.42598</v>
      </c>
      <c r="E35" s="102">
        <f>ROUND(RV_DATA!K36,6)</f>
        <v>10.06</v>
      </c>
      <c r="F35" s="102">
        <f>ROUND(SUMIF(RV_DATA!W23:RV_DATA!W49,2069007811,RV_DATA!M23:RV_DATA!M49),6)</f>
        <v>1281.92</v>
      </c>
      <c r="G35" s="102">
        <f>ROUND(RV_DATA!N36,6)</f>
        <v>10.06</v>
      </c>
      <c r="H35" s="102">
        <f>ROUND(SUMIF(RV_DATA!W23:RV_DATA!W49,2069007811,RV_DATA!O23:RV_DATA!O49),6)</f>
        <v>1281.92</v>
      </c>
      <c r="Q35">
        <v>1</v>
      </c>
    </row>
    <row r="36" spans="1:8" ht="15">
      <c r="A36" s="159" t="s">
        <v>559</v>
      </c>
      <c r="B36" s="159"/>
      <c r="C36" s="159"/>
      <c r="D36" s="159"/>
      <c r="E36" s="160">
        <f>SUMIF(Q32:Q35,1,F32:F35)</f>
        <v>1429.91</v>
      </c>
      <c r="F36" s="160"/>
      <c r="G36" s="160">
        <f>SUMIF(Q32:Q35,1,H32:H35)</f>
        <v>1429.91</v>
      </c>
      <c r="H36" s="159"/>
    </row>
    <row r="37" spans="1:8" ht="14.25">
      <c r="A37" s="163" t="s">
        <v>560</v>
      </c>
      <c r="B37" s="164"/>
      <c r="C37" s="164"/>
      <c r="D37" s="164"/>
      <c r="E37" s="164"/>
      <c r="F37" s="164"/>
      <c r="G37" s="164"/>
      <c r="H37" s="164"/>
    </row>
    <row r="38" spans="1:17" ht="28.5">
      <c r="A38" s="101" t="s">
        <v>321</v>
      </c>
      <c r="B38" s="93" t="s">
        <v>323</v>
      </c>
      <c r="C38" s="93" t="s">
        <v>303</v>
      </c>
      <c r="D38" s="94">
        <f>ROUND(SUMIF(RV_DATA!W23:RV_DATA!W49,5399079,RV_DATA!I23:RV_DATA!I49),6)</f>
        <v>0.9625</v>
      </c>
      <c r="E38" s="102">
        <f>ROUND(RV_DATA!K35,6)</f>
        <v>115.4</v>
      </c>
      <c r="F38" s="102">
        <f>ROUND(SUMIF(RV_DATA!W23:RV_DATA!W49,5399079,RV_DATA!M23:RV_DATA!M49),6)</f>
        <v>111.07</v>
      </c>
      <c r="G38" s="102">
        <f>ROUND(RV_DATA!N35,6)</f>
        <v>1096.3</v>
      </c>
      <c r="H38" s="102">
        <f>ROUND(SUMIF(RV_DATA!W23:RV_DATA!W49,5399079,RV_DATA!O23:RV_DATA!O49),6)</f>
        <v>1055.19</v>
      </c>
      <c r="Q38">
        <v>2</v>
      </c>
    </row>
    <row r="39" spans="1:17" ht="28.5">
      <c r="A39" s="101" t="s">
        <v>324</v>
      </c>
      <c r="B39" s="93" t="s">
        <v>326</v>
      </c>
      <c r="C39" s="93" t="s">
        <v>303</v>
      </c>
      <c r="D39" s="94">
        <f>ROUND(SUMIF(RV_DATA!W23:RV_DATA!W49,1538099167,RV_DATA!I23:RV_DATA!I49),6)</f>
        <v>19.20625</v>
      </c>
      <c r="E39" s="102">
        <f>ROUND(RV_DATA!K34,6)</f>
        <v>6.9</v>
      </c>
      <c r="F39" s="102">
        <f>ROUND(SUMIF(RV_DATA!W23:RV_DATA!W49,1538099167,RV_DATA!M23:RV_DATA!M49),6)</f>
        <v>132.52</v>
      </c>
      <c r="G39" s="102">
        <f>ROUND(RV_DATA!N34,6)</f>
        <v>32.5</v>
      </c>
      <c r="H39" s="102">
        <f>ROUND(SUMIF(RV_DATA!W23:RV_DATA!W49,1538099167,RV_DATA!O23:RV_DATA!O49),6)</f>
        <v>624.18</v>
      </c>
      <c r="Q39">
        <v>2</v>
      </c>
    </row>
    <row r="40" spans="1:17" ht="42.75">
      <c r="A40" s="101" t="s">
        <v>316</v>
      </c>
      <c r="B40" s="93" t="s">
        <v>318</v>
      </c>
      <c r="C40" s="93" t="s">
        <v>303</v>
      </c>
      <c r="D40" s="94">
        <f>ROUND(SUMIF(RV_DATA!W23:RV_DATA!W49,522838803,RV_DATA!I23:RV_DATA!I49),6)</f>
        <v>0.09104</v>
      </c>
      <c r="E40" s="102">
        <f>ROUND(RV_DATA!K28,6)</f>
        <v>31.26</v>
      </c>
      <c r="F40" s="102">
        <f>ROUND(SUMIF(RV_DATA!W23:RV_DATA!W49,522838803,RV_DATA!M23:RV_DATA!M49),6)</f>
        <v>2.85</v>
      </c>
      <c r="G40" s="102">
        <f>ROUND(RV_DATA!N28,6)</f>
        <v>474.53</v>
      </c>
      <c r="H40" s="102">
        <f>ROUND(SUMIF(RV_DATA!W23:RV_DATA!W49,522838803,RV_DATA!O23:RV_DATA!O49),6)</f>
        <v>43.2</v>
      </c>
      <c r="Q40">
        <v>2</v>
      </c>
    </row>
    <row r="41" spans="1:17" ht="28.5">
      <c r="A41" s="101" t="s">
        <v>300</v>
      </c>
      <c r="B41" s="93" t="s">
        <v>302</v>
      </c>
      <c r="C41" s="93" t="s">
        <v>303</v>
      </c>
      <c r="D41" s="94">
        <f>ROUND(SUMIF(RV_DATA!W23:RV_DATA!W49,-44216034,RV_DATA!I23:RV_DATA!I49),6)</f>
        <v>0.0225</v>
      </c>
      <c r="E41" s="102">
        <f>ROUND(RV_DATA!K26,6)</f>
        <v>65.71</v>
      </c>
      <c r="F41" s="102">
        <f>ROUND(SUMIF(RV_DATA!W23:RV_DATA!W49,-44216034,RV_DATA!M23:RV_DATA!M49),6)</f>
        <v>1.48</v>
      </c>
      <c r="G41" s="102">
        <f>ROUND(RV_DATA!N26,6)</f>
        <v>758.95</v>
      </c>
      <c r="H41" s="102">
        <f>ROUND(SUMIF(RV_DATA!W23:RV_DATA!W49,-44216034,RV_DATA!O23:RV_DATA!O49),6)</f>
        <v>17.08</v>
      </c>
      <c r="Q41">
        <v>2</v>
      </c>
    </row>
    <row r="42" spans="1:17" ht="28.5">
      <c r="A42" s="101" t="s">
        <v>300</v>
      </c>
      <c r="B42" s="93" t="s">
        <v>302</v>
      </c>
      <c r="C42" s="93" t="s">
        <v>303</v>
      </c>
      <c r="D42" s="94">
        <f>ROUND(SUMIF(RV_DATA!W23:RV_DATA!W49,437302953,RV_DATA!I23:RV_DATA!I49),6)</f>
        <v>0.10496</v>
      </c>
      <c r="E42" s="102">
        <f>ROUND(RV_DATA!K30,6)</f>
        <v>65.71</v>
      </c>
      <c r="F42" s="102">
        <f>ROUND(SUMIF(RV_DATA!W23:RV_DATA!W49,437302953,RV_DATA!M23:RV_DATA!M49),6)</f>
        <v>6.9</v>
      </c>
      <c r="G42" s="102">
        <f>ROUND(RV_DATA!N30,6)</f>
        <v>758.95</v>
      </c>
      <c r="H42" s="102">
        <f>ROUND(SUMIF(RV_DATA!W23:RV_DATA!W49,437302953,RV_DATA!O23:RV_DATA!O49),6)</f>
        <v>79.66</v>
      </c>
      <c r="Q42">
        <v>2</v>
      </c>
    </row>
    <row r="43" spans="1:17" ht="28.5">
      <c r="A43" s="101" t="s">
        <v>300</v>
      </c>
      <c r="B43" s="93" t="s">
        <v>302</v>
      </c>
      <c r="C43" s="93" t="s">
        <v>303</v>
      </c>
      <c r="D43" s="94">
        <f>ROUND(SUMIF(RV_DATA!W23:RV_DATA!W49,1719692319,RV_DATA!I23:RV_DATA!I49),6)</f>
        <v>0.181</v>
      </c>
      <c r="E43" s="102">
        <f>ROUND(RV_DATA!K33,6)</f>
        <v>65.71</v>
      </c>
      <c r="F43" s="102">
        <f>ROUND(SUMIF(RV_DATA!W23:RV_DATA!W49,1719692319,RV_DATA!M23:RV_DATA!M49),6)</f>
        <v>11.88</v>
      </c>
      <c r="G43" s="102">
        <f>ROUND(RV_DATA!N33,6)</f>
        <v>758.95</v>
      </c>
      <c r="H43" s="102">
        <f>ROUND(SUMIF(RV_DATA!W23:RV_DATA!W49,1719692319,RV_DATA!O23:RV_DATA!O49),6)</f>
        <v>137.24</v>
      </c>
      <c r="Q43">
        <v>2</v>
      </c>
    </row>
    <row r="44" spans="1:17" ht="28.5">
      <c r="A44" s="101" t="s">
        <v>356</v>
      </c>
      <c r="B44" s="93" t="s">
        <v>358</v>
      </c>
      <c r="C44" s="93" t="s">
        <v>303</v>
      </c>
      <c r="D44" s="94">
        <f>ROUND(SUMIF(RV_DATA!W23:RV_DATA!W49,1221640938,RV_DATA!I23:RV_DATA!I49),6)</f>
        <v>2.13525</v>
      </c>
      <c r="E44" s="102">
        <f>ROUND(RV_DATA!K46,6)</f>
        <v>8.1</v>
      </c>
      <c r="F44" s="102">
        <f>ROUND(SUMIF(RV_DATA!W23:RV_DATA!W49,1221640938,RV_DATA!M23:RV_DATA!M49),6)</f>
        <v>17.29</v>
      </c>
      <c r="G44" s="102">
        <f>ROUND(RV_DATA!N46,6)</f>
        <v>40.99</v>
      </c>
      <c r="H44" s="102">
        <f>ROUND(SUMIF(RV_DATA!W23:RV_DATA!W49,1221640938,RV_DATA!O23:RV_DATA!O49),6)</f>
        <v>87.47</v>
      </c>
      <c r="Q44">
        <v>2</v>
      </c>
    </row>
    <row r="45" spans="1:17" ht="42.75">
      <c r="A45" s="101" t="s">
        <v>350</v>
      </c>
      <c r="B45" s="93" t="s">
        <v>352</v>
      </c>
      <c r="C45" s="93" t="s">
        <v>303</v>
      </c>
      <c r="D45" s="94">
        <f>ROUND(SUMIF(RV_DATA!W23:RV_DATA!W49,1533835762,RV_DATA!I23:RV_DATA!I49),6)</f>
        <v>0.0397</v>
      </c>
      <c r="E45" s="102">
        <f>ROUND(RV_DATA!K41,6)</f>
        <v>48.81</v>
      </c>
      <c r="F45" s="102">
        <f>ROUND(SUMIF(RV_DATA!W23:RV_DATA!W49,1533835762,RV_DATA!M23:RV_DATA!M49),6)</f>
        <v>1.94</v>
      </c>
      <c r="G45" s="102">
        <f>ROUND(RV_DATA!N41,6)</f>
        <v>138.13</v>
      </c>
      <c r="H45" s="102">
        <f>ROUND(SUMIF(RV_DATA!W23:RV_DATA!W49,1533835762,RV_DATA!O23:RV_DATA!O49),6)</f>
        <v>5.48</v>
      </c>
      <c r="Q45">
        <v>2</v>
      </c>
    </row>
    <row r="46" spans="1:17" ht="42.75">
      <c r="A46" s="101" t="s">
        <v>353</v>
      </c>
      <c r="B46" s="93" t="s">
        <v>355</v>
      </c>
      <c r="C46" s="93" t="s">
        <v>303</v>
      </c>
      <c r="D46" s="94">
        <f>ROUND(SUMIF(RV_DATA!W23:RV_DATA!W49,365230934,RV_DATA!I23:RV_DATA!I49),6)</f>
        <v>0.0793</v>
      </c>
      <c r="E46" s="102">
        <f>ROUND(RV_DATA!K40,6)</f>
        <v>1.53</v>
      </c>
      <c r="F46" s="102">
        <f>ROUND(SUMIF(RV_DATA!W23:RV_DATA!W49,365230934,RV_DATA!M23:RV_DATA!M49),6)</f>
        <v>0.12</v>
      </c>
      <c r="G46" s="102">
        <f>ROUND(RV_DATA!N40,6)</f>
        <v>5.86</v>
      </c>
      <c r="H46" s="102">
        <f>ROUND(SUMIF(RV_DATA!W23:RV_DATA!W49,365230934,RV_DATA!O23:RV_DATA!O49),6)</f>
        <v>0.46</v>
      </c>
      <c r="Q46">
        <v>2</v>
      </c>
    </row>
    <row r="47" spans="1:8" ht="15">
      <c r="A47" s="159" t="s">
        <v>561</v>
      </c>
      <c r="B47" s="159"/>
      <c r="C47" s="159"/>
      <c r="D47" s="159"/>
      <c r="E47" s="160">
        <f>SUMIF(Q38:Q46,2,F38:F46)</f>
        <v>286.05</v>
      </c>
      <c r="F47" s="160"/>
      <c r="G47" s="160">
        <f>SUMIF(Q38:Q46,2,H38:H46)</f>
        <v>2049.96</v>
      </c>
      <c r="H47" s="159"/>
    </row>
    <row r="48" spans="1:8" ht="14.25">
      <c r="A48" s="163" t="s">
        <v>562</v>
      </c>
      <c r="B48" s="164"/>
      <c r="C48" s="164"/>
      <c r="D48" s="164"/>
      <c r="E48" s="164"/>
      <c r="F48" s="164"/>
      <c r="G48" s="164"/>
      <c r="H48" s="164"/>
    </row>
    <row r="49" spans="1:17" ht="28.5">
      <c r="A49" s="101" t="s">
        <v>359</v>
      </c>
      <c r="B49" s="93" t="s">
        <v>361</v>
      </c>
      <c r="C49" s="93" t="s">
        <v>50</v>
      </c>
      <c r="D49" s="94">
        <f>ROUND(SUMIF(RV_DATA!W23:RV_DATA!W49,1556568756,RV_DATA!I23:RV_DATA!I49),6)</f>
        <v>0.000187</v>
      </c>
      <c r="E49" s="102">
        <f>ROUND(RV_DATA!K45,6)</f>
        <v>10315.01</v>
      </c>
      <c r="F49" s="102">
        <f>ROUND(SUMIF(RV_DATA!W23:RV_DATA!W49,1556568756,RV_DATA!M23:RV_DATA!M49),6)</f>
        <v>1.94</v>
      </c>
      <c r="G49" s="102">
        <f>ROUND(RV_DATA!N45,6)</f>
        <v>105316.25</v>
      </c>
      <c r="H49" s="102">
        <f>ROUND(SUMIF(RV_DATA!W23:RV_DATA!W49,1556568756,RV_DATA!O23:RV_DATA!O49),6)</f>
        <v>19.83</v>
      </c>
      <c r="Q49">
        <v>3</v>
      </c>
    </row>
    <row r="50" spans="1:17" ht="28.5">
      <c r="A50" s="101" t="s">
        <v>362</v>
      </c>
      <c r="B50" s="93" t="s">
        <v>364</v>
      </c>
      <c r="C50" s="93" t="s">
        <v>50</v>
      </c>
      <c r="D50" s="94">
        <f>ROUND(SUMIF(RV_DATA!W23:RV_DATA!W49,-1578920783,RV_DATA!I23:RV_DATA!I49),6)</f>
        <v>0.00702</v>
      </c>
      <c r="E50" s="102">
        <f>ROUND(RV_DATA!K44,6)</f>
        <v>10068</v>
      </c>
      <c r="F50" s="102">
        <f>ROUND(SUMIF(RV_DATA!W23:RV_DATA!W49,-1578920783,RV_DATA!M23:RV_DATA!M49),6)</f>
        <v>70.67</v>
      </c>
      <c r="G50" s="102">
        <f>ROUND(RV_DATA!N44,6)</f>
        <v>181324.68</v>
      </c>
      <c r="H50" s="102">
        <f>ROUND(SUMIF(RV_DATA!W23:RV_DATA!W49,-1578920783,RV_DATA!O23:RV_DATA!O49),6)</f>
        <v>1272.73</v>
      </c>
      <c r="Q50">
        <v>3</v>
      </c>
    </row>
    <row r="51" spans="1:17" ht="28.5">
      <c r="A51" s="101" t="s">
        <v>304</v>
      </c>
      <c r="B51" s="93" t="s">
        <v>306</v>
      </c>
      <c r="C51" s="93" t="s">
        <v>70</v>
      </c>
      <c r="D51" s="94">
        <f>ROUND(SUMIF(RV_DATA!W23:RV_DATA!W49,-296401705,RV_DATA!I23:RV_DATA!I49),6)</f>
        <v>0.0008</v>
      </c>
      <c r="E51" s="102">
        <f>ROUND(RV_DATA!K25,6)</f>
        <v>1100</v>
      </c>
      <c r="F51" s="102">
        <f>ROUND(SUMIF(RV_DATA!W23:RV_DATA!W49,-296401705,RV_DATA!M23:RV_DATA!M49),6)</f>
        <v>0.88</v>
      </c>
      <c r="G51" s="102">
        <f>ROUND(RV_DATA!N25,6)</f>
        <v>4895</v>
      </c>
      <c r="H51" s="102">
        <f>ROUND(SUMIF(RV_DATA!W23:RV_DATA!W49,-296401705,RV_DATA!O23:RV_DATA!O49),6)</f>
        <v>3.92</v>
      </c>
      <c r="Q51">
        <v>3</v>
      </c>
    </row>
    <row r="52" spans="1:17" ht="42.75">
      <c r="A52" s="101" t="s">
        <v>307</v>
      </c>
      <c r="B52" s="93" t="s">
        <v>309</v>
      </c>
      <c r="C52" s="93" t="s">
        <v>50</v>
      </c>
      <c r="D52" s="94">
        <f>ROUND(SUMIF(RV_DATA!W23:RV_DATA!W49,-1031119490,RV_DATA!I23:RV_DATA!I49),6)</f>
        <v>0.0029</v>
      </c>
      <c r="E52" s="102">
        <f>ROUND(RV_DATA!K24,6)</f>
        <v>6102</v>
      </c>
      <c r="F52" s="102">
        <f>ROUND(SUMIF(RV_DATA!W23:RV_DATA!W49,-1031119490,RV_DATA!M23:RV_DATA!M49),6)</f>
        <v>17.7</v>
      </c>
      <c r="G52" s="102">
        <f>ROUND(RV_DATA!N24,6)</f>
        <v>36367.92</v>
      </c>
      <c r="H52" s="102">
        <f>ROUND(SUMIF(RV_DATA!W23:RV_DATA!W49,-1031119490,RV_DATA!O23:RV_DATA!O49),6)</f>
        <v>105.47</v>
      </c>
      <c r="Q52">
        <v>3</v>
      </c>
    </row>
    <row r="53" spans="1:17" ht="28.5">
      <c r="A53" s="101" t="s">
        <v>310</v>
      </c>
      <c r="B53" s="93" t="s">
        <v>312</v>
      </c>
      <c r="C53" s="93" t="s">
        <v>174</v>
      </c>
      <c r="D53" s="94">
        <f>ROUND(SUMIF(RV_DATA!W23:RV_DATA!W49,-816233235,RV_DATA!I23:RV_DATA!I49),6)</f>
        <v>0.55</v>
      </c>
      <c r="E53" s="102">
        <f>ROUND(RV_DATA!K23,6)</f>
        <v>35.22</v>
      </c>
      <c r="F53" s="102">
        <f>ROUND(SUMIF(RV_DATA!W23:RV_DATA!W49,-816233235,RV_DATA!M23:RV_DATA!M49),6)</f>
        <v>19.37</v>
      </c>
      <c r="G53" s="102">
        <f>ROUND(RV_DATA!N23,6)</f>
        <v>431.45</v>
      </c>
      <c r="H53" s="102">
        <f>ROUND(SUMIF(RV_DATA!W23:RV_DATA!W49,-816233235,RV_DATA!O23:RV_DATA!O49),6)</f>
        <v>237.29</v>
      </c>
      <c r="Q53">
        <v>3</v>
      </c>
    </row>
    <row r="54" spans="1:17" ht="99.75">
      <c r="A54" s="101" t="s">
        <v>365</v>
      </c>
      <c r="B54" s="93" t="s">
        <v>367</v>
      </c>
      <c r="C54" s="93" t="s">
        <v>61</v>
      </c>
      <c r="D54" s="94">
        <f>ROUND(SUMIF(RV_DATA!W23:RV_DATA!W49,1254977120,RV_DATA!I23:RV_DATA!I49),6)</f>
        <v>0.4446</v>
      </c>
      <c r="E54" s="102">
        <f>ROUND(RV_DATA!K43,6)</f>
        <v>110.11</v>
      </c>
      <c r="F54" s="102">
        <f>ROUND(SUMIF(RV_DATA!W23:RV_DATA!W49,1254977120,RV_DATA!M23:RV_DATA!M49),6)</f>
        <v>48.95</v>
      </c>
      <c r="G54" s="102">
        <f>ROUND(RV_DATA!N43,6)</f>
        <v>474.57</v>
      </c>
      <c r="H54" s="102">
        <f>ROUND(SUMIF(RV_DATA!W23:RV_DATA!W49,1254977120,RV_DATA!O23:RV_DATA!O49),6)</f>
        <v>210.99</v>
      </c>
      <c r="Q54">
        <v>3</v>
      </c>
    </row>
    <row r="55" spans="1:17" ht="99.75">
      <c r="A55" s="101" t="s">
        <v>59</v>
      </c>
      <c r="B55" s="93" t="s">
        <v>156</v>
      </c>
      <c r="C55" s="93" t="s">
        <v>61</v>
      </c>
      <c r="D55" s="94">
        <f>ROUND(SUMIF(RV_DATA!W23:RV_DATA!W49,-1757356320,RV_DATA!I23:RV_DATA!I49),6)</f>
        <v>3</v>
      </c>
      <c r="E55" s="102">
        <f>ROUND(RV_DATA!K37,6)</f>
        <v>97157.83</v>
      </c>
      <c r="F55" s="102">
        <f>ROUND(SUMIF(RV_DATA!W23:RV_DATA!W49,-1757356320,RV_DATA!M23:RV_DATA!M49),6)</f>
        <v>291473.49</v>
      </c>
      <c r="G55" s="102">
        <f>ROUND(RV_DATA!N37,6)</f>
        <v>97157.83</v>
      </c>
      <c r="H55" s="102">
        <f>ROUND(SUMIF(RV_DATA!W23:RV_DATA!W49,-1757356320,RV_DATA!O23:RV_DATA!O49),6)</f>
        <v>291473.49</v>
      </c>
      <c r="Q55">
        <v>3</v>
      </c>
    </row>
    <row r="56" spans="1:17" ht="71.25">
      <c r="A56" s="101" t="s">
        <v>59</v>
      </c>
      <c r="B56" s="93" t="s">
        <v>158</v>
      </c>
      <c r="C56" s="93" t="s">
        <v>61</v>
      </c>
      <c r="D56" s="94">
        <f>ROUND(SUMIF(RV_DATA!W23:RV_DATA!W49,-1358029789,RV_DATA!I23:RV_DATA!I49),6)</f>
        <v>1</v>
      </c>
      <c r="E56" s="102">
        <f>ROUND(RV_DATA!K38,6)</f>
        <v>591873.49</v>
      </c>
      <c r="F56" s="102">
        <f>ROUND(SUMIF(RV_DATA!W23:RV_DATA!W49,-1358029789,RV_DATA!M23:RV_DATA!M49),6)</f>
        <v>591873.49</v>
      </c>
      <c r="G56" s="102">
        <f>ROUND(RV_DATA!N38,6)</f>
        <v>591873.49</v>
      </c>
      <c r="H56" s="102">
        <f>ROUND(SUMIF(RV_DATA!W23:RV_DATA!W49,-1358029789,RV_DATA!O23:RV_DATA!O49),6)</f>
        <v>591873.49</v>
      </c>
      <c r="Q56">
        <v>3</v>
      </c>
    </row>
    <row r="57" spans="1:17" ht="71.25">
      <c r="A57" s="101" t="s">
        <v>59</v>
      </c>
      <c r="B57" s="93" t="s">
        <v>160</v>
      </c>
      <c r="C57" s="93" t="s">
        <v>61</v>
      </c>
      <c r="D57" s="94">
        <f>ROUND(SUMIF(RV_DATA!W23:RV_DATA!W49,-1626873890,RV_DATA!I23:RV_DATA!I49),6)</f>
        <v>1</v>
      </c>
      <c r="E57" s="102">
        <f>ROUND(RV_DATA!K39,6)</f>
        <v>191854.09</v>
      </c>
      <c r="F57" s="102">
        <f>ROUND(SUMIF(RV_DATA!W23:RV_DATA!W49,-1626873890,RV_DATA!M23:RV_DATA!M49),6)</f>
        <v>191854.09</v>
      </c>
      <c r="G57" s="102">
        <f>ROUND(RV_DATA!N39,6)</f>
        <v>191854.09</v>
      </c>
      <c r="H57" s="102">
        <f>ROUND(SUMIF(RV_DATA!W23:RV_DATA!W49,-1626873890,RV_DATA!O23:RV_DATA!O49),6)</f>
        <v>191854.09</v>
      </c>
      <c r="Q57">
        <v>3</v>
      </c>
    </row>
    <row r="58" spans="1:17" ht="57">
      <c r="A58" s="101" t="s">
        <v>59</v>
      </c>
      <c r="B58" s="93" t="s">
        <v>177</v>
      </c>
      <c r="C58" s="93" t="s">
        <v>61</v>
      </c>
      <c r="D58" s="94">
        <f>ROUND(SUMIF(RV_DATA!W23:RV_DATA!W49,286144294,RV_DATA!I23:RV_DATA!I49),6)</f>
        <v>0.999999</v>
      </c>
      <c r="E58" s="102">
        <f>ROUND(RV_DATA!K49,6)</f>
        <v>70334.19</v>
      </c>
      <c r="F58" s="102">
        <f>ROUND(SUMIF(RV_DATA!W23:RV_DATA!W49,286144294,RV_DATA!M23:RV_DATA!M49),6)</f>
        <v>70334.12</v>
      </c>
      <c r="G58" s="102">
        <f>ROUND(RV_DATA!N49,6)</f>
        <v>70334.19</v>
      </c>
      <c r="H58" s="102">
        <f>ROUND(SUMIF(RV_DATA!W23:RV_DATA!W49,286144294,RV_DATA!O23:RV_DATA!O49),6)</f>
        <v>70334.12</v>
      </c>
      <c r="Q58">
        <v>3</v>
      </c>
    </row>
    <row r="59" spans="1:8" ht="15">
      <c r="A59" s="159" t="s">
        <v>563</v>
      </c>
      <c r="B59" s="159"/>
      <c r="C59" s="159"/>
      <c r="D59" s="159"/>
      <c r="E59" s="160">
        <f>SUMIF(Q49:Q58,3,F49:F58)</f>
        <v>1145694.7000000002</v>
      </c>
      <c r="F59" s="160"/>
      <c r="G59" s="160">
        <f>SUMIF(Q49:Q58,3,H49:H58)</f>
        <v>1147385.42</v>
      </c>
      <c r="H59" s="159"/>
    </row>
    <row r="60" spans="1:8" ht="16.5">
      <c r="A60" s="161" t="str">
        <f>CONCATENATE("Раздел: ",IF(Source!G151&lt;&gt;"Новый раздел",Source!G151,""))</f>
        <v>Раздел: Разные работы</v>
      </c>
      <c r="B60" s="162"/>
      <c r="C60" s="162"/>
      <c r="D60" s="162"/>
      <c r="E60" s="162"/>
      <c r="F60" s="162"/>
      <c r="G60" s="162"/>
      <c r="H60" s="162"/>
    </row>
    <row r="61" spans="1:8" ht="14.25">
      <c r="A61" s="163" t="s">
        <v>558</v>
      </c>
      <c r="B61" s="164"/>
      <c r="C61" s="164"/>
      <c r="D61" s="164"/>
      <c r="E61" s="164"/>
      <c r="F61" s="164"/>
      <c r="G61" s="164"/>
      <c r="H61" s="164"/>
    </row>
    <row r="62" spans="1:17" ht="14.25">
      <c r="A62" s="101" t="s">
        <v>368</v>
      </c>
      <c r="B62" s="93" t="s">
        <v>369</v>
      </c>
      <c r="C62" s="93" t="s">
        <v>370</v>
      </c>
      <c r="D62" s="94">
        <f>ROUND(SUMIF(RV_DATA!W51:RV_DATA!W52,400193360,RV_DATA!I51:RV_DATA!I52),6)</f>
        <v>0.300404</v>
      </c>
      <c r="E62" s="102">
        <f>ROUND(RV_DATA!K52,6)</f>
        <v>7.19</v>
      </c>
      <c r="F62" s="102">
        <f>ROUND(SUMIF(RV_DATA!W51:RV_DATA!W52,400193360,RV_DATA!M51:RV_DATA!M52),6)</f>
        <v>2.16</v>
      </c>
      <c r="G62" s="102">
        <f>ROUND(RV_DATA!N52,6)</f>
        <v>7.19</v>
      </c>
      <c r="H62" s="102">
        <f>ROUND(SUMIF(RV_DATA!W51:RV_DATA!W52,400193360,RV_DATA!O51:RV_DATA!O52),6)</f>
        <v>2.16</v>
      </c>
      <c r="Q62">
        <v>1</v>
      </c>
    </row>
    <row r="63" spans="1:8" ht="15">
      <c r="A63" s="159" t="s">
        <v>559</v>
      </c>
      <c r="B63" s="159"/>
      <c r="C63" s="159"/>
      <c r="D63" s="159"/>
      <c r="E63" s="160">
        <f>SUMIF(Q62:Q62,1,F62:F62)</f>
        <v>2.16</v>
      </c>
      <c r="F63" s="160"/>
      <c r="G63" s="160">
        <f>SUMIF(Q62:Q62,1,H62:H62)</f>
        <v>2.16</v>
      </c>
      <c r="H63" s="159"/>
    </row>
    <row r="64" spans="1:8" ht="14.25">
      <c r="A64" s="163" t="s">
        <v>560</v>
      </c>
      <c r="B64" s="164"/>
      <c r="C64" s="164"/>
      <c r="D64" s="164"/>
      <c r="E64" s="164"/>
      <c r="F64" s="164"/>
      <c r="G64" s="164"/>
      <c r="H64" s="164"/>
    </row>
    <row r="65" spans="1:17" ht="28.5">
      <c r="A65" s="101" t="s">
        <v>371</v>
      </c>
      <c r="B65" s="93" t="s">
        <v>373</v>
      </c>
      <c r="C65" s="93" t="s">
        <v>303</v>
      </c>
      <c r="D65" s="94">
        <f>ROUND(SUMIF(RV_DATA!W51:RV_DATA!W52,-244032597,RV_DATA!I51:RV_DATA!I52),6)</f>
        <v>0.1508</v>
      </c>
      <c r="E65" s="102">
        <f>ROUND(RV_DATA!K51,6)</f>
        <v>111</v>
      </c>
      <c r="F65" s="102">
        <f>ROUND(SUMIF(RV_DATA!W51:RV_DATA!W52,-244032597,RV_DATA!M51:RV_DATA!M52),6)</f>
        <v>16.74</v>
      </c>
      <c r="G65" s="102">
        <f>ROUND(RV_DATA!N51,6)</f>
        <v>111</v>
      </c>
      <c r="H65" s="102">
        <f>ROUND(SUMIF(RV_DATA!W51:RV_DATA!W52,-244032597,RV_DATA!O51:RV_DATA!O52),6)</f>
        <v>16.74</v>
      </c>
      <c r="Q65">
        <v>2</v>
      </c>
    </row>
    <row r="66" spans="1:8" ht="15">
      <c r="A66" s="159" t="s">
        <v>561</v>
      </c>
      <c r="B66" s="159"/>
      <c r="C66" s="159"/>
      <c r="D66" s="159"/>
      <c r="E66" s="160">
        <f>SUMIF(Q65:Q65,2,F65:F65)</f>
        <v>16.74</v>
      </c>
      <c r="F66" s="160"/>
      <c r="G66" s="160">
        <f>SUMIF(Q65:Q65,2,H65:H65)</f>
        <v>16.74</v>
      </c>
      <c r="H66" s="159"/>
    </row>
  </sheetData>
  <sheetProtection/>
  <mergeCells count="44">
    <mergeCell ref="A2:H2"/>
    <mergeCell ref="A3:H3"/>
    <mergeCell ref="A4:A6"/>
    <mergeCell ref="B4:B6"/>
    <mergeCell ref="C4:C6"/>
    <mergeCell ref="D4:D6"/>
    <mergeCell ref="E4:F5"/>
    <mergeCell ref="G4:H5"/>
    <mergeCell ref="A8:H8"/>
    <mergeCell ref="A9:H9"/>
    <mergeCell ref="A10:H10"/>
    <mergeCell ref="A14:D14"/>
    <mergeCell ref="E14:F14"/>
    <mergeCell ref="G14:H14"/>
    <mergeCell ref="A37:H37"/>
    <mergeCell ref="A15:H15"/>
    <mergeCell ref="A21:D21"/>
    <mergeCell ref="E21:F21"/>
    <mergeCell ref="G21:H21"/>
    <mergeCell ref="A22:H22"/>
    <mergeCell ref="A29:D29"/>
    <mergeCell ref="E29:F29"/>
    <mergeCell ref="G29:H29"/>
    <mergeCell ref="A30:H30"/>
    <mergeCell ref="A31:H31"/>
    <mergeCell ref="A36:D36"/>
    <mergeCell ref="E36:F36"/>
    <mergeCell ref="G36:H36"/>
    <mergeCell ref="A47:D47"/>
    <mergeCell ref="E47:F47"/>
    <mergeCell ref="G47:H47"/>
    <mergeCell ref="A48:H48"/>
    <mergeCell ref="A59:D59"/>
    <mergeCell ref="E59:F59"/>
    <mergeCell ref="G59:H59"/>
    <mergeCell ref="A66:D66"/>
    <mergeCell ref="E66:F66"/>
    <mergeCell ref="G66:H66"/>
    <mergeCell ref="A60:H60"/>
    <mergeCell ref="A61:H61"/>
    <mergeCell ref="A63:D63"/>
    <mergeCell ref="E63:F63"/>
    <mergeCell ref="G63:H63"/>
    <mergeCell ref="A64:H64"/>
  </mergeCells>
  <printOptions/>
  <pageMargins left="0.6" right="0.4" top="0.65" bottom="0.4" header="0.4" footer="0.4"/>
  <pageSetup fitToHeight="0" fitToWidth="1" orientation="portrait" paperSize="9" scale="72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301"/>
  <sheetViews>
    <sheetView zoomScalePageLayoutView="0" workbookViewId="0" topLeftCell="A1">
      <selection activeCell="A297" sqref="A297:AN297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3</v>
      </c>
      <c r="P1">
        <v>0</v>
      </c>
      <c r="Q1">
        <v>3</v>
      </c>
    </row>
    <row r="12" spans="1:133" ht="12.75">
      <c r="A12" s="1">
        <v>1</v>
      </c>
      <c r="B12" s="1">
        <v>294</v>
      </c>
      <c r="C12" s="1">
        <v>0</v>
      </c>
      <c r="D12" s="1">
        <f>ROW(A222)</f>
        <v>222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11</v>
      </c>
      <c r="AI12" s="1" t="s">
        <v>12</v>
      </c>
      <c r="AJ12" s="1" t="s">
        <v>13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14</v>
      </c>
      <c r="BI12" s="1" t="s">
        <v>15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16</v>
      </c>
      <c r="BZ12" s="1" t="s">
        <v>17</v>
      </c>
      <c r="CA12" s="1" t="s">
        <v>18</v>
      </c>
      <c r="CB12" s="1" t="s">
        <v>18</v>
      </c>
      <c r="CC12" s="1" t="s">
        <v>18</v>
      </c>
      <c r="CD12" s="1" t="s">
        <v>18</v>
      </c>
      <c r="CE12" s="1" t="s">
        <v>19</v>
      </c>
      <c r="CF12" s="1">
        <v>0</v>
      </c>
      <c r="CG12" s="1">
        <v>0</v>
      </c>
      <c r="CH12" s="1">
        <v>405479432</v>
      </c>
      <c r="CI12" s="1" t="s">
        <v>3</v>
      </c>
      <c r="CJ12" s="1" t="s">
        <v>3</v>
      </c>
      <c r="CK12" s="1">
        <v>5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3">
        <v>52</v>
      </c>
      <c r="B18" s="3">
        <f aca="true" t="shared" si="0" ref="B18:G18">B222</f>
        <v>294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>
        <f t="shared" si="0"/>
      </c>
      <c r="G18" s="3" t="str">
        <f t="shared" si="0"/>
        <v>Реализация выполнения работ по обеспечению пожарной безопасности объекта ИПУ РАН</v>
      </c>
      <c r="H18" s="3"/>
      <c r="I18" s="3"/>
      <c r="J18" s="3"/>
      <c r="K18" s="3"/>
      <c r="L18" s="3"/>
      <c r="M18" s="3"/>
      <c r="N18" s="3"/>
      <c r="O18" s="3">
        <f aca="true" t="shared" si="1" ref="O18:AT18">O222</f>
        <v>2086897.6</v>
      </c>
      <c r="P18" s="3">
        <f t="shared" si="1"/>
        <v>2083357.68</v>
      </c>
      <c r="Q18" s="3">
        <f t="shared" si="1"/>
        <v>584.07</v>
      </c>
      <c r="R18" s="3">
        <f t="shared" si="1"/>
        <v>35.55</v>
      </c>
      <c r="S18" s="3">
        <f t="shared" si="1"/>
        <v>2955.85</v>
      </c>
      <c r="T18" s="3">
        <f t="shared" si="1"/>
        <v>0</v>
      </c>
      <c r="U18" s="3">
        <f t="shared" si="1"/>
        <v>298.55661999999995</v>
      </c>
      <c r="V18" s="3">
        <f t="shared" si="1"/>
        <v>2.7016999999999998</v>
      </c>
      <c r="W18" s="3">
        <f t="shared" si="1"/>
        <v>0</v>
      </c>
      <c r="X18" s="3">
        <f t="shared" si="1"/>
        <v>2481.3</v>
      </c>
      <c r="Y18" s="3">
        <f t="shared" si="1"/>
        <v>2134.64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2091564.13</v>
      </c>
      <c r="AS18" s="3">
        <f t="shared" si="1"/>
        <v>2091564.13</v>
      </c>
      <c r="AT18" s="3">
        <f t="shared" si="1"/>
        <v>0</v>
      </c>
      <c r="AU18" s="3">
        <f aca="true" t="shared" si="2" ref="AU18:BZ18">AU222</f>
        <v>0</v>
      </c>
      <c r="AV18" s="3">
        <f t="shared" si="2"/>
        <v>2083357.68</v>
      </c>
      <c r="AW18" s="3">
        <f t="shared" si="2"/>
        <v>2083357.68</v>
      </c>
      <c r="AX18" s="3">
        <f t="shared" si="2"/>
        <v>0</v>
      </c>
      <c r="AY18" s="3">
        <f t="shared" si="2"/>
        <v>2083357.68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50.59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CA222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aca="true" t="shared" si="4" ref="DG18:EL18">DG222</f>
        <v>2190182.51</v>
      </c>
      <c r="DH18" s="4">
        <f t="shared" si="4"/>
        <v>2085482.36</v>
      </c>
      <c r="DI18" s="4">
        <f t="shared" si="4"/>
        <v>4171.6</v>
      </c>
      <c r="DJ18" s="4">
        <f t="shared" si="4"/>
        <v>1209.12</v>
      </c>
      <c r="DK18" s="4">
        <f t="shared" si="4"/>
        <v>100528.55</v>
      </c>
      <c r="DL18" s="4">
        <f t="shared" si="4"/>
        <v>0</v>
      </c>
      <c r="DM18" s="4">
        <f t="shared" si="4"/>
        <v>298.55661999999995</v>
      </c>
      <c r="DN18" s="4">
        <f t="shared" si="4"/>
        <v>2.7016999999999998</v>
      </c>
      <c r="DO18" s="4">
        <f t="shared" si="4"/>
        <v>0</v>
      </c>
      <c r="DP18" s="4">
        <f t="shared" si="4"/>
        <v>84389</v>
      </c>
      <c r="DQ18" s="4">
        <f t="shared" si="4"/>
        <v>72598.91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2347721.07</v>
      </c>
      <c r="EK18" s="4">
        <f t="shared" si="4"/>
        <v>2347721.07</v>
      </c>
      <c r="EL18" s="4">
        <f t="shared" si="4"/>
        <v>0</v>
      </c>
      <c r="EM18" s="4">
        <f aca="true" t="shared" si="5" ref="EM18:FR18">EM222</f>
        <v>0</v>
      </c>
      <c r="EN18" s="4">
        <f t="shared" si="5"/>
        <v>2085482.36</v>
      </c>
      <c r="EO18" s="4">
        <f t="shared" si="5"/>
        <v>2085482.36</v>
      </c>
      <c r="EP18" s="4">
        <f t="shared" si="5"/>
        <v>0</v>
      </c>
      <c r="EQ18" s="4">
        <f t="shared" si="5"/>
        <v>2085482.36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550.65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aca="true" t="shared" si="6" ref="FS18:GX18">FS222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ROW(A189)</f>
        <v>189</v>
      </c>
      <c r="E20" s="1"/>
      <c r="F20" s="1" t="s">
        <v>3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>
        <v>0</v>
      </c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5</v>
      </c>
      <c r="AC20" s="1" t="s">
        <v>21</v>
      </c>
      <c r="AD20" s="1" t="s">
        <v>22</v>
      </c>
      <c r="AE20" s="1" t="s">
        <v>23</v>
      </c>
      <c r="AF20" s="1" t="s">
        <v>11</v>
      </c>
      <c r="AG20" s="1" t="s">
        <v>12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3">
        <v>52</v>
      </c>
      <c r="B22" s="3">
        <f aca="true" t="shared" si="7" ref="B22:G22">B189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>
        <f t="shared" si="7"/>
      </c>
      <c r="G22" s="3" t="str">
        <f t="shared" si="7"/>
        <v>Реализация выполнения работ по обеспечению пожарной безопастности объекта ИПУ РАН</v>
      </c>
      <c r="H22" s="3"/>
      <c r="I22" s="3"/>
      <c r="J22" s="3"/>
      <c r="K22" s="3"/>
      <c r="L22" s="3"/>
      <c r="M22" s="3"/>
      <c r="N22" s="3"/>
      <c r="O22" s="3">
        <f aca="true" t="shared" si="8" ref="O22:AT22">O189</f>
        <v>2086897.6</v>
      </c>
      <c r="P22" s="3">
        <f t="shared" si="8"/>
        <v>2083357.68</v>
      </c>
      <c r="Q22" s="3">
        <f t="shared" si="8"/>
        <v>584.07</v>
      </c>
      <c r="R22" s="3">
        <f t="shared" si="8"/>
        <v>35.55</v>
      </c>
      <c r="S22" s="3">
        <f t="shared" si="8"/>
        <v>2955.85</v>
      </c>
      <c r="T22" s="3">
        <f t="shared" si="8"/>
        <v>0</v>
      </c>
      <c r="U22" s="3">
        <f t="shared" si="8"/>
        <v>298.55661999999995</v>
      </c>
      <c r="V22" s="3">
        <f t="shared" si="8"/>
        <v>2.7016999999999998</v>
      </c>
      <c r="W22" s="3">
        <f t="shared" si="8"/>
        <v>0</v>
      </c>
      <c r="X22" s="3">
        <f t="shared" si="8"/>
        <v>2481.3</v>
      </c>
      <c r="Y22" s="3">
        <f t="shared" si="8"/>
        <v>2134.64</v>
      </c>
      <c r="Z22" s="3">
        <f t="shared" si="8"/>
        <v>0</v>
      </c>
      <c r="AA22" s="3">
        <f t="shared" si="8"/>
        <v>0</v>
      </c>
      <c r="AB22" s="3">
        <f t="shared" si="8"/>
        <v>0</v>
      </c>
      <c r="AC22" s="3">
        <f t="shared" si="8"/>
        <v>0</v>
      </c>
      <c r="AD22" s="3">
        <f t="shared" si="8"/>
        <v>0</v>
      </c>
      <c r="AE22" s="3">
        <f t="shared" si="8"/>
        <v>0</v>
      </c>
      <c r="AF22" s="3">
        <f t="shared" si="8"/>
        <v>0</v>
      </c>
      <c r="AG22" s="3">
        <f t="shared" si="8"/>
        <v>0</v>
      </c>
      <c r="AH22" s="3">
        <f t="shared" si="8"/>
        <v>0</v>
      </c>
      <c r="AI22" s="3">
        <f t="shared" si="8"/>
        <v>0</v>
      </c>
      <c r="AJ22" s="3">
        <f t="shared" si="8"/>
        <v>0</v>
      </c>
      <c r="AK22" s="3">
        <f t="shared" si="8"/>
        <v>0</v>
      </c>
      <c r="AL22" s="3">
        <f t="shared" si="8"/>
        <v>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2091564.13</v>
      </c>
      <c r="AS22" s="3">
        <f t="shared" si="8"/>
        <v>2091564.13</v>
      </c>
      <c r="AT22" s="3">
        <f t="shared" si="8"/>
        <v>0</v>
      </c>
      <c r="AU22" s="3">
        <f aca="true" t="shared" si="9" ref="AU22:BZ22">AU189</f>
        <v>0</v>
      </c>
      <c r="AV22" s="3">
        <f t="shared" si="9"/>
        <v>2083357.68</v>
      </c>
      <c r="AW22" s="3">
        <f t="shared" si="9"/>
        <v>2083357.68</v>
      </c>
      <c r="AX22" s="3">
        <f t="shared" si="9"/>
        <v>0</v>
      </c>
      <c r="AY22" s="3">
        <f t="shared" si="9"/>
        <v>2083357.68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50.59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aca="true" t="shared" si="10" ref="CA22:DF22">CA189</f>
        <v>0</v>
      </c>
      <c r="CB22" s="3">
        <f t="shared" si="10"/>
        <v>0</v>
      </c>
      <c r="CC22" s="3">
        <f t="shared" si="10"/>
        <v>0</v>
      </c>
      <c r="CD22" s="3">
        <f t="shared" si="10"/>
        <v>0</v>
      </c>
      <c r="CE22" s="3">
        <f t="shared" si="10"/>
        <v>0</v>
      </c>
      <c r="CF22" s="3">
        <f t="shared" si="10"/>
        <v>0</v>
      </c>
      <c r="CG22" s="3">
        <f t="shared" si="10"/>
        <v>0</v>
      </c>
      <c r="CH22" s="3">
        <f t="shared" si="10"/>
        <v>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aca="true" t="shared" si="11" ref="DG22:EL22">DG189</f>
        <v>2190182.51</v>
      </c>
      <c r="DH22" s="4">
        <f t="shared" si="11"/>
        <v>2085482.36</v>
      </c>
      <c r="DI22" s="4">
        <f t="shared" si="11"/>
        <v>4171.6</v>
      </c>
      <c r="DJ22" s="4">
        <f t="shared" si="11"/>
        <v>1209.12</v>
      </c>
      <c r="DK22" s="4">
        <f t="shared" si="11"/>
        <v>100528.55</v>
      </c>
      <c r="DL22" s="4">
        <f t="shared" si="11"/>
        <v>0</v>
      </c>
      <c r="DM22" s="4">
        <f t="shared" si="11"/>
        <v>298.55661999999995</v>
      </c>
      <c r="DN22" s="4">
        <f t="shared" si="11"/>
        <v>2.7016999999999998</v>
      </c>
      <c r="DO22" s="4">
        <f t="shared" si="11"/>
        <v>0</v>
      </c>
      <c r="DP22" s="4">
        <f t="shared" si="11"/>
        <v>84389</v>
      </c>
      <c r="DQ22" s="4">
        <f t="shared" si="11"/>
        <v>72598.91</v>
      </c>
      <c r="DR22" s="4">
        <f t="shared" si="11"/>
        <v>0</v>
      </c>
      <c r="DS22" s="4">
        <f t="shared" si="11"/>
        <v>0</v>
      </c>
      <c r="DT22" s="4">
        <f t="shared" si="11"/>
        <v>0</v>
      </c>
      <c r="DU22" s="4">
        <f t="shared" si="11"/>
        <v>0</v>
      </c>
      <c r="DV22" s="4">
        <f t="shared" si="11"/>
        <v>0</v>
      </c>
      <c r="DW22" s="4">
        <f t="shared" si="11"/>
        <v>0</v>
      </c>
      <c r="DX22" s="4">
        <f t="shared" si="11"/>
        <v>0</v>
      </c>
      <c r="DY22" s="4">
        <f t="shared" si="11"/>
        <v>0</v>
      </c>
      <c r="DZ22" s="4">
        <f t="shared" si="11"/>
        <v>0</v>
      </c>
      <c r="EA22" s="4">
        <f t="shared" si="11"/>
        <v>0</v>
      </c>
      <c r="EB22" s="4">
        <f t="shared" si="11"/>
        <v>0</v>
      </c>
      <c r="EC22" s="4">
        <f t="shared" si="11"/>
        <v>0</v>
      </c>
      <c r="ED22" s="4">
        <f t="shared" si="11"/>
        <v>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2347721.07</v>
      </c>
      <c r="EK22" s="4">
        <f t="shared" si="11"/>
        <v>2347721.07</v>
      </c>
      <c r="EL22" s="4">
        <f t="shared" si="11"/>
        <v>0</v>
      </c>
      <c r="EM22" s="4">
        <f aca="true" t="shared" si="12" ref="EM22:FR22">EM189</f>
        <v>0</v>
      </c>
      <c r="EN22" s="4">
        <f t="shared" si="12"/>
        <v>2085482.36</v>
      </c>
      <c r="EO22" s="4">
        <f t="shared" si="12"/>
        <v>2085482.36</v>
      </c>
      <c r="EP22" s="4">
        <f t="shared" si="12"/>
        <v>0</v>
      </c>
      <c r="EQ22" s="4">
        <f t="shared" si="12"/>
        <v>2085482.36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550.65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aca="true" t="shared" si="13" ref="FS22:GX22">FS189</f>
        <v>0</v>
      </c>
      <c r="FT22" s="4">
        <f t="shared" si="13"/>
        <v>0</v>
      </c>
      <c r="FU22" s="4">
        <f t="shared" si="13"/>
        <v>0</v>
      </c>
      <c r="FV22" s="4">
        <f t="shared" si="13"/>
        <v>0</v>
      </c>
      <c r="FW22" s="4">
        <f t="shared" si="13"/>
        <v>0</v>
      </c>
      <c r="FX22" s="4">
        <f t="shared" si="13"/>
        <v>0</v>
      </c>
      <c r="FY22" s="4">
        <f t="shared" si="13"/>
        <v>0</v>
      </c>
      <c r="FZ22" s="4">
        <f t="shared" si="13"/>
        <v>0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ROW(A51)</f>
        <v>51</v>
      </c>
      <c r="E24" s="1"/>
      <c r="F24" s="1" t="s">
        <v>24</v>
      </c>
      <c r="G24" s="1" t="s">
        <v>25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>
        <v>0</v>
      </c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3">
        <v>52</v>
      </c>
      <c r="B26" s="3">
        <f aca="true" t="shared" si="14" ref="B26:G26">B51</f>
        <v>1</v>
      </c>
      <c r="C26" s="3">
        <f t="shared" si="14"/>
        <v>4</v>
      </c>
      <c r="D26" s="3">
        <f t="shared" si="14"/>
        <v>24</v>
      </c>
      <c r="E26" s="3">
        <f t="shared" si="14"/>
        <v>0</v>
      </c>
      <c r="F26" s="3" t="str">
        <f t="shared" si="14"/>
        <v>Новый раздел</v>
      </c>
      <c r="G26" s="3" t="str">
        <f t="shared" si="14"/>
        <v>Строение 1</v>
      </c>
      <c r="H26" s="3"/>
      <c r="I26" s="3"/>
      <c r="J26" s="3"/>
      <c r="K26" s="3"/>
      <c r="L26" s="3"/>
      <c r="M26" s="3"/>
      <c r="N26" s="3"/>
      <c r="O26" s="3">
        <f aca="true" t="shared" si="15" ref="O26:AT26">O51</f>
        <v>939486.94</v>
      </c>
      <c r="P26" s="3">
        <f t="shared" si="15"/>
        <v>937662.99</v>
      </c>
      <c r="Q26" s="3">
        <f t="shared" si="15"/>
        <v>298.01</v>
      </c>
      <c r="R26" s="3">
        <f t="shared" si="15"/>
        <v>17.76</v>
      </c>
      <c r="S26" s="3">
        <f t="shared" si="15"/>
        <v>1525.94</v>
      </c>
      <c r="T26" s="3">
        <f t="shared" si="15"/>
        <v>0</v>
      </c>
      <c r="U26" s="3">
        <f t="shared" si="15"/>
        <v>153.65359999999998</v>
      </c>
      <c r="V26" s="3">
        <f t="shared" si="15"/>
        <v>1.3397</v>
      </c>
      <c r="W26" s="3">
        <f t="shared" si="15"/>
        <v>0</v>
      </c>
      <c r="X26" s="3">
        <f t="shared" si="15"/>
        <v>1278.98</v>
      </c>
      <c r="Y26" s="3">
        <f t="shared" si="15"/>
        <v>1106.01</v>
      </c>
      <c r="Z26" s="3">
        <f t="shared" si="15"/>
        <v>0</v>
      </c>
      <c r="AA26" s="3">
        <f t="shared" si="15"/>
        <v>0</v>
      </c>
      <c r="AB26" s="3">
        <f t="shared" si="15"/>
        <v>939486.94</v>
      </c>
      <c r="AC26" s="3">
        <f t="shared" si="15"/>
        <v>937662.99</v>
      </c>
      <c r="AD26" s="3">
        <f t="shared" si="15"/>
        <v>298.01</v>
      </c>
      <c r="AE26" s="3">
        <f t="shared" si="15"/>
        <v>17.76</v>
      </c>
      <c r="AF26" s="3">
        <f t="shared" si="15"/>
        <v>1525.94</v>
      </c>
      <c r="AG26" s="3">
        <f t="shared" si="15"/>
        <v>0</v>
      </c>
      <c r="AH26" s="3">
        <f t="shared" si="15"/>
        <v>153.65359999999998</v>
      </c>
      <c r="AI26" s="3">
        <f t="shared" si="15"/>
        <v>1.3397</v>
      </c>
      <c r="AJ26" s="3">
        <f t="shared" si="15"/>
        <v>0</v>
      </c>
      <c r="AK26" s="3">
        <f t="shared" si="15"/>
        <v>1278.98</v>
      </c>
      <c r="AL26" s="3">
        <f t="shared" si="15"/>
        <v>1106.01</v>
      </c>
      <c r="AM26" s="3">
        <f t="shared" si="15"/>
        <v>0</v>
      </c>
      <c r="AN26" s="3">
        <f t="shared" si="15"/>
        <v>0</v>
      </c>
      <c r="AO26" s="3">
        <f t="shared" si="15"/>
        <v>0</v>
      </c>
      <c r="AP26" s="3">
        <f t="shared" si="15"/>
        <v>0</v>
      </c>
      <c r="AQ26" s="3">
        <f t="shared" si="15"/>
        <v>0</v>
      </c>
      <c r="AR26" s="3">
        <f t="shared" si="15"/>
        <v>941871.93</v>
      </c>
      <c r="AS26" s="3">
        <f t="shared" si="15"/>
        <v>941871.93</v>
      </c>
      <c r="AT26" s="3">
        <f t="shared" si="15"/>
        <v>0</v>
      </c>
      <c r="AU26" s="3">
        <f aca="true" t="shared" si="16" ref="AU26:BZ26">AU51</f>
        <v>0</v>
      </c>
      <c r="AV26" s="3">
        <f t="shared" si="16"/>
        <v>937662.99</v>
      </c>
      <c r="AW26" s="3">
        <f t="shared" si="16"/>
        <v>937662.99</v>
      </c>
      <c r="AX26" s="3">
        <f t="shared" si="16"/>
        <v>0</v>
      </c>
      <c r="AY26" s="3">
        <f t="shared" si="16"/>
        <v>937662.99</v>
      </c>
      <c r="AZ26" s="3">
        <f t="shared" si="16"/>
        <v>0</v>
      </c>
      <c r="BA26" s="3">
        <f t="shared" si="16"/>
        <v>0</v>
      </c>
      <c r="BB26" s="3">
        <f t="shared" si="16"/>
        <v>0</v>
      </c>
      <c r="BC26" s="3">
        <f t="shared" si="16"/>
        <v>0</v>
      </c>
      <c r="BD26" s="3">
        <f t="shared" si="16"/>
        <v>0</v>
      </c>
      <c r="BE26" s="3">
        <f t="shared" si="16"/>
        <v>0</v>
      </c>
      <c r="BF26" s="3">
        <f t="shared" si="16"/>
        <v>0</v>
      </c>
      <c r="BG26" s="3">
        <f t="shared" si="16"/>
        <v>0</v>
      </c>
      <c r="BH26" s="3">
        <f t="shared" si="16"/>
        <v>0</v>
      </c>
      <c r="BI26" s="3">
        <f t="shared" si="16"/>
        <v>0</v>
      </c>
      <c r="BJ26" s="3">
        <f t="shared" si="16"/>
        <v>0</v>
      </c>
      <c r="BK26" s="3">
        <f t="shared" si="16"/>
        <v>0</v>
      </c>
      <c r="BL26" s="3">
        <f t="shared" si="16"/>
        <v>0</v>
      </c>
      <c r="BM26" s="3">
        <f t="shared" si="16"/>
        <v>0</v>
      </c>
      <c r="BN26" s="3">
        <f t="shared" si="16"/>
        <v>0</v>
      </c>
      <c r="BO26" s="3">
        <f t="shared" si="16"/>
        <v>0</v>
      </c>
      <c r="BP26" s="3">
        <f t="shared" si="16"/>
        <v>0</v>
      </c>
      <c r="BQ26" s="3">
        <f t="shared" si="16"/>
        <v>0</v>
      </c>
      <c r="BR26" s="3">
        <f t="shared" si="16"/>
        <v>0</v>
      </c>
      <c r="BS26" s="3">
        <f t="shared" si="16"/>
        <v>0</v>
      </c>
      <c r="BT26" s="3">
        <f t="shared" si="16"/>
        <v>0</v>
      </c>
      <c r="BU26" s="3">
        <f t="shared" si="16"/>
        <v>0</v>
      </c>
      <c r="BV26" s="3">
        <f t="shared" si="16"/>
        <v>0</v>
      </c>
      <c r="BW26" s="3">
        <f t="shared" si="16"/>
        <v>0</v>
      </c>
      <c r="BX26" s="3">
        <f t="shared" si="16"/>
        <v>0</v>
      </c>
      <c r="BY26" s="3">
        <f t="shared" si="16"/>
        <v>0</v>
      </c>
      <c r="BZ26" s="3">
        <f t="shared" si="16"/>
        <v>0</v>
      </c>
      <c r="CA26" s="3">
        <f aca="true" t="shared" si="17" ref="CA26:DF26">CA51</f>
        <v>941871.93</v>
      </c>
      <c r="CB26" s="3">
        <f t="shared" si="17"/>
        <v>941871.93</v>
      </c>
      <c r="CC26" s="3">
        <f t="shared" si="17"/>
        <v>0</v>
      </c>
      <c r="CD26" s="3">
        <f t="shared" si="17"/>
        <v>0</v>
      </c>
      <c r="CE26" s="3">
        <f t="shared" si="17"/>
        <v>937662.99</v>
      </c>
      <c r="CF26" s="3">
        <f t="shared" si="17"/>
        <v>937662.99</v>
      </c>
      <c r="CG26" s="3">
        <f t="shared" si="17"/>
        <v>0</v>
      </c>
      <c r="CH26" s="3">
        <f t="shared" si="17"/>
        <v>937662.99</v>
      </c>
      <c r="CI26" s="3">
        <f t="shared" si="17"/>
        <v>0</v>
      </c>
      <c r="CJ26" s="3">
        <f t="shared" si="17"/>
        <v>0</v>
      </c>
      <c r="CK26" s="3">
        <f t="shared" si="17"/>
        <v>0</v>
      </c>
      <c r="CL26" s="3">
        <f t="shared" si="17"/>
        <v>0</v>
      </c>
      <c r="CM26" s="3">
        <f t="shared" si="17"/>
        <v>0</v>
      </c>
      <c r="CN26" s="3">
        <f t="shared" si="17"/>
        <v>0</v>
      </c>
      <c r="CO26" s="3">
        <f t="shared" si="17"/>
        <v>0</v>
      </c>
      <c r="CP26" s="3">
        <f t="shared" si="17"/>
        <v>0</v>
      </c>
      <c r="CQ26" s="3">
        <f t="shared" si="17"/>
        <v>0</v>
      </c>
      <c r="CR26" s="3">
        <f t="shared" si="17"/>
        <v>0</v>
      </c>
      <c r="CS26" s="3">
        <f t="shared" si="17"/>
        <v>0</v>
      </c>
      <c r="CT26" s="3">
        <f t="shared" si="17"/>
        <v>0</v>
      </c>
      <c r="CU26" s="3">
        <f t="shared" si="17"/>
        <v>0</v>
      </c>
      <c r="CV26" s="3">
        <f t="shared" si="17"/>
        <v>0</v>
      </c>
      <c r="CW26" s="3">
        <f t="shared" si="17"/>
        <v>0</v>
      </c>
      <c r="CX26" s="3">
        <f t="shared" si="17"/>
        <v>0</v>
      </c>
      <c r="CY26" s="3">
        <f t="shared" si="17"/>
        <v>0</v>
      </c>
      <c r="CZ26" s="3">
        <f t="shared" si="17"/>
        <v>0</v>
      </c>
      <c r="DA26" s="3">
        <f t="shared" si="17"/>
        <v>0</v>
      </c>
      <c r="DB26" s="3">
        <f t="shared" si="17"/>
        <v>0</v>
      </c>
      <c r="DC26" s="3">
        <f t="shared" si="17"/>
        <v>0</v>
      </c>
      <c r="DD26" s="3">
        <f t="shared" si="17"/>
        <v>0</v>
      </c>
      <c r="DE26" s="3">
        <f t="shared" si="17"/>
        <v>0</v>
      </c>
      <c r="DF26" s="3">
        <f t="shared" si="17"/>
        <v>0</v>
      </c>
      <c r="DG26" s="4">
        <f aca="true" t="shared" si="18" ref="DG26:EL26">DG51</f>
        <v>992113.26</v>
      </c>
      <c r="DH26" s="4">
        <f t="shared" si="18"/>
        <v>938096.12</v>
      </c>
      <c r="DI26" s="4">
        <f t="shared" si="18"/>
        <v>2119.79</v>
      </c>
      <c r="DJ26" s="4">
        <f t="shared" si="18"/>
        <v>603.85</v>
      </c>
      <c r="DK26" s="4">
        <f t="shared" si="18"/>
        <v>51897.35</v>
      </c>
      <c r="DL26" s="4">
        <f t="shared" si="18"/>
        <v>0</v>
      </c>
      <c r="DM26" s="4">
        <f t="shared" si="18"/>
        <v>153.65359999999998</v>
      </c>
      <c r="DN26" s="4">
        <f t="shared" si="18"/>
        <v>1.3397</v>
      </c>
      <c r="DO26" s="4">
        <f t="shared" si="18"/>
        <v>0</v>
      </c>
      <c r="DP26" s="4">
        <f t="shared" si="18"/>
        <v>43497.91</v>
      </c>
      <c r="DQ26" s="4">
        <f t="shared" si="18"/>
        <v>37615.51</v>
      </c>
      <c r="DR26" s="4">
        <f t="shared" si="18"/>
        <v>0</v>
      </c>
      <c r="DS26" s="4">
        <f t="shared" si="18"/>
        <v>0</v>
      </c>
      <c r="DT26" s="4">
        <f t="shared" si="18"/>
        <v>992113.26</v>
      </c>
      <c r="DU26" s="4">
        <f t="shared" si="18"/>
        <v>938096.12</v>
      </c>
      <c r="DV26" s="4">
        <f t="shared" si="18"/>
        <v>2119.79</v>
      </c>
      <c r="DW26" s="4">
        <f t="shared" si="18"/>
        <v>603.85</v>
      </c>
      <c r="DX26" s="4">
        <f t="shared" si="18"/>
        <v>51897.35</v>
      </c>
      <c r="DY26" s="4">
        <f t="shared" si="18"/>
        <v>0</v>
      </c>
      <c r="DZ26" s="4">
        <f t="shared" si="18"/>
        <v>153.65359999999998</v>
      </c>
      <c r="EA26" s="4">
        <f t="shared" si="18"/>
        <v>1.3397</v>
      </c>
      <c r="EB26" s="4">
        <f t="shared" si="18"/>
        <v>0</v>
      </c>
      <c r="EC26" s="4">
        <f t="shared" si="18"/>
        <v>43497.91</v>
      </c>
      <c r="ED26" s="4">
        <f t="shared" si="18"/>
        <v>37615.51</v>
      </c>
      <c r="EE26" s="4">
        <f t="shared" si="18"/>
        <v>0</v>
      </c>
      <c r="EF26" s="4">
        <f t="shared" si="18"/>
        <v>0</v>
      </c>
      <c r="EG26" s="4">
        <f t="shared" si="18"/>
        <v>0</v>
      </c>
      <c r="EH26" s="4">
        <f t="shared" si="18"/>
        <v>0</v>
      </c>
      <c r="EI26" s="4">
        <f t="shared" si="18"/>
        <v>0</v>
      </c>
      <c r="EJ26" s="4">
        <f t="shared" si="18"/>
        <v>1073226.68</v>
      </c>
      <c r="EK26" s="4">
        <f t="shared" si="18"/>
        <v>1073226.68</v>
      </c>
      <c r="EL26" s="4">
        <f t="shared" si="18"/>
        <v>0</v>
      </c>
      <c r="EM26" s="4">
        <f aca="true" t="shared" si="19" ref="EM26:FR26">EM51</f>
        <v>0</v>
      </c>
      <c r="EN26" s="4">
        <f t="shared" si="19"/>
        <v>938096.12</v>
      </c>
      <c r="EO26" s="4">
        <f t="shared" si="19"/>
        <v>938096.12</v>
      </c>
      <c r="EP26" s="4">
        <f t="shared" si="19"/>
        <v>0</v>
      </c>
      <c r="EQ26" s="4">
        <f t="shared" si="19"/>
        <v>938096.12</v>
      </c>
      <c r="ER26" s="4">
        <f t="shared" si="19"/>
        <v>0</v>
      </c>
      <c r="ES26" s="4">
        <f t="shared" si="19"/>
        <v>0</v>
      </c>
      <c r="ET26" s="4">
        <f t="shared" si="19"/>
        <v>0</v>
      </c>
      <c r="EU26" s="4">
        <f t="shared" si="19"/>
        <v>0</v>
      </c>
      <c r="EV26" s="4">
        <f t="shared" si="19"/>
        <v>0</v>
      </c>
      <c r="EW26" s="4">
        <f t="shared" si="19"/>
        <v>0</v>
      </c>
      <c r="EX26" s="4">
        <f t="shared" si="19"/>
        <v>0</v>
      </c>
      <c r="EY26" s="4">
        <f t="shared" si="19"/>
        <v>0</v>
      </c>
      <c r="EZ26" s="4">
        <f t="shared" si="19"/>
        <v>0</v>
      </c>
      <c r="FA26" s="4">
        <f t="shared" si="19"/>
        <v>0</v>
      </c>
      <c r="FB26" s="4">
        <f t="shared" si="19"/>
        <v>0</v>
      </c>
      <c r="FC26" s="4">
        <f t="shared" si="19"/>
        <v>0</v>
      </c>
      <c r="FD26" s="4">
        <f t="shared" si="19"/>
        <v>0</v>
      </c>
      <c r="FE26" s="4">
        <f t="shared" si="19"/>
        <v>0</v>
      </c>
      <c r="FF26" s="4">
        <f t="shared" si="19"/>
        <v>0</v>
      </c>
      <c r="FG26" s="4">
        <f t="shared" si="19"/>
        <v>0</v>
      </c>
      <c r="FH26" s="4">
        <f t="shared" si="19"/>
        <v>0</v>
      </c>
      <c r="FI26" s="4">
        <f t="shared" si="19"/>
        <v>0</v>
      </c>
      <c r="FJ26" s="4">
        <f t="shared" si="19"/>
        <v>0</v>
      </c>
      <c r="FK26" s="4">
        <f t="shared" si="19"/>
        <v>0</v>
      </c>
      <c r="FL26" s="4">
        <f t="shared" si="19"/>
        <v>0</v>
      </c>
      <c r="FM26" s="4">
        <f t="shared" si="19"/>
        <v>0</v>
      </c>
      <c r="FN26" s="4">
        <f t="shared" si="19"/>
        <v>0</v>
      </c>
      <c r="FO26" s="4">
        <f t="shared" si="19"/>
        <v>0</v>
      </c>
      <c r="FP26" s="4">
        <f t="shared" si="19"/>
        <v>0</v>
      </c>
      <c r="FQ26" s="4">
        <f t="shared" si="19"/>
        <v>0</v>
      </c>
      <c r="FR26" s="4">
        <f t="shared" si="19"/>
        <v>0</v>
      </c>
      <c r="FS26" s="4">
        <f aca="true" t="shared" si="20" ref="FS26:GX26">FS51</f>
        <v>1073226.68</v>
      </c>
      <c r="FT26" s="4">
        <f t="shared" si="20"/>
        <v>1073226.68</v>
      </c>
      <c r="FU26" s="4">
        <f t="shared" si="20"/>
        <v>0</v>
      </c>
      <c r="FV26" s="4">
        <f t="shared" si="20"/>
        <v>0</v>
      </c>
      <c r="FW26" s="4">
        <f t="shared" si="20"/>
        <v>938096.12</v>
      </c>
      <c r="FX26" s="4">
        <f t="shared" si="20"/>
        <v>938096.12</v>
      </c>
      <c r="FY26" s="4">
        <f t="shared" si="20"/>
        <v>0</v>
      </c>
      <c r="FZ26" s="4">
        <f t="shared" si="20"/>
        <v>938096.12</v>
      </c>
      <c r="GA26" s="4">
        <f t="shared" si="20"/>
        <v>0</v>
      </c>
      <c r="GB26" s="4">
        <f t="shared" si="20"/>
        <v>0</v>
      </c>
      <c r="GC26" s="4">
        <f t="shared" si="20"/>
        <v>0</v>
      </c>
      <c r="GD26" s="4">
        <f t="shared" si="20"/>
        <v>0</v>
      </c>
      <c r="GE26" s="4">
        <f t="shared" si="20"/>
        <v>0</v>
      </c>
      <c r="GF26" s="4">
        <f t="shared" si="20"/>
        <v>0</v>
      </c>
      <c r="GG26" s="4">
        <f t="shared" si="20"/>
        <v>0</v>
      </c>
      <c r="GH26" s="4">
        <f t="shared" si="20"/>
        <v>0</v>
      </c>
      <c r="GI26" s="4">
        <f t="shared" si="20"/>
        <v>0</v>
      </c>
      <c r="GJ26" s="4">
        <f t="shared" si="20"/>
        <v>0</v>
      </c>
      <c r="GK26" s="4">
        <f t="shared" si="20"/>
        <v>0</v>
      </c>
      <c r="GL26" s="4">
        <f t="shared" si="20"/>
        <v>0</v>
      </c>
      <c r="GM26" s="4">
        <f t="shared" si="20"/>
        <v>0</v>
      </c>
      <c r="GN26" s="4">
        <f t="shared" si="20"/>
        <v>0</v>
      </c>
      <c r="GO26" s="4">
        <f t="shared" si="20"/>
        <v>0</v>
      </c>
      <c r="GP26" s="4">
        <f t="shared" si="20"/>
        <v>0</v>
      </c>
      <c r="GQ26" s="4">
        <f t="shared" si="20"/>
        <v>0</v>
      </c>
      <c r="GR26" s="4">
        <f t="shared" si="20"/>
        <v>0</v>
      </c>
      <c r="GS26" s="4">
        <f t="shared" si="20"/>
        <v>0</v>
      </c>
      <c r="GT26" s="4">
        <f t="shared" si="20"/>
        <v>0</v>
      </c>
      <c r="GU26" s="4">
        <f t="shared" si="20"/>
        <v>0</v>
      </c>
      <c r="GV26" s="4">
        <f t="shared" si="20"/>
        <v>0</v>
      </c>
      <c r="GW26" s="4">
        <f t="shared" si="20"/>
        <v>0</v>
      </c>
      <c r="GX26" s="4">
        <f t="shared" si="20"/>
        <v>0</v>
      </c>
    </row>
    <row r="28" spans="1:255" ht="12.75">
      <c r="A28" s="2">
        <v>17</v>
      </c>
      <c r="B28" s="2">
        <v>1</v>
      </c>
      <c r="C28" s="2">
        <f>ROW(SmtRes!A6)</f>
        <v>6</v>
      </c>
      <c r="D28" s="2">
        <f>ROW(EtalonRes!A6)</f>
        <v>6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ROUND(14/100,7)</f>
        <v>0.14</v>
      </c>
      <c r="J28" s="2">
        <v>0</v>
      </c>
      <c r="K28" s="2">
        <f>ROUND(14/100,7)</f>
        <v>0.14</v>
      </c>
      <c r="L28" s="2"/>
      <c r="M28" s="2"/>
      <c r="N28" s="2"/>
      <c r="O28" s="2">
        <f aca="true" t="shared" si="21" ref="O28:O49">ROUND(CP28,2)</f>
        <v>152.85</v>
      </c>
      <c r="P28" s="2">
        <f aca="true" t="shared" si="22" ref="P28:P49">ROUND(CQ28*I28,2)</f>
        <v>53.13</v>
      </c>
      <c r="Q28" s="2">
        <f aca="true" t="shared" si="23" ref="Q28:Q49">ROUND(CR28*I28,2)</f>
        <v>2.07</v>
      </c>
      <c r="R28" s="2">
        <f aca="true" t="shared" si="24" ref="R28:R49">ROUND(CS28*I28,2)</f>
        <v>0.37</v>
      </c>
      <c r="S28" s="2">
        <f aca="true" t="shared" si="25" ref="S28:S49">ROUND(CT28*I28,2)</f>
        <v>97.65</v>
      </c>
      <c r="T28" s="2">
        <f aca="true" t="shared" si="26" ref="T28:T49">ROUND(CU28*I28,2)</f>
        <v>0</v>
      </c>
      <c r="U28" s="2">
        <f aca="true" t="shared" si="27" ref="U28:U49">CV28*I28</f>
        <v>11.302200000000001</v>
      </c>
      <c r="V28" s="2">
        <f aca="true" t="shared" si="28" ref="V28:V49">CW28*I28</f>
        <v>0.0315</v>
      </c>
      <c r="W28" s="2">
        <f aca="true" t="shared" si="29" ref="W28:W49">ROUND(CX28*I28,2)</f>
        <v>0</v>
      </c>
      <c r="X28" s="2">
        <f aca="true" t="shared" si="30" ref="X28:X49">ROUND(CY28,2)</f>
        <v>107.82</v>
      </c>
      <c r="Y28" s="2">
        <f aca="true" t="shared" si="31" ref="Y28:Y49">ROUND(CZ28,2)</f>
        <v>66.65</v>
      </c>
      <c r="Z28" s="2"/>
      <c r="AA28" s="2">
        <v>50947576</v>
      </c>
      <c r="AB28" s="2">
        <f aca="true" t="shared" si="32" ref="AB28:AB49">ROUND((AC28+AD28+AF28),6)</f>
        <v>1091.767</v>
      </c>
      <c r="AC28" s="2">
        <f aca="true" t="shared" si="33" ref="AC28:AC49">ROUND((ES28),6)</f>
        <v>379.47</v>
      </c>
      <c r="AD28" s="2">
        <f>ROUND(((((ET28*ROUND(1.25,7)))-((EU28*ROUND(1.25,7))))+AE28),6)</f>
        <v>14.7875</v>
      </c>
      <c r="AE28" s="2">
        <f>ROUND(((EU28*ROUND(1.25,7))),6)</f>
        <v>2.6125</v>
      </c>
      <c r="AF28" s="2">
        <f>ROUND(((EV28*ROUND(1.15,7))),6)</f>
        <v>697.5095</v>
      </c>
      <c r="AG28" s="2">
        <f aca="true" t="shared" si="34" ref="AG28:AG49">ROUND((AP28),6)</f>
        <v>0</v>
      </c>
      <c r="AH28" s="2">
        <f>((EW28*ROUND(1.15,7)))</f>
        <v>80.73</v>
      </c>
      <c r="AI28" s="2">
        <f>((EX28*ROUND(1.25,7)))</f>
        <v>0.22499999999999998</v>
      </c>
      <c r="AJ28" s="2">
        <f aca="true" t="shared" si="35" ref="AJ28:AJ49">(AS28)</f>
        <v>0</v>
      </c>
      <c r="AK28" s="2">
        <v>997.83</v>
      </c>
      <c r="AL28" s="2">
        <v>379.47</v>
      </c>
      <c r="AM28" s="2">
        <v>11.83</v>
      </c>
      <c r="AN28" s="2">
        <v>2.09</v>
      </c>
      <c r="AO28" s="2">
        <v>606.53</v>
      </c>
      <c r="AP28" s="2">
        <v>0</v>
      </c>
      <c r="AQ28" s="2">
        <v>70.2</v>
      </c>
      <c r="AR28" s="2">
        <v>0.18</v>
      </c>
      <c r="AS28" s="2">
        <v>0</v>
      </c>
      <c r="AT28" s="2">
        <v>110</v>
      </c>
      <c r="AU28" s="2">
        <v>68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122</v>
      </c>
      <c r="CA28" s="2">
        <v>80</v>
      </c>
      <c r="CB28" s="2" t="s">
        <v>3</v>
      </c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390</v>
      </c>
      <c r="CO28" s="2">
        <v>0</v>
      </c>
      <c r="CP28" s="2">
        <f aca="true" t="shared" si="36" ref="CP28:CP49">(P28+Q28+S28)</f>
        <v>152.85000000000002</v>
      </c>
      <c r="CQ28" s="2">
        <f aca="true" t="shared" si="37" ref="CQ28:CQ49">AC28*BC28</f>
        <v>379.47</v>
      </c>
      <c r="CR28" s="2">
        <f aca="true" t="shared" si="38" ref="CR28:CR49">AD28*BB28</f>
        <v>14.7875</v>
      </c>
      <c r="CS28" s="2">
        <f aca="true" t="shared" si="39" ref="CS28:CS49">AE28*BS28</f>
        <v>2.6125</v>
      </c>
      <c r="CT28" s="2">
        <f aca="true" t="shared" si="40" ref="CT28:CT49">AF28*BA28</f>
        <v>697.5095</v>
      </c>
      <c r="CU28" s="2">
        <f aca="true" t="shared" si="41" ref="CU28:CU49">AG28</f>
        <v>0</v>
      </c>
      <c r="CV28" s="2">
        <f aca="true" t="shared" si="42" ref="CV28:CV49">AH28</f>
        <v>80.73</v>
      </c>
      <c r="CW28" s="2">
        <f aca="true" t="shared" si="43" ref="CW28:CW49">AI28</f>
        <v>0.22499999999999998</v>
      </c>
      <c r="CX28" s="2">
        <f aca="true" t="shared" si="44" ref="CX28:CX49">AJ28</f>
        <v>0</v>
      </c>
      <c r="CY28" s="2">
        <f aca="true" t="shared" si="45" ref="CY28:CY49">(((S28+R28)*AT28)/100)</f>
        <v>107.822</v>
      </c>
      <c r="CZ28" s="2">
        <f aca="true" t="shared" si="46" ref="CZ28:CZ49">(((S28+R28)*AU28)/100)</f>
        <v>66.65360000000001</v>
      </c>
      <c r="DA28" s="2"/>
      <c r="DB28" s="2"/>
      <c r="DC28" s="2" t="s">
        <v>3</v>
      </c>
      <c r="DD28" s="2" t="s">
        <v>3</v>
      </c>
      <c r="DE28" s="2" t="s">
        <v>31</v>
      </c>
      <c r="DF28" s="2" t="s">
        <v>31</v>
      </c>
      <c r="DG28" s="2" t="s">
        <v>32</v>
      </c>
      <c r="DH28" s="2" t="s">
        <v>3</v>
      </c>
      <c r="DI28" s="2" t="s">
        <v>32</v>
      </c>
      <c r="DJ28" s="2" t="s">
        <v>31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29</v>
      </c>
      <c r="DW28" s="2" t="s">
        <v>29</v>
      </c>
      <c r="DX28" s="2">
        <v>1</v>
      </c>
      <c r="DY28" s="2"/>
      <c r="DZ28" s="2" t="s">
        <v>3</v>
      </c>
      <c r="EA28" s="2" t="s">
        <v>3</v>
      </c>
      <c r="EB28" s="2" t="s">
        <v>3</v>
      </c>
      <c r="EC28" s="2" t="s">
        <v>3</v>
      </c>
      <c r="ED28" s="2"/>
      <c r="EE28" s="2">
        <v>49315464</v>
      </c>
      <c r="EF28" s="2">
        <v>2</v>
      </c>
      <c r="EG28" s="2" t="s">
        <v>33</v>
      </c>
      <c r="EH28" s="2">
        <v>0</v>
      </c>
      <c r="EI28" s="2" t="s">
        <v>3</v>
      </c>
      <c r="EJ28" s="2">
        <v>1</v>
      </c>
      <c r="EK28" s="2">
        <v>8001</v>
      </c>
      <c r="EL28" s="2" t="s">
        <v>34</v>
      </c>
      <c r="EM28" s="2" t="s">
        <v>35</v>
      </c>
      <c r="EN28" s="2"/>
      <c r="EO28" s="2" t="s">
        <v>36</v>
      </c>
      <c r="EP28" s="2"/>
      <c r="EQ28" s="2">
        <v>0</v>
      </c>
      <c r="ER28" s="2">
        <v>997.83</v>
      </c>
      <c r="ES28" s="2">
        <v>379.47</v>
      </c>
      <c r="ET28" s="2">
        <v>11.83</v>
      </c>
      <c r="EU28" s="2">
        <v>2.09</v>
      </c>
      <c r="EV28" s="2">
        <v>606.53</v>
      </c>
      <c r="EW28" s="2">
        <v>70.2</v>
      </c>
      <c r="EX28" s="2">
        <v>0.18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7" ref="FR28:FR49">ROUND(IF(AND(BH28=3,BI28=3),P28,0),2)</f>
        <v>0</v>
      </c>
      <c r="FS28" s="2">
        <v>0</v>
      </c>
      <c r="FT28" s="2" t="s">
        <v>37</v>
      </c>
      <c r="FU28" s="2" t="s">
        <v>38</v>
      </c>
      <c r="FV28" s="2"/>
      <c r="FW28" s="2"/>
      <c r="FX28" s="2">
        <v>109.8</v>
      </c>
      <c r="FY28" s="2">
        <v>68</v>
      </c>
      <c r="FZ28" s="2"/>
      <c r="GA28" s="2" t="s">
        <v>3</v>
      </c>
      <c r="GB28" s="2"/>
      <c r="GC28" s="2"/>
      <c r="GD28" s="2">
        <v>1</v>
      </c>
      <c r="GE28" s="2"/>
      <c r="GF28" s="2">
        <v>1642729560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aca="true" t="shared" si="48" ref="GL28:GL49">ROUND(IF(AND(BH28=3,BI28=3,FS28&lt;&gt;0),P28,0),2)</f>
        <v>0</v>
      </c>
      <c r="GM28" s="2">
        <f aca="true" t="shared" si="49" ref="GM28:GM49">ROUND(O28+X28+Y28,2)+GX28</f>
        <v>327.32</v>
      </c>
      <c r="GN28" s="2">
        <f aca="true" t="shared" si="50" ref="GN28:GN49">IF(OR(BI28=0,BI28=1),ROUND(O28+X28+Y28,2),0)</f>
        <v>327.32</v>
      </c>
      <c r="GO28" s="2">
        <f aca="true" t="shared" si="51" ref="GO28:GO49">IF(BI28=2,ROUND(O28+X28+Y28,2),0)</f>
        <v>0</v>
      </c>
      <c r="GP28" s="2">
        <f aca="true" t="shared" si="52" ref="GP28:GP49">IF(BI28=4,ROUND(O28+X28+Y28,2)+GX28,0)</f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aca="true" t="shared" si="53" ref="GV28:GV49">ROUND((GT28),6)</f>
        <v>0</v>
      </c>
      <c r="GW28" s="2">
        <v>1</v>
      </c>
      <c r="GX28" s="2">
        <f aca="true" t="shared" si="54" ref="GX28:GX49">ROUND(HC28*I28,2)</f>
        <v>0</v>
      </c>
      <c r="GY28" s="2"/>
      <c r="GZ28" s="2"/>
      <c r="HA28" s="2">
        <v>0</v>
      </c>
      <c r="HB28" s="2">
        <v>0</v>
      </c>
      <c r="HC28" s="2">
        <f aca="true" t="shared" si="55" ref="HC28:HC49">GV28*GW28</f>
        <v>0</v>
      </c>
      <c r="HD28" s="2"/>
      <c r="HE28" s="2" t="s">
        <v>3</v>
      </c>
      <c r="HF28" s="2" t="s">
        <v>3</v>
      </c>
      <c r="HG28" s="2"/>
      <c r="HH28" s="2"/>
      <c r="HI28" s="2"/>
      <c r="HJ28" s="2"/>
      <c r="HK28" s="2"/>
      <c r="HL28" s="2"/>
      <c r="HM28" s="2" t="s">
        <v>3</v>
      </c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45" ht="12.75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ROUND(14/100,7)</f>
        <v>0.14</v>
      </c>
      <c r="J29">
        <v>0</v>
      </c>
      <c r="K29">
        <f>ROUND(14/100,7)</f>
        <v>0.14</v>
      </c>
      <c r="O29">
        <f t="shared" si="21"/>
        <v>3830.6</v>
      </c>
      <c r="P29">
        <f t="shared" si="22"/>
        <v>485.57</v>
      </c>
      <c r="Q29">
        <f t="shared" si="23"/>
        <v>23.91</v>
      </c>
      <c r="R29">
        <f t="shared" si="24"/>
        <v>12.44</v>
      </c>
      <c r="S29">
        <f t="shared" si="25"/>
        <v>3321.12</v>
      </c>
      <c r="T29">
        <f t="shared" si="26"/>
        <v>0</v>
      </c>
      <c r="U29">
        <f t="shared" si="27"/>
        <v>11.302200000000001</v>
      </c>
      <c r="V29">
        <f t="shared" si="28"/>
        <v>0.0315</v>
      </c>
      <c r="W29">
        <f t="shared" si="29"/>
        <v>0</v>
      </c>
      <c r="X29">
        <f t="shared" si="30"/>
        <v>3666.92</v>
      </c>
      <c r="Y29">
        <f t="shared" si="31"/>
        <v>2266.82</v>
      </c>
      <c r="AA29">
        <v>50961513</v>
      </c>
      <c r="AB29">
        <f t="shared" si="32"/>
        <v>1091.767</v>
      </c>
      <c r="AC29">
        <f t="shared" si="33"/>
        <v>379.47</v>
      </c>
      <c r="AD29">
        <f>ROUND(((((ET29*ROUND(1.25,7)))-((EU29*ROUND(1.25,7))))+AE29),6)</f>
        <v>14.7875</v>
      </c>
      <c r="AE29">
        <f>ROUND(((EU29*ROUND(1.25,7))),6)</f>
        <v>2.6125</v>
      </c>
      <c r="AF29">
        <f>ROUND(((EV29*ROUND(1.15,7))),6)</f>
        <v>697.5095</v>
      </c>
      <c r="AG29">
        <f t="shared" si="34"/>
        <v>0</v>
      </c>
      <c r="AH29">
        <f>((EW29*ROUND(1.15,7)))</f>
        <v>80.73</v>
      </c>
      <c r="AI29">
        <f>((EX29*ROUND(1.25,7)))</f>
        <v>0.22499999999999998</v>
      </c>
      <c r="AJ29">
        <f t="shared" si="35"/>
        <v>0</v>
      </c>
      <c r="AK29">
        <v>997.83</v>
      </c>
      <c r="AL29">
        <v>379.47</v>
      </c>
      <c r="AM29">
        <v>11.83</v>
      </c>
      <c r="AN29">
        <v>2.09</v>
      </c>
      <c r="AO29">
        <v>606.53</v>
      </c>
      <c r="AP29">
        <v>0</v>
      </c>
      <c r="AQ29">
        <v>70.2</v>
      </c>
      <c r="AR29">
        <v>0.18</v>
      </c>
      <c r="AS29">
        <v>0</v>
      </c>
      <c r="AT29">
        <v>110</v>
      </c>
      <c r="AU29">
        <v>68</v>
      </c>
      <c r="AV29">
        <v>1</v>
      </c>
      <c r="AW29">
        <v>1</v>
      </c>
      <c r="AZ29">
        <v>1</v>
      </c>
      <c r="BA29">
        <v>34.01</v>
      </c>
      <c r="BB29">
        <v>11.55</v>
      </c>
      <c r="BC29">
        <v>9.14</v>
      </c>
      <c r="BH29">
        <v>0</v>
      </c>
      <c r="BI29">
        <v>1</v>
      </c>
      <c r="BJ29" t="s">
        <v>30</v>
      </c>
      <c r="BM29">
        <v>8001</v>
      </c>
      <c r="BN29">
        <v>0</v>
      </c>
      <c r="BO29" t="s">
        <v>27</v>
      </c>
      <c r="BP29">
        <v>1</v>
      </c>
      <c r="BQ29">
        <v>2</v>
      </c>
      <c r="BR29">
        <v>0</v>
      </c>
      <c r="BS29">
        <v>34.01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122</v>
      </c>
      <c r="CA29">
        <v>80</v>
      </c>
      <c r="CE29">
        <v>0</v>
      </c>
      <c r="CF29">
        <v>0</v>
      </c>
      <c r="CG29">
        <v>0</v>
      </c>
      <c r="CM29">
        <v>0</v>
      </c>
      <c r="CN29" t="s">
        <v>390</v>
      </c>
      <c r="CO29">
        <v>0</v>
      </c>
      <c r="CP29">
        <f t="shared" si="36"/>
        <v>3830.6</v>
      </c>
      <c r="CQ29">
        <f t="shared" si="37"/>
        <v>3468.3558000000003</v>
      </c>
      <c r="CR29">
        <f t="shared" si="38"/>
        <v>170.795625</v>
      </c>
      <c r="CS29">
        <f t="shared" si="39"/>
        <v>88.85112499999998</v>
      </c>
      <c r="CT29">
        <f t="shared" si="40"/>
        <v>23722.298095</v>
      </c>
      <c r="CU29">
        <f t="shared" si="41"/>
        <v>0</v>
      </c>
      <c r="CV29">
        <f t="shared" si="42"/>
        <v>80.73</v>
      </c>
      <c r="CW29">
        <f t="shared" si="43"/>
        <v>0.22499999999999998</v>
      </c>
      <c r="CX29">
        <f t="shared" si="44"/>
        <v>0</v>
      </c>
      <c r="CY29">
        <f t="shared" si="45"/>
        <v>3666.9159999999997</v>
      </c>
      <c r="CZ29">
        <f t="shared" si="46"/>
        <v>2266.8208</v>
      </c>
      <c r="DE29" t="s">
        <v>31</v>
      </c>
      <c r="DF29" t="s">
        <v>31</v>
      </c>
      <c r="DG29" t="s">
        <v>32</v>
      </c>
      <c r="DI29" t="s">
        <v>32</v>
      </c>
      <c r="DJ29" t="s">
        <v>31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29</v>
      </c>
      <c r="DW29" t="s">
        <v>29</v>
      </c>
      <c r="DX29">
        <v>1</v>
      </c>
      <c r="EE29">
        <v>49315464</v>
      </c>
      <c r="EF29">
        <v>2</v>
      </c>
      <c r="EG29" t="s">
        <v>33</v>
      </c>
      <c r="EH29">
        <v>0</v>
      </c>
      <c r="EJ29">
        <v>1</v>
      </c>
      <c r="EK29">
        <v>8001</v>
      </c>
      <c r="EL29" t="s">
        <v>34</v>
      </c>
      <c r="EM29" t="s">
        <v>35</v>
      </c>
      <c r="EO29" t="s">
        <v>36</v>
      </c>
      <c r="EQ29">
        <v>0</v>
      </c>
      <c r="ER29">
        <v>997.83</v>
      </c>
      <c r="ES29">
        <v>379.47</v>
      </c>
      <c r="ET29">
        <v>11.83</v>
      </c>
      <c r="EU29">
        <v>2.09</v>
      </c>
      <c r="EV29">
        <v>606.53</v>
      </c>
      <c r="EW29">
        <v>70.2</v>
      </c>
      <c r="EX29">
        <v>0.18</v>
      </c>
      <c r="EY29">
        <v>0</v>
      </c>
      <c r="FQ29">
        <v>0</v>
      </c>
      <c r="FR29">
        <f t="shared" si="47"/>
        <v>0</v>
      </c>
      <c r="FS29">
        <v>0</v>
      </c>
      <c r="FT29" t="s">
        <v>37</v>
      </c>
      <c r="FU29" t="s">
        <v>38</v>
      </c>
      <c r="FX29">
        <v>109.8</v>
      </c>
      <c r="FY29">
        <v>68</v>
      </c>
      <c r="GD29">
        <v>1</v>
      </c>
      <c r="GF29">
        <v>1642729560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8"/>
        <v>0</v>
      </c>
      <c r="GM29">
        <f t="shared" si="49"/>
        <v>9764.34</v>
      </c>
      <c r="GN29">
        <f t="shared" si="50"/>
        <v>9764.34</v>
      </c>
      <c r="GO29">
        <f t="shared" si="51"/>
        <v>0</v>
      </c>
      <c r="GP29">
        <f t="shared" si="52"/>
        <v>0</v>
      </c>
      <c r="GR29">
        <v>0</v>
      </c>
      <c r="GS29">
        <v>0</v>
      </c>
      <c r="GT29">
        <v>0</v>
      </c>
      <c r="GV29">
        <f t="shared" si="53"/>
        <v>0</v>
      </c>
      <c r="GW29">
        <v>1</v>
      </c>
      <c r="GX29">
        <f t="shared" si="54"/>
        <v>0</v>
      </c>
      <c r="HA29">
        <v>0</v>
      </c>
      <c r="HB29">
        <v>0</v>
      </c>
      <c r="HC29">
        <f t="shared" si="55"/>
        <v>0</v>
      </c>
      <c r="IK29">
        <v>0</v>
      </c>
    </row>
    <row r="30" spans="1:255" ht="12.75">
      <c r="A30" s="2">
        <v>17</v>
      </c>
      <c r="B30" s="2">
        <v>1</v>
      </c>
      <c r="C30" s="2">
        <f>ROW(SmtRes!A16)</f>
        <v>16</v>
      </c>
      <c r="D30" s="2">
        <f>ROW(EtalonRes!A16)</f>
        <v>16</v>
      </c>
      <c r="E30" s="2" t="s">
        <v>39</v>
      </c>
      <c r="F30" s="2" t="s">
        <v>40</v>
      </c>
      <c r="G30" s="2" t="s">
        <v>41</v>
      </c>
      <c r="H30" s="2" t="s">
        <v>42</v>
      </c>
      <c r="I30" s="2">
        <f>ROUND(ROUND(4.032/100,2),7)</f>
        <v>0.04</v>
      </c>
      <c r="J30" s="2">
        <v>0</v>
      </c>
      <c r="K30" s="2">
        <f>ROUND(ROUND(4.032/100,2),7)</f>
        <v>0.04</v>
      </c>
      <c r="L30" s="2"/>
      <c r="M30" s="2"/>
      <c r="N30" s="2"/>
      <c r="O30" s="2">
        <f t="shared" si="21"/>
        <v>15.95</v>
      </c>
      <c r="P30" s="2">
        <f t="shared" si="22"/>
        <v>0</v>
      </c>
      <c r="Q30" s="2">
        <f t="shared" si="23"/>
        <v>1.16</v>
      </c>
      <c r="R30" s="2">
        <f t="shared" si="24"/>
        <v>0.5</v>
      </c>
      <c r="S30" s="2">
        <f t="shared" si="25"/>
        <v>14.79</v>
      </c>
      <c r="T30" s="2">
        <f t="shared" si="26"/>
        <v>0</v>
      </c>
      <c r="U30" s="2">
        <f t="shared" si="27"/>
        <v>1.8444</v>
      </c>
      <c r="V30" s="2">
        <f t="shared" si="28"/>
        <v>0.037200000000000004</v>
      </c>
      <c r="W30" s="2">
        <f t="shared" si="29"/>
        <v>0</v>
      </c>
      <c r="X30" s="2">
        <f t="shared" si="30"/>
        <v>12.54</v>
      </c>
      <c r="Y30" s="2">
        <f t="shared" si="31"/>
        <v>9.48</v>
      </c>
      <c r="Z30" s="2"/>
      <c r="AA30" s="2">
        <v>50947576</v>
      </c>
      <c r="AB30" s="2">
        <f t="shared" si="32"/>
        <v>398.87</v>
      </c>
      <c r="AC30" s="2">
        <f t="shared" si="33"/>
        <v>0</v>
      </c>
      <c r="AD30" s="2">
        <f>ROUND((((ET30)-(EU30))+AE30),6)</f>
        <v>29.07</v>
      </c>
      <c r="AE30" s="2">
        <f aca="true" t="shared" si="56" ref="AE30:AF33">ROUND((EU30),6)</f>
        <v>12.56</v>
      </c>
      <c r="AF30" s="2">
        <f t="shared" si="56"/>
        <v>369.8</v>
      </c>
      <c r="AG30" s="2">
        <f t="shared" si="34"/>
        <v>0</v>
      </c>
      <c r="AH30" s="2">
        <f aca="true" t="shared" si="57" ref="AH30:AI33">(EW30)</f>
        <v>46.11</v>
      </c>
      <c r="AI30" s="2">
        <f t="shared" si="57"/>
        <v>0.93</v>
      </c>
      <c r="AJ30" s="2">
        <f t="shared" si="35"/>
        <v>0</v>
      </c>
      <c r="AK30" s="2">
        <v>398.87</v>
      </c>
      <c r="AL30" s="2">
        <v>0</v>
      </c>
      <c r="AM30" s="2">
        <v>29.07</v>
      </c>
      <c r="AN30" s="2">
        <v>12.56</v>
      </c>
      <c r="AO30" s="2">
        <v>369.8</v>
      </c>
      <c r="AP30" s="2">
        <v>0</v>
      </c>
      <c r="AQ30" s="2">
        <v>46.11</v>
      </c>
      <c r="AR30" s="2">
        <v>0.93</v>
      </c>
      <c r="AS30" s="2">
        <v>0</v>
      </c>
      <c r="AT30" s="2">
        <v>82</v>
      </c>
      <c r="AU30" s="2">
        <v>62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43</v>
      </c>
      <c r="BK30" s="2"/>
      <c r="BL30" s="2"/>
      <c r="BM30" s="2">
        <v>56001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82</v>
      </c>
      <c r="CA30" s="2">
        <v>62</v>
      </c>
      <c r="CB30" s="2" t="s">
        <v>3</v>
      </c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6"/>
        <v>15.95</v>
      </c>
      <c r="CQ30" s="2">
        <f t="shared" si="37"/>
        <v>0</v>
      </c>
      <c r="CR30" s="2">
        <f t="shared" si="38"/>
        <v>29.07</v>
      </c>
      <c r="CS30" s="2">
        <f t="shared" si="39"/>
        <v>12.56</v>
      </c>
      <c r="CT30" s="2">
        <f t="shared" si="40"/>
        <v>369.8</v>
      </c>
      <c r="CU30" s="2">
        <f t="shared" si="41"/>
        <v>0</v>
      </c>
      <c r="CV30" s="2">
        <f t="shared" si="42"/>
        <v>46.11</v>
      </c>
      <c r="CW30" s="2">
        <f t="shared" si="43"/>
        <v>0.93</v>
      </c>
      <c r="CX30" s="2">
        <f t="shared" si="44"/>
        <v>0</v>
      </c>
      <c r="CY30" s="2">
        <f t="shared" si="45"/>
        <v>12.537799999999999</v>
      </c>
      <c r="CZ30" s="2">
        <f t="shared" si="46"/>
        <v>9.4798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1005</v>
      </c>
      <c r="DV30" s="2" t="s">
        <v>42</v>
      </c>
      <c r="DW30" s="2" t="s">
        <v>42</v>
      </c>
      <c r="DX30" s="2">
        <v>100</v>
      </c>
      <c r="DY30" s="2"/>
      <c r="DZ30" s="2" t="s">
        <v>3</v>
      </c>
      <c r="EA30" s="2" t="s">
        <v>3</v>
      </c>
      <c r="EB30" s="2" t="s">
        <v>3</v>
      </c>
      <c r="EC30" s="2" t="s">
        <v>3</v>
      </c>
      <c r="ED30" s="2"/>
      <c r="EE30" s="2">
        <v>49315573</v>
      </c>
      <c r="EF30" s="2">
        <v>6</v>
      </c>
      <c r="EG30" s="2" t="s">
        <v>44</v>
      </c>
      <c r="EH30" s="2">
        <v>0</v>
      </c>
      <c r="EI30" s="2" t="s">
        <v>3</v>
      </c>
      <c r="EJ30" s="2">
        <v>1</v>
      </c>
      <c r="EK30" s="2">
        <v>56001</v>
      </c>
      <c r="EL30" s="2" t="s">
        <v>45</v>
      </c>
      <c r="EM30" s="2" t="s">
        <v>46</v>
      </c>
      <c r="EN30" s="2"/>
      <c r="EO30" s="2" t="s">
        <v>3</v>
      </c>
      <c r="EP30" s="2"/>
      <c r="EQ30" s="2">
        <v>0</v>
      </c>
      <c r="ER30" s="2">
        <v>398.87</v>
      </c>
      <c r="ES30" s="2">
        <v>0</v>
      </c>
      <c r="ET30" s="2">
        <v>29.07</v>
      </c>
      <c r="EU30" s="2">
        <v>12.56</v>
      </c>
      <c r="EV30" s="2">
        <v>369.8</v>
      </c>
      <c r="EW30" s="2">
        <v>46.11</v>
      </c>
      <c r="EX30" s="2">
        <v>0.93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7"/>
        <v>0</v>
      </c>
      <c r="FS30" s="2">
        <v>0</v>
      </c>
      <c r="FT30" s="2"/>
      <c r="FU30" s="2"/>
      <c r="FV30" s="2"/>
      <c r="FW30" s="2"/>
      <c r="FX30" s="2">
        <v>82</v>
      </c>
      <c r="FY30" s="2">
        <v>62</v>
      </c>
      <c r="FZ30" s="2"/>
      <c r="GA30" s="2" t="s">
        <v>3</v>
      </c>
      <c r="GB30" s="2"/>
      <c r="GC30" s="2"/>
      <c r="GD30" s="2">
        <v>1</v>
      </c>
      <c r="GE30" s="2"/>
      <c r="GF30" s="2">
        <v>-422316486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8"/>
        <v>0</v>
      </c>
      <c r="GM30" s="2">
        <f t="shared" si="49"/>
        <v>37.97</v>
      </c>
      <c r="GN30" s="2">
        <f t="shared" si="50"/>
        <v>37.97</v>
      </c>
      <c r="GO30" s="2">
        <f t="shared" si="51"/>
        <v>0</v>
      </c>
      <c r="GP30" s="2">
        <f t="shared" si="52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3"/>
        <v>0</v>
      </c>
      <c r="GW30" s="2">
        <v>1</v>
      </c>
      <c r="GX30" s="2">
        <f t="shared" si="54"/>
        <v>0</v>
      </c>
      <c r="GY30" s="2"/>
      <c r="GZ30" s="2"/>
      <c r="HA30" s="2">
        <v>0</v>
      </c>
      <c r="HB30" s="2">
        <v>0</v>
      </c>
      <c r="HC30" s="2">
        <f t="shared" si="55"/>
        <v>0</v>
      </c>
      <c r="HD30" s="2"/>
      <c r="HE30" s="2" t="s">
        <v>3</v>
      </c>
      <c r="HF30" s="2" t="s">
        <v>3</v>
      </c>
      <c r="HG30" s="2"/>
      <c r="HH30" s="2"/>
      <c r="HI30" s="2"/>
      <c r="HJ30" s="2"/>
      <c r="HK30" s="2"/>
      <c r="HL30" s="2"/>
      <c r="HM30" s="2" t="s">
        <v>3</v>
      </c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45" ht="12.75">
      <c r="A31">
        <v>17</v>
      </c>
      <c r="B31">
        <v>1</v>
      </c>
      <c r="C31">
        <f>ROW(SmtRes!A20)</f>
        <v>20</v>
      </c>
      <c r="D31">
        <f>ROW(EtalonRes!A20)</f>
        <v>20</v>
      </c>
      <c r="E31" t="s">
        <v>39</v>
      </c>
      <c r="F31" t="s">
        <v>40</v>
      </c>
      <c r="G31" t="s">
        <v>41</v>
      </c>
      <c r="H31" t="s">
        <v>42</v>
      </c>
      <c r="I31">
        <f>ROUND(ROUND(4.032/100,2),7)</f>
        <v>0.04</v>
      </c>
      <c r="J31">
        <v>0</v>
      </c>
      <c r="K31">
        <f>ROUND(ROUND(4.032/100,2),7)</f>
        <v>0.04</v>
      </c>
      <c r="O31">
        <f t="shared" si="21"/>
        <v>520.73</v>
      </c>
      <c r="P31">
        <f t="shared" si="22"/>
        <v>0</v>
      </c>
      <c r="Q31">
        <f t="shared" si="23"/>
        <v>17.65</v>
      </c>
      <c r="R31">
        <f t="shared" si="24"/>
        <v>17.09</v>
      </c>
      <c r="S31">
        <f t="shared" si="25"/>
        <v>503.08</v>
      </c>
      <c r="T31">
        <f t="shared" si="26"/>
        <v>0</v>
      </c>
      <c r="U31">
        <f t="shared" si="27"/>
        <v>1.8444</v>
      </c>
      <c r="V31">
        <f t="shared" si="28"/>
        <v>0.037200000000000004</v>
      </c>
      <c r="W31">
        <f t="shared" si="29"/>
        <v>0</v>
      </c>
      <c r="X31">
        <f t="shared" si="30"/>
        <v>426.54</v>
      </c>
      <c r="Y31">
        <f t="shared" si="31"/>
        <v>322.51</v>
      </c>
      <c r="AA31">
        <v>50961513</v>
      </c>
      <c r="AB31">
        <f t="shared" si="32"/>
        <v>398.87</v>
      </c>
      <c r="AC31">
        <f t="shared" si="33"/>
        <v>0</v>
      </c>
      <c r="AD31">
        <f>ROUND((((ET31)-(EU31))+AE31),6)</f>
        <v>29.07</v>
      </c>
      <c r="AE31">
        <f t="shared" si="56"/>
        <v>12.56</v>
      </c>
      <c r="AF31">
        <f t="shared" si="56"/>
        <v>369.8</v>
      </c>
      <c r="AG31">
        <f t="shared" si="34"/>
        <v>0</v>
      </c>
      <c r="AH31">
        <f t="shared" si="57"/>
        <v>46.11</v>
      </c>
      <c r="AI31">
        <f t="shared" si="57"/>
        <v>0.93</v>
      </c>
      <c r="AJ31">
        <f t="shared" si="35"/>
        <v>0</v>
      </c>
      <c r="AK31">
        <v>398.87</v>
      </c>
      <c r="AL31">
        <v>0</v>
      </c>
      <c r="AM31">
        <v>29.07</v>
      </c>
      <c r="AN31">
        <v>12.56</v>
      </c>
      <c r="AO31">
        <v>369.8</v>
      </c>
      <c r="AP31">
        <v>0</v>
      </c>
      <c r="AQ31">
        <v>46.11</v>
      </c>
      <c r="AR31">
        <v>0.93</v>
      </c>
      <c r="AS31">
        <v>0</v>
      </c>
      <c r="AT31">
        <v>82</v>
      </c>
      <c r="AU31">
        <v>62</v>
      </c>
      <c r="AV31">
        <v>1</v>
      </c>
      <c r="AW31">
        <v>1</v>
      </c>
      <c r="AZ31">
        <v>1</v>
      </c>
      <c r="BA31">
        <v>34.01</v>
      </c>
      <c r="BB31">
        <v>15.18</v>
      </c>
      <c r="BC31">
        <v>1</v>
      </c>
      <c r="BH31">
        <v>0</v>
      </c>
      <c r="BI31">
        <v>1</v>
      </c>
      <c r="BJ31" t="s">
        <v>43</v>
      </c>
      <c r="BM31">
        <v>56001</v>
      </c>
      <c r="BN31">
        <v>0</v>
      </c>
      <c r="BO31" t="s">
        <v>40</v>
      </c>
      <c r="BP31">
        <v>1</v>
      </c>
      <c r="BQ31">
        <v>6</v>
      </c>
      <c r="BR31">
        <v>0</v>
      </c>
      <c r="BS31">
        <v>34.01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82</v>
      </c>
      <c r="CA31">
        <v>62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6"/>
        <v>520.73</v>
      </c>
      <c r="CQ31">
        <f t="shared" si="37"/>
        <v>0</v>
      </c>
      <c r="CR31">
        <f t="shared" si="38"/>
        <v>441.2826</v>
      </c>
      <c r="CS31">
        <f t="shared" si="39"/>
        <v>427.1656</v>
      </c>
      <c r="CT31">
        <f t="shared" si="40"/>
        <v>12576.898</v>
      </c>
      <c r="CU31">
        <f t="shared" si="41"/>
        <v>0</v>
      </c>
      <c r="CV31">
        <f t="shared" si="42"/>
        <v>46.11</v>
      </c>
      <c r="CW31">
        <f t="shared" si="43"/>
        <v>0.93</v>
      </c>
      <c r="CX31">
        <f t="shared" si="44"/>
        <v>0</v>
      </c>
      <c r="CY31">
        <f t="shared" si="45"/>
        <v>426.53939999999994</v>
      </c>
      <c r="CZ31">
        <f t="shared" si="46"/>
        <v>322.50539999999995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42</v>
      </c>
      <c r="DW31" t="s">
        <v>42</v>
      </c>
      <c r="DX31">
        <v>100</v>
      </c>
      <c r="EE31">
        <v>49315573</v>
      </c>
      <c r="EF31">
        <v>6</v>
      </c>
      <c r="EG31" t="s">
        <v>44</v>
      </c>
      <c r="EH31">
        <v>0</v>
      </c>
      <c r="EJ31">
        <v>1</v>
      </c>
      <c r="EK31">
        <v>56001</v>
      </c>
      <c r="EL31" t="s">
        <v>45</v>
      </c>
      <c r="EM31" t="s">
        <v>46</v>
      </c>
      <c r="EQ31">
        <v>0</v>
      </c>
      <c r="ER31">
        <v>398.87</v>
      </c>
      <c r="ES31">
        <v>0</v>
      </c>
      <c r="ET31">
        <v>29.07</v>
      </c>
      <c r="EU31">
        <v>12.56</v>
      </c>
      <c r="EV31">
        <v>369.8</v>
      </c>
      <c r="EW31">
        <v>46.11</v>
      </c>
      <c r="EX31">
        <v>0.93</v>
      </c>
      <c r="EY31">
        <v>0</v>
      </c>
      <c r="FQ31">
        <v>0</v>
      </c>
      <c r="FR31">
        <f t="shared" si="47"/>
        <v>0</v>
      </c>
      <c r="FS31">
        <v>0</v>
      </c>
      <c r="FX31">
        <v>82</v>
      </c>
      <c r="FY31">
        <v>62</v>
      </c>
      <c r="GD31">
        <v>1</v>
      </c>
      <c r="GF31">
        <v>-422316486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48"/>
        <v>0</v>
      </c>
      <c r="GM31">
        <f t="shared" si="49"/>
        <v>1269.78</v>
      </c>
      <c r="GN31">
        <f t="shared" si="50"/>
        <v>1269.78</v>
      </c>
      <c r="GO31">
        <f t="shared" si="51"/>
        <v>0</v>
      </c>
      <c r="GP31">
        <f t="shared" si="52"/>
        <v>0</v>
      </c>
      <c r="GR31">
        <v>0</v>
      </c>
      <c r="GS31">
        <v>0</v>
      </c>
      <c r="GT31">
        <v>0</v>
      </c>
      <c r="GV31">
        <f t="shared" si="53"/>
        <v>0</v>
      </c>
      <c r="GW31">
        <v>1</v>
      </c>
      <c r="GX31">
        <f t="shared" si="54"/>
        <v>0</v>
      </c>
      <c r="HA31">
        <v>0</v>
      </c>
      <c r="HB31">
        <v>0</v>
      </c>
      <c r="HC31">
        <f t="shared" si="55"/>
        <v>0</v>
      </c>
      <c r="IK31">
        <v>0</v>
      </c>
    </row>
    <row r="32" spans="1:255" ht="12.75">
      <c r="A32" s="2">
        <v>18</v>
      </c>
      <c r="B32" s="2">
        <v>1</v>
      </c>
      <c r="C32" s="2">
        <v>16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I30*J32</f>
        <v>0.1368</v>
      </c>
      <c r="J32" s="2">
        <v>3.42</v>
      </c>
      <c r="K32" s="2">
        <v>3.42</v>
      </c>
      <c r="L32" s="2"/>
      <c r="M32" s="2"/>
      <c r="N32" s="2"/>
      <c r="O32" s="2">
        <f t="shared" si="21"/>
        <v>0</v>
      </c>
      <c r="P32" s="2">
        <f t="shared" si="22"/>
        <v>0</v>
      </c>
      <c r="Q32" s="2">
        <f t="shared" si="23"/>
        <v>0</v>
      </c>
      <c r="R32" s="2">
        <f t="shared" si="24"/>
        <v>0</v>
      </c>
      <c r="S32" s="2">
        <f t="shared" si="25"/>
        <v>0</v>
      </c>
      <c r="T32" s="2">
        <f t="shared" si="26"/>
        <v>0</v>
      </c>
      <c r="U32" s="2">
        <f t="shared" si="27"/>
        <v>0</v>
      </c>
      <c r="V32" s="2">
        <f t="shared" si="28"/>
        <v>0</v>
      </c>
      <c r="W32" s="2">
        <f t="shared" si="29"/>
        <v>0</v>
      </c>
      <c r="X32" s="2">
        <f t="shared" si="30"/>
        <v>0</v>
      </c>
      <c r="Y32" s="2">
        <f t="shared" si="31"/>
        <v>0</v>
      </c>
      <c r="Z32" s="2"/>
      <c r="AA32" s="2">
        <v>50947576</v>
      </c>
      <c r="AB32" s="2">
        <f t="shared" si="32"/>
        <v>0</v>
      </c>
      <c r="AC32" s="2">
        <f t="shared" si="33"/>
        <v>0</v>
      </c>
      <c r="AD32" s="2">
        <f>ROUND((((ET32)-(EU32))+AE32),6)</f>
        <v>0</v>
      </c>
      <c r="AE32" s="2">
        <f t="shared" si="56"/>
        <v>0</v>
      </c>
      <c r="AF32" s="2">
        <f t="shared" si="56"/>
        <v>0</v>
      </c>
      <c r="AG32" s="2">
        <f t="shared" si="34"/>
        <v>0</v>
      </c>
      <c r="AH32" s="2">
        <f t="shared" si="57"/>
        <v>0</v>
      </c>
      <c r="AI32" s="2">
        <f t="shared" si="57"/>
        <v>0</v>
      </c>
      <c r="AJ32" s="2">
        <f t="shared" si="35"/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82</v>
      </c>
      <c r="AU32" s="2">
        <v>62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56001</v>
      </c>
      <c r="BN32" s="2">
        <v>0</v>
      </c>
      <c r="BO32" s="2" t="s">
        <v>3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82</v>
      </c>
      <c r="CA32" s="2">
        <v>62</v>
      </c>
      <c r="CB32" s="2" t="s">
        <v>3</v>
      </c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6"/>
        <v>0</v>
      </c>
      <c r="CQ32" s="2">
        <f t="shared" si="37"/>
        <v>0</v>
      </c>
      <c r="CR32" s="2">
        <f t="shared" si="38"/>
        <v>0</v>
      </c>
      <c r="CS32" s="2">
        <f t="shared" si="39"/>
        <v>0</v>
      </c>
      <c r="CT32" s="2">
        <f t="shared" si="40"/>
        <v>0</v>
      </c>
      <c r="CU32" s="2">
        <f t="shared" si="41"/>
        <v>0</v>
      </c>
      <c r="CV32" s="2">
        <f t="shared" si="42"/>
        <v>0</v>
      </c>
      <c r="CW32" s="2">
        <f t="shared" si="43"/>
        <v>0</v>
      </c>
      <c r="CX32" s="2">
        <f t="shared" si="44"/>
        <v>0</v>
      </c>
      <c r="CY32" s="2">
        <f t="shared" si="45"/>
        <v>0</v>
      </c>
      <c r="CZ32" s="2">
        <f t="shared" si="46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50</v>
      </c>
      <c r="DW32" s="2" t="s">
        <v>50</v>
      </c>
      <c r="DX32" s="2">
        <v>1000</v>
      </c>
      <c r="DY32" s="2"/>
      <c r="DZ32" s="2" t="s">
        <v>3</v>
      </c>
      <c r="EA32" s="2" t="s">
        <v>3</v>
      </c>
      <c r="EB32" s="2" t="s">
        <v>3</v>
      </c>
      <c r="EC32" s="2" t="s">
        <v>3</v>
      </c>
      <c r="ED32" s="2"/>
      <c r="EE32" s="2">
        <v>49315573</v>
      </c>
      <c r="EF32" s="2">
        <v>6</v>
      </c>
      <c r="EG32" s="2" t="s">
        <v>44</v>
      </c>
      <c r="EH32" s="2">
        <v>0</v>
      </c>
      <c r="EI32" s="2" t="s">
        <v>3</v>
      </c>
      <c r="EJ32" s="2">
        <v>1</v>
      </c>
      <c r="EK32" s="2">
        <v>56001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7"/>
        <v>0</v>
      </c>
      <c r="FS32" s="2">
        <v>0</v>
      </c>
      <c r="FT32" s="2"/>
      <c r="FU32" s="2"/>
      <c r="FV32" s="2"/>
      <c r="FW32" s="2"/>
      <c r="FX32" s="2">
        <v>82</v>
      </c>
      <c r="FY32" s="2">
        <v>62</v>
      </c>
      <c r="FZ32" s="2"/>
      <c r="GA32" s="2" t="s">
        <v>3</v>
      </c>
      <c r="GB32" s="2"/>
      <c r="GC32" s="2"/>
      <c r="GD32" s="2">
        <v>1</v>
      </c>
      <c r="GE32" s="2"/>
      <c r="GF32" s="2">
        <v>2102561428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8"/>
        <v>0</v>
      </c>
      <c r="GM32" s="2">
        <f t="shared" si="49"/>
        <v>0</v>
      </c>
      <c r="GN32" s="2">
        <f t="shared" si="50"/>
        <v>0</v>
      </c>
      <c r="GO32" s="2">
        <f t="shared" si="51"/>
        <v>0</v>
      </c>
      <c r="GP32" s="2">
        <f t="shared" si="52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3"/>
        <v>0</v>
      </c>
      <c r="GW32" s="2">
        <v>1</v>
      </c>
      <c r="GX32" s="2">
        <f t="shared" si="54"/>
        <v>0</v>
      </c>
      <c r="GY32" s="2"/>
      <c r="GZ32" s="2"/>
      <c r="HA32" s="2">
        <v>0</v>
      </c>
      <c r="HB32" s="2">
        <v>0</v>
      </c>
      <c r="HC32" s="2">
        <f t="shared" si="55"/>
        <v>0</v>
      </c>
      <c r="HD32" s="2"/>
      <c r="HE32" s="2" t="s">
        <v>3</v>
      </c>
      <c r="HF32" s="2" t="s">
        <v>3</v>
      </c>
      <c r="HG32" s="2"/>
      <c r="HH32" s="2"/>
      <c r="HI32" s="2"/>
      <c r="HJ32" s="2"/>
      <c r="HK32" s="2"/>
      <c r="HL32" s="2"/>
      <c r="HM32" s="2" t="s">
        <v>3</v>
      </c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ht="12.75">
      <c r="A33">
        <v>18</v>
      </c>
      <c r="B33">
        <v>1</v>
      </c>
      <c r="C33">
        <v>20</v>
      </c>
      <c r="E33" t="s">
        <v>47</v>
      </c>
      <c r="F33" t="s">
        <v>48</v>
      </c>
      <c r="G33" t="s">
        <v>49</v>
      </c>
      <c r="H33" t="s">
        <v>50</v>
      </c>
      <c r="I33">
        <f>I31*J33</f>
        <v>0.1368</v>
      </c>
      <c r="J33">
        <v>3.42</v>
      </c>
      <c r="K33">
        <v>3.42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50961513</v>
      </c>
      <c r="AB33">
        <f t="shared" si="32"/>
        <v>0</v>
      </c>
      <c r="AC33">
        <f t="shared" si="33"/>
        <v>0</v>
      </c>
      <c r="AD33">
        <f>ROUND((((ET33)-(EU33))+AE33),6)</f>
        <v>0</v>
      </c>
      <c r="AE33">
        <f t="shared" si="56"/>
        <v>0</v>
      </c>
      <c r="AF33">
        <f t="shared" si="56"/>
        <v>0</v>
      </c>
      <c r="AG33">
        <f t="shared" si="34"/>
        <v>0</v>
      </c>
      <c r="AH33">
        <f t="shared" si="57"/>
        <v>0</v>
      </c>
      <c r="AI33">
        <f t="shared" si="57"/>
        <v>0</v>
      </c>
      <c r="AJ33">
        <f t="shared" si="35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82</v>
      </c>
      <c r="AU33">
        <v>62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1</v>
      </c>
      <c r="BM33">
        <v>56001</v>
      </c>
      <c r="BN33">
        <v>0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82</v>
      </c>
      <c r="CA33">
        <v>62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36"/>
        <v>0</v>
      </c>
      <c r="CQ33">
        <f t="shared" si="37"/>
        <v>0</v>
      </c>
      <c r="CR33">
        <f t="shared" si="38"/>
        <v>0</v>
      </c>
      <c r="CS33">
        <f t="shared" si="39"/>
        <v>0</v>
      </c>
      <c r="CT33">
        <f t="shared" si="40"/>
        <v>0</v>
      </c>
      <c r="CU33">
        <f t="shared" si="41"/>
        <v>0</v>
      </c>
      <c r="CV33">
        <f t="shared" si="42"/>
        <v>0</v>
      </c>
      <c r="CW33">
        <f t="shared" si="43"/>
        <v>0</v>
      </c>
      <c r="CX33">
        <f t="shared" si="44"/>
        <v>0</v>
      </c>
      <c r="CY33">
        <f t="shared" si="45"/>
        <v>0</v>
      </c>
      <c r="CZ33">
        <f t="shared" si="46"/>
        <v>0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50</v>
      </c>
      <c r="DW33" t="s">
        <v>50</v>
      </c>
      <c r="DX33">
        <v>1000</v>
      </c>
      <c r="EE33">
        <v>49315573</v>
      </c>
      <c r="EF33">
        <v>6</v>
      </c>
      <c r="EG33" t="s">
        <v>44</v>
      </c>
      <c r="EH33">
        <v>0</v>
      </c>
      <c r="EJ33">
        <v>1</v>
      </c>
      <c r="EK33">
        <v>56001</v>
      </c>
      <c r="EL33" t="s">
        <v>45</v>
      </c>
      <c r="EM33" t="s">
        <v>46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7"/>
        <v>0</v>
      </c>
      <c r="FS33">
        <v>0</v>
      </c>
      <c r="FX33">
        <v>82</v>
      </c>
      <c r="FY33">
        <v>62</v>
      </c>
      <c r="GD33">
        <v>1</v>
      </c>
      <c r="GF33">
        <v>2102561428</v>
      </c>
      <c r="GG33">
        <v>2</v>
      </c>
      <c r="GH33">
        <v>1</v>
      </c>
      <c r="GI33">
        <v>-2</v>
      </c>
      <c r="GJ33">
        <v>0</v>
      </c>
      <c r="GK33">
        <v>0</v>
      </c>
      <c r="GL33">
        <f t="shared" si="48"/>
        <v>0</v>
      </c>
      <c r="GM33">
        <f t="shared" si="49"/>
        <v>0</v>
      </c>
      <c r="GN33">
        <f t="shared" si="50"/>
        <v>0</v>
      </c>
      <c r="GO33">
        <f t="shared" si="51"/>
        <v>0</v>
      </c>
      <c r="GP33">
        <f t="shared" si="52"/>
        <v>0</v>
      </c>
      <c r="GR33">
        <v>0</v>
      </c>
      <c r="GS33">
        <v>0</v>
      </c>
      <c r="GT33">
        <v>0</v>
      </c>
      <c r="GV33">
        <f t="shared" si="53"/>
        <v>0</v>
      </c>
      <c r="GW33">
        <v>1</v>
      </c>
      <c r="GX33">
        <f t="shared" si="54"/>
        <v>0</v>
      </c>
      <c r="HA33">
        <v>0</v>
      </c>
      <c r="HB33">
        <v>0</v>
      </c>
      <c r="HC33">
        <f t="shared" si="55"/>
        <v>0</v>
      </c>
      <c r="IK33">
        <v>0</v>
      </c>
    </row>
    <row r="34" spans="1:255" ht="12.75">
      <c r="A34" s="2">
        <v>17</v>
      </c>
      <c r="B34" s="2">
        <v>1</v>
      </c>
      <c r="C34" s="2">
        <f>ROW(SmtRes!A32)</f>
        <v>32</v>
      </c>
      <c r="D34" s="2">
        <f>ROW(EtalonRes!A33)</f>
        <v>33</v>
      </c>
      <c r="E34" s="2" t="s">
        <v>51</v>
      </c>
      <c r="F34" s="2" t="s">
        <v>52</v>
      </c>
      <c r="G34" s="2" t="s">
        <v>53</v>
      </c>
      <c r="H34" s="2" t="s">
        <v>42</v>
      </c>
      <c r="I34" s="2">
        <f>ROUND(ROUND(40.772/100,2),7)</f>
        <v>0.41</v>
      </c>
      <c r="J34" s="2">
        <v>0</v>
      </c>
      <c r="K34" s="2">
        <f>ROUND(ROUND(40.772/100,2),7)</f>
        <v>0.41</v>
      </c>
      <c r="L34" s="2"/>
      <c r="M34" s="2"/>
      <c r="N34" s="2"/>
      <c r="O34" s="2">
        <f t="shared" si="21"/>
        <v>1821.39</v>
      </c>
      <c r="P34" s="2">
        <f t="shared" si="22"/>
        <v>113.11</v>
      </c>
      <c r="Q34" s="2">
        <f t="shared" si="23"/>
        <v>294.78</v>
      </c>
      <c r="R34" s="2">
        <f t="shared" si="24"/>
        <v>16.89</v>
      </c>
      <c r="S34" s="2">
        <f t="shared" si="25"/>
        <v>1413.5</v>
      </c>
      <c r="T34" s="2">
        <f t="shared" si="26"/>
        <v>0</v>
      </c>
      <c r="U34" s="2">
        <f t="shared" si="27"/>
        <v>140.50699999999998</v>
      </c>
      <c r="V34" s="2">
        <f t="shared" si="28"/>
        <v>1.271</v>
      </c>
      <c r="W34" s="2">
        <f t="shared" si="29"/>
        <v>0</v>
      </c>
      <c r="X34" s="2">
        <f t="shared" si="30"/>
        <v>1158.62</v>
      </c>
      <c r="Y34" s="2">
        <f t="shared" si="31"/>
        <v>1029.88</v>
      </c>
      <c r="Z34" s="2"/>
      <c r="AA34" s="2">
        <v>50947576</v>
      </c>
      <c r="AB34" s="2">
        <f t="shared" si="32"/>
        <v>4442.4295</v>
      </c>
      <c r="AC34" s="2">
        <f t="shared" si="33"/>
        <v>275.88</v>
      </c>
      <c r="AD34" s="2">
        <f>ROUND(((((ET34*ROUND(1.25,7)))-((EU34*ROUND(1.25,7))))+AE34),6)</f>
        <v>718.9875</v>
      </c>
      <c r="AE34" s="2">
        <f>ROUND(((EU34*ROUND(1.25,7))),6)</f>
        <v>41.1875</v>
      </c>
      <c r="AF34" s="2">
        <f>ROUND(((EV34*ROUND(1.15,7))),6)</f>
        <v>3447.562</v>
      </c>
      <c r="AG34" s="2">
        <f t="shared" si="34"/>
        <v>0</v>
      </c>
      <c r="AH34" s="2">
        <f>((EW34*ROUND(1.15,7)))</f>
        <v>342.7</v>
      </c>
      <c r="AI34" s="2">
        <f>((EX34*ROUND(1.25,7)))</f>
        <v>3.1</v>
      </c>
      <c r="AJ34" s="2">
        <f t="shared" si="35"/>
        <v>0</v>
      </c>
      <c r="AK34" s="2">
        <v>3848.95</v>
      </c>
      <c r="AL34" s="2">
        <v>275.88</v>
      </c>
      <c r="AM34" s="2">
        <v>575.19</v>
      </c>
      <c r="AN34" s="2">
        <v>32.95</v>
      </c>
      <c r="AO34" s="2">
        <v>2997.88</v>
      </c>
      <c r="AP34" s="2">
        <v>0</v>
      </c>
      <c r="AQ34" s="2">
        <v>298</v>
      </c>
      <c r="AR34" s="2">
        <v>2.48</v>
      </c>
      <c r="AS34" s="2">
        <v>0</v>
      </c>
      <c r="AT34" s="2">
        <v>81</v>
      </c>
      <c r="AU34" s="2">
        <v>72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54</v>
      </c>
      <c r="BK34" s="2"/>
      <c r="BL34" s="2"/>
      <c r="BM34" s="2">
        <v>9001</v>
      </c>
      <c r="BN34" s="2">
        <v>0</v>
      </c>
      <c r="BO34" s="2" t="s">
        <v>3</v>
      </c>
      <c r="BP34" s="2">
        <v>0</v>
      </c>
      <c r="BQ34" s="2">
        <v>23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90</v>
      </c>
      <c r="CA34" s="2">
        <v>85</v>
      </c>
      <c r="CB34" s="2" t="s">
        <v>3</v>
      </c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390</v>
      </c>
      <c r="CO34" s="2">
        <v>0</v>
      </c>
      <c r="CP34" s="2">
        <f t="shared" si="36"/>
        <v>1821.3899999999999</v>
      </c>
      <c r="CQ34" s="2">
        <f t="shared" si="37"/>
        <v>275.88</v>
      </c>
      <c r="CR34" s="2">
        <f t="shared" si="38"/>
        <v>718.9875</v>
      </c>
      <c r="CS34" s="2">
        <f t="shared" si="39"/>
        <v>41.1875</v>
      </c>
      <c r="CT34" s="2">
        <f t="shared" si="40"/>
        <v>3447.562</v>
      </c>
      <c r="CU34" s="2">
        <f t="shared" si="41"/>
        <v>0</v>
      </c>
      <c r="CV34" s="2">
        <f t="shared" si="42"/>
        <v>342.7</v>
      </c>
      <c r="CW34" s="2">
        <f t="shared" si="43"/>
        <v>3.1</v>
      </c>
      <c r="CX34" s="2">
        <f t="shared" si="44"/>
        <v>0</v>
      </c>
      <c r="CY34" s="2">
        <f t="shared" si="45"/>
        <v>1158.6159</v>
      </c>
      <c r="CZ34" s="2">
        <f t="shared" si="46"/>
        <v>1029.8808</v>
      </c>
      <c r="DA34" s="2"/>
      <c r="DB34" s="2"/>
      <c r="DC34" s="2" t="s">
        <v>3</v>
      </c>
      <c r="DD34" s="2" t="s">
        <v>3</v>
      </c>
      <c r="DE34" s="2" t="s">
        <v>31</v>
      </c>
      <c r="DF34" s="2" t="s">
        <v>31</v>
      </c>
      <c r="DG34" s="2" t="s">
        <v>32</v>
      </c>
      <c r="DH34" s="2" t="s">
        <v>3</v>
      </c>
      <c r="DI34" s="2" t="s">
        <v>32</v>
      </c>
      <c r="DJ34" s="2" t="s">
        <v>31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42</v>
      </c>
      <c r="DW34" s="2" t="s">
        <v>42</v>
      </c>
      <c r="DX34" s="2">
        <v>100</v>
      </c>
      <c r="DY34" s="2"/>
      <c r="DZ34" s="2" t="s">
        <v>3</v>
      </c>
      <c r="EA34" s="2" t="s">
        <v>3</v>
      </c>
      <c r="EB34" s="2" t="s">
        <v>3</v>
      </c>
      <c r="EC34" s="2" t="s">
        <v>3</v>
      </c>
      <c r="ED34" s="2"/>
      <c r="EE34" s="2">
        <v>49315466</v>
      </c>
      <c r="EF34" s="2">
        <v>23</v>
      </c>
      <c r="EG34" s="2" t="s">
        <v>55</v>
      </c>
      <c r="EH34" s="2">
        <v>0</v>
      </c>
      <c r="EI34" s="2" t="s">
        <v>3</v>
      </c>
      <c r="EJ34" s="2">
        <v>1</v>
      </c>
      <c r="EK34" s="2">
        <v>9001</v>
      </c>
      <c r="EL34" s="2" t="s">
        <v>56</v>
      </c>
      <c r="EM34" s="2" t="s">
        <v>57</v>
      </c>
      <c r="EN34" s="2"/>
      <c r="EO34" s="2" t="s">
        <v>36</v>
      </c>
      <c r="EP34" s="2"/>
      <c r="EQ34" s="2">
        <v>0</v>
      </c>
      <c r="ER34" s="2">
        <v>3848.95</v>
      </c>
      <c r="ES34" s="2">
        <v>275.88</v>
      </c>
      <c r="ET34" s="2">
        <v>575.19</v>
      </c>
      <c r="EU34" s="2">
        <v>32.95</v>
      </c>
      <c r="EV34" s="2">
        <v>2997.88</v>
      </c>
      <c r="EW34" s="2">
        <v>298</v>
      </c>
      <c r="EX34" s="2">
        <v>2.48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7"/>
        <v>0</v>
      </c>
      <c r="FS34" s="2">
        <v>0</v>
      </c>
      <c r="FT34" s="2" t="s">
        <v>37</v>
      </c>
      <c r="FU34" s="2" t="s">
        <v>38</v>
      </c>
      <c r="FV34" s="2"/>
      <c r="FW34" s="2"/>
      <c r="FX34" s="2">
        <v>81</v>
      </c>
      <c r="FY34" s="2">
        <v>72.25</v>
      </c>
      <c r="FZ34" s="2"/>
      <c r="GA34" s="2" t="s">
        <v>3</v>
      </c>
      <c r="GB34" s="2"/>
      <c r="GC34" s="2"/>
      <c r="GD34" s="2">
        <v>1</v>
      </c>
      <c r="GE34" s="2"/>
      <c r="GF34" s="2">
        <v>2062258268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8"/>
        <v>0</v>
      </c>
      <c r="GM34" s="2">
        <f t="shared" si="49"/>
        <v>4009.89</v>
      </c>
      <c r="GN34" s="2">
        <f t="shared" si="50"/>
        <v>4009.89</v>
      </c>
      <c r="GO34" s="2">
        <f t="shared" si="51"/>
        <v>0</v>
      </c>
      <c r="GP34" s="2">
        <f t="shared" si="52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3"/>
        <v>0</v>
      </c>
      <c r="GW34" s="2">
        <v>1</v>
      </c>
      <c r="GX34" s="2">
        <f t="shared" si="54"/>
        <v>0</v>
      </c>
      <c r="GY34" s="2"/>
      <c r="GZ34" s="2"/>
      <c r="HA34" s="2">
        <v>0</v>
      </c>
      <c r="HB34" s="2">
        <v>0</v>
      </c>
      <c r="HC34" s="2">
        <f t="shared" si="55"/>
        <v>0</v>
      </c>
      <c r="HD34" s="2"/>
      <c r="HE34" s="2" t="s">
        <v>3</v>
      </c>
      <c r="HF34" s="2" t="s">
        <v>3</v>
      </c>
      <c r="HG34" s="2"/>
      <c r="HH34" s="2"/>
      <c r="HI34" s="2"/>
      <c r="HJ34" s="2"/>
      <c r="HK34" s="2"/>
      <c r="HL34" s="2"/>
      <c r="HM34" s="2" t="s">
        <v>3</v>
      </c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45" ht="12.75">
      <c r="A35">
        <v>17</v>
      </c>
      <c r="B35">
        <v>1</v>
      </c>
      <c r="C35">
        <f>ROW(SmtRes!A44)</f>
        <v>44</v>
      </c>
      <c r="D35">
        <f>ROW(EtalonRes!A46)</f>
        <v>46</v>
      </c>
      <c r="E35" t="s">
        <v>51</v>
      </c>
      <c r="F35" t="s">
        <v>52</v>
      </c>
      <c r="G35" t="s">
        <v>53</v>
      </c>
      <c r="H35" t="s">
        <v>42</v>
      </c>
      <c r="I35">
        <f>ROUND(ROUND(40.772/100,2),7)</f>
        <v>0.41</v>
      </c>
      <c r="J35">
        <v>0</v>
      </c>
      <c r="K35">
        <f>ROUND(ROUND(40.772/100,2),7)</f>
        <v>0.41</v>
      </c>
      <c r="O35">
        <f t="shared" si="21"/>
        <v>50974.83</v>
      </c>
      <c r="P35">
        <f t="shared" si="22"/>
        <v>823.45</v>
      </c>
      <c r="Q35">
        <f t="shared" si="23"/>
        <v>2078.23</v>
      </c>
      <c r="R35">
        <f t="shared" si="24"/>
        <v>574.32</v>
      </c>
      <c r="S35">
        <f t="shared" si="25"/>
        <v>48073.15</v>
      </c>
      <c r="T35">
        <f t="shared" si="26"/>
        <v>0</v>
      </c>
      <c r="U35">
        <f t="shared" si="27"/>
        <v>140.50699999999998</v>
      </c>
      <c r="V35">
        <f t="shared" si="28"/>
        <v>1.271</v>
      </c>
      <c r="W35">
        <f t="shared" si="29"/>
        <v>0</v>
      </c>
      <c r="X35">
        <f t="shared" si="30"/>
        <v>39404.45</v>
      </c>
      <c r="Y35">
        <f t="shared" si="31"/>
        <v>35026.18</v>
      </c>
      <c r="AA35">
        <v>50961513</v>
      </c>
      <c r="AB35">
        <f t="shared" si="32"/>
        <v>4442.4295</v>
      </c>
      <c r="AC35">
        <f t="shared" si="33"/>
        <v>275.88</v>
      </c>
      <c r="AD35">
        <f>ROUND(((((ET35*ROUND(1.25,7)))-((EU35*ROUND(1.25,7))))+AE35),6)</f>
        <v>718.9875</v>
      </c>
      <c r="AE35">
        <f>ROUND(((EU35*ROUND(1.25,7))),6)</f>
        <v>41.1875</v>
      </c>
      <c r="AF35">
        <f>ROUND(((EV35*ROUND(1.15,7))),6)</f>
        <v>3447.562</v>
      </c>
      <c r="AG35">
        <f t="shared" si="34"/>
        <v>0</v>
      </c>
      <c r="AH35">
        <f>((EW35*ROUND(1.15,7)))</f>
        <v>342.7</v>
      </c>
      <c r="AI35">
        <f>((EX35*ROUND(1.25,7)))</f>
        <v>3.1</v>
      </c>
      <c r="AJ35">
        <f t="shared" si="35"/>
        <v>0</v>
      </c>
      <c r="AK35">
        <v>3848.95</v>
      </c>
      <c r="AL35">
        <v>275.88</v>
      </c>
      <c r="AM35">
        <v>575.19</v>
      </c>
      <c r="AN35">
        <v>32.95</v>
      </c>
      <c r="AO35">
        <v>2997.88</v>
      </c>
      <c r="AP35">
        <v>0</v>
      </c>
      <c r="AQ35">
        <v>298</v>
      </c>
      <c r="AR35">
        <v>2.48</v>
      </c>
      <c r="AS35">
        <v>0</v>
      </c>
      <c r="AT35">
        <v>81</v>
      </c>
      <c r="AU35">
        <v>72</v>
      </c>
      <c r="AV35">
        <v>1</v>
      </c>
      <c r="AW35">
        <v>1</v>
      </c>
      <c r="AZ35">
        <v>1</v>
      </c>
      <c r="BA35">
        <v>34.01</v>
      </c>
      <c r="BB35">
        <v>7.05</v>
      </c>
      <c r="BC35">
        <v>7.28</v>
      </c>
      <c r="BH35">
        <v>0</v>
      </c>
      <c r="BI35">
        <v>1</v>
      </c>
      <c r="BJ35" t="s">
        <v>54</v>
      </c>
      <c r="BM35">
        <v>9001</v>
      </c>
      <c r="BN35">
        <v>0</v>
      </c>
      <c r="BO35" t="s">
        <v>52</v>
      </c>
      <c r="BP35">
        <v>1</v>
      </c>
      <c r="BQ35">
        <v>23</v>
      </c>
      <c r="BR35">
        <v>0</v>
      </c>
      <c r="BS35">
        <v>34.01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90</v>
      </c>
      <c r="CA35">
        <v>85</v>
      </c>
      <c r="CE35">
        <v>0</v>
      </c>
      <c r="CF35">
        <v>0</v>
      </c>
      <c r="CG35">
        <v>0</v>
      </c>
      <c r="CM35">
        <v>0</v>
      </c>
      <c r="CN35" t="s">
        <v>390</v>
      </c>
      <c r="CO35">
        <v>0</v>
      </c>
      <c r="CP35">
        <f t="shared" si="36"/>
        <v>50974.83</v>
      </c>
      <c r="CQ35">
        <f t="shared" si="37"/>
        <v>2008.4064</v>
      </c>
      <c r="CR35">
        <f t="shared" si="38"/>
        <v>5068.861875</v>
      </c>
      <c r="CS35">
        <f t="shared" si="39"/>
        <v>1400.786875</v>
      </c>
      <c r="CT35">
        <f t="shared" si="40"/>
        <v>117251.58361999999</v>
      </c>
      <c r="CU35">
        <f t="shared" si="41"/>
        <v>0</v>
      </c>
      <c r="CV35">
        <f t="shared" si="42"/>
        <v>342.7</v>
      </c>
      <c r="CW35">
        <f t="shared" si="43"/>
        <v>3.1</v>
      </c>
      <c r="CX35">
        <f t="shared" si="44"/>
        <v>0</v>
      </c>
      <c r="CY35">
        <f t="shared" si="45"/>
        <v>39404.4507</v>
      </c>
      <c r="CZ35">
        <f t="shared" si="46"/>
        <v>35026.1784</v>
      </c>
      <c r="DE35" t="s">
        <v>31</v>
      </c>
      <c r="DF35" t="s">
        <v>31</v>
      </c>
      <c r="DG35" t="s">
        <v>32</v>
      </c>
      <c r="DI35" t="s">
        <v>32</v>
      </c>
      <c r="DJ35" t="s">
        <v>31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42</v>
      </c>
      <c r="DW35" t="s">
        <v>42</v>
      </c>
      <c r="DX35">
        <v>100</v>
      </c>
      <c r="EE35">
        <v>49315466</v>
      </c>
      <c r="EF35">
        <v>23</v>
      </c>
      <c r="EG35" t="s">
        <v>55</v>
      </c>
      <c r="EH35">
        <v>0</v>
      </c>
      <c r="EJ35">
        <v>1</v>
      </c>
      <c r="EK35">
        <v>9001</v>
      </c>
      <c r="EL35" t="s">
        <v>56</v>
      </c>
      <c r="EM35" t="s">
        <v>57</v>
      </c>
      <c r="EO35" t="s">
        <v>36</v>
      </c>
      <c r="EQ35">
        <v>0</v>
      </c>
      <c r="ER35">
        <v>3848.95</v>
      </c>
      <c r="ES35">
        <v>275.88</v>
      </c>
      <c r="ET35">
        <v>575.19</v>
      </c>
      <c r="EU35">
        <v>32.95</v>
      </c>
      <c r="EV35">
        <v>2997.88</v>
      </c>
      <c r="EW35">
        <v>298</v>
      </c>
      <c r="EX35">
        <v>2.48</v>
      </c>
      <c r="EY35">
        <v>0</v>
      </c>
      <c r="FQ35">
        <v>0</v>
      </c>
      <c r="FR35">
        <f t="shared" si="47"/>
        <v>0</v>
      </c>
      <c r="FS35">
        <v>0</v>
      </c>
      <c r="FT35" t="s">
        <v>37</v>
      </c>
      <c r="FU35" t="s">
        <v>38</v>
      </c>
      <c r="FX35">
        <v>81</v>
      </c>
      <c r="FY35">
        <v>72.25</v>
      </c>
      <c r="GD35">
        <v>1</v>
      </c>
      <c r="GF35">
        <v>2062258268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48"/>
        <v>0</v>
      </c>
      <c r="GM35">
        <f t="shared" si="49"/>
        <v>125405.46</v>
      </c>
      <c r="GN35">
        <f t="shared" si="50"/>
        <v>125405.46</v>
      </c>
      <c r="GO35">
        <f t="shared" si="51"/>
        <v>0</v>
      </c>
      <c r="GP35">
        <f t="shared" si="52"/>
        <v>0</v>
      </c>
      <c r="GR35">
        <v>0</v>
      </c>
      <c r="GS35">
        <v>3</v>
      </c>
      <c r="GT35">
        <v>0</v>
      </c>
      <c r="GV35">
        <f t="shared" si="53"/>
        <v>0</v>
      </c>
      <c r="GW35">
        <v>1</v>
      </c>
      <c r="GX35">
        <f t="shared" si="54"/>
        <v>0</v>
      </c>
      <c r="HA35">
        <v>0</v>
      </c>
      <c r="HB35">
        <v>0</v>
      </c>
      <c r="HC35">
        <f t="shared" si="55"/>
        <v>0</v>
      </c>
      <c r="IK35">
        <v>0</v>
      </c>
    </row>
    <row r="36" spans="1:255" ht="12.75">
      <c r="A36" s="2">
        <v>18</v>
      </c>
      <c r="B36" s="2">
        <v>1</v>
      </c>
      <c r="C36" s="2">
        <v>30</v>
      </c>
      <c r="D36" s="2"/>
      <c r="E36" s="2" t="s">
        <v>58</v>
      </c>
      <c r="F36" s="2" t="s">
        <v>59</v>
      </c>
      <c r="G36" s="2" t="s">
        <v>60</v>
      </c>
      <c r="H36" s="2" t="s">
        <v>61</v>
      </c>
      <c r="I36" s="2">
        <f>I34*J36</f>
        <v>0.9999999999999999</v>
      </c>
      <c r="J36" s="2">
        <v>2.4390243902439024</v>
      </c>
      <c r="K36" s="2">
        <v>2.439024</v>
      </c>
      <c r="L36" s="2"/>
      <c r="M36" s="2"/>
      <c r="N36" s="2"/>
      <c r="O36" s="2">
        <f t="shared" si="21"/>
        <v>108936.28</v>
      </c>
      <c r="P36" s="2">
        <f t="shared" si="22"/>
        <v>108936.28</v>
      </c>
      <c r="Q36" s="2">
        <f t="shared" si="23"/>
        <v>0</v>
      </c>
      <c r="R36" s="2">
        <f t="shared" si="24"/>
        <v>0</v>
      </c>
      <c r="S36" s="2">
        <f t="shared" si="25"/>
        <v>0</v>
      </c>
      <c r="T36" s="2">
        <f t="shared" si="26"/>
        <v>0</v>
      </c>
      <c r="U36" s="2">
        <f t="shared" si="27"/>
        <v>0</v>
      </c>
      <c r="V36" s="2">
        <f t="shared" si="28"/>
        <v>0</v>
      </c>
      <c r="W36" s="2">
        <f t="shared" si="29"/>
        <v>0</v>
      </c>
      <c r="X36" s="2">
        <f t="shared" si="30"/>
        <v>0</v>
      </c>
      <c r="Y36" s="2">
        <f t="shared" si="31"/>
        <v>0</v>
      </c>
      <c r="Z36" s="2"/>
      <c r="AA36" s="2">
        <v>50947576</v>
      </c>
      <c r="AB36" s="2">
        <f t="shared" si="32"/>
        <v>108936.28</v>
      </c>
      <c r="AC36" s="2">
        <f t="shared" si="33"/>
        <v>108936.28</v>
      </c>
      <c r="AD36" s="2">
        <f aca="true" t="shared" si="58" ref="AD36:AD49">ROUND((((ET36)-(EU36))+AE36),6)</f>
        <v>0</v>
      </c>
      <c r="AE36" s="2">
        <f aca="true" t="shared" si="59" ref="AE36:AE49">ROUND((EU36),6)</f>
        <v>0</v>
      </c>
      <c r="AF36" s="2">
        <f aca="true" t="shared" si="60" ref="AF36:AF49">ROUND((EV36),6)</f>
        <v>0</v>
      </c>
      <c r="AG36" s="2">
        <f t="shared" si="34"/>
        <v>0</v>
      </c>
      <c r="AH36" s="2">
        <f aca="true" t="shared" si="61" ref="AH36:AH49">(EW36)</f>
        <v>0</v>
      </c>
      <c r="AI36" s="2">
        <f aca="true" t="shared" si="62" ref="AI36:AI49">(EX36)</f>
        <v>0</v>
      </c>
      <c r="AJ36" s="2">
        <f t="shared" si="35"/>
        <v>0</v>
      </c>
      <c r="AK36" s="2">
        <v>108936.28</v>
      </c>
      <c r="AL36" s="2">
        <v>108936.28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81</v>
      </c>
      <c r="AU36" s="2">
        <v>72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9001</v>
      </c>
      <c r="BN36" s="2">
        <v>0</v>
      </c>
      <c r="BO36" s="2" t="s">
        <v>3</v>
      </c>
      <c r="BP36" s="2">
        <v>0</v>
      </c>
      <c r="BQ36" s="2">
        <v>23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90</v>
      </c>
      <c r="CA36" s="2">
        <v>85</v>
      </c>
      <c r="CB36" s="2" t="s">
        <v>3</v>
      </c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6"/>
        <v>108936.28</v>
      </c>
      <c r="CQ36" s="2">
        <f t="shared" si="37"/>
        <v>108936.28</v>
      </c>
      <c r="CR36" s="2">
        <f t="shared" si="38"/>
        <v>0</v>
      </c>
      <c r="CS36" s="2">
        <f t="shared" si="39"/>
        <v>0</v>
      </c>
      <c r="CT36" s="2">
        <f t="shared" si="40"/>
        <v>0</v>
      </c>
      <c r="CU36" s="2">
        <f t="shared" si="41"/>
        <v>0</v>
      </c>
      <c r="CV36" s="2">
        <f t="shared" si="42"/>
        <v>0</v>
      </c>
      <c r="CW36" s="2">
        <f t="shared" si="43"/>
        <v>0</v>
      </c>
      <c r="CX36" s="2">
        <f t="shared" si="44"/>
        <v>0</v>
      </c>
      <c r="CY36" s="2">
        <f t="shared" si="45"/>
        <v>0</v>
      </c>
      <c r="CZ36" s="2">
        <f t="shared" si="46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61</v>
      </c>
      <c r="DW36" s="2" t="s">
        <v>61</v>
      </c>
      <c r="DX36" s="2">
        <v>1</v>
      </c>
      <c r="DY36" s="2"/>
      <c r="DZ36" s="2" t="s">
        <v>3</v>
      </c>
      <c r="EA36" s="2" t="s">
        <v>3</v>
      </c>
      <c r="EB36" s="2" t="s">
        <v>3</v>
      </c>
      <c r="EC36" s="2" t="s">
        <v>3</v>
      </c>
      <c r="ED36" s="2"/>
      <c r="EE36" s="2">
        <v>49315466</v>
      </c>
      <c r="EF36" s="2">
        <v>23</v>
      </c>
      <c r="EG36" s="2" t="s">
        <v>55</v>
      </c>
      <c r="EH36" s="2">
        <v>0</v>
      </c>
      <c r="EI36" s="2" t="s">
        <v>3</v>
      </c>
      <c r="EJ36" s="2">
        <v>1</v>
      </c>
      <c r="EK36" s="2">
        <v>9001</v>
      </c>
      <c r="EL36" s="2" t="s">
        <v>56</v>
      </c>
      <c r="EM36" s="2" t="s">
        <v>57</v>
      </c>
      <c r="EN36" s="2"/>
      <c r="EO36" s="2" t="s">
        <v>3</v>
      </c>
      <c r="EP36" s="2"/>
      <c r="EQ36" s="2">
        <v>0</v>
      </c>
      <c r="ER36" s="2">
        <v>0</v>
      </c>
      <c r="ES36" s="2">
        <v>108936.28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7"/>
        <v>0</v>
      </c>
      <c r="FS36" s="2">
        <v>0</v>
      </c>
      <c r="FT36" s="2" t="s">
        <v>37</v>
      </c>
      <c r="FU36" s="2" t="s">
        <v>38</v>
      </c>
      <c r="FV36" s="2"/>
      <c r="FW36" s="2"/>
      <c r="FX36" s="2">
        <v>81</v>
      </c>
      <c r="FY36" s="2">
        <v>72.25</v>
      </c>
      <c r="FZ36" s="2"/>
      <c r="GA36" s="2" t="s">
        <v>62</v>
      </c>
      <c r="GB36" s="2"/>
      <c r="GC36" s="2"/>
      <c r="GD36" s="2">
        <v>1</v>
      </c>
      <c r="GE36" s="2"/>
      <c r="GF36" s="2">
        <v>901786959</v>
      </c>
      <c r="GG36" s="2">
        <v>2</v>
      </c>
      <c r="GH36" s="2">
        <v>4</v>
      </c>
      <c r="GI36" s="2">
        <v>-2</v>
      </c>
      <c r="GJ36" s="2">
        <v>0</v>
      </c>
      <c r="GK36" s="2">
        <v>0</v>
      </c>
      <c r="GL36" s="2">
        <f t="shared" si="48"/>
        <v>0</v>
      </c>
      <c r="GM36" s="2">
        <f t="shared" si="49"/>
        <v>108936.28</v>
      </c>
      <c r="GN36" s="2">
        <f t="shared" si="50"/>
        <v>108936.28</v>
      </c>
      <c r="GO36" s="2">
        <f t="shared" si="51"/>
        <v>0</v>
      </c>
      <c r="GP36" s="2">
        <f t="shared" si="52"/>
        <v>0</v>
      </c>
      <c r="GQ36" s="2"/>
      <c r="GR36" s="2">
        <v>0</v>
      </c>
      <c r="GS36" s="2">
        <v>2</v>
      </c>
      <c r="GT36" s="2">
        <v>0</v>
      </c>
      <c r="GU36" s="2" t="s">
        <v>3</v>
      </c>
      <c r="GV36" s="2">
        <f t="shared" si="53"/>
        <v>0</v>
      </c>
      <c r="GW36" s="2">
        <v>1</v>
      </c>
      <c r="GX36" s="2">
        <f t="shared" si="54"/>
        <v>0</v>
      </c>
      <c r="GY36" s="2"/>
      <c r="GZ36" s="2"/>
      <c r="HA36" s="2">
        <v>0</v>
      </c>
      <c r="HB36" s="2">
        <v>0</v>
      </c>
      <c r="HC36" s="2">
        <f t="shared" si="55"/>
        <v>0</v>
      </c>
      <c r="HD36" s="2"/>
      <c r="HE36" s="2" t="s">
        <v>3</v>
      </c>
      <c r="HF36" s="2" t="s">
        <v>3</v>
      </c>
      <c r="HG36" s="2"/>
      <c r="HH36" s="2"/>
      <c r="HI36" s="2"/>
      <c r="HJ36" s="2"/>
      <c r="HK36" s="2"/>
      <c r="HL36" s="2"/>
      <c r="HM36" s="2" t="s">
        <v>3</v>
      </c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45" ht="12.75">
      <c r="A37">
        <v>18</v>
      </c>
      <c r="B37">
        <v>1</v>
      </c>
      <c r="C37">
        <v>42</v>
      </c>
      <c r="E37" t="s">
        <v>58</v>
      </c>
      <c r="F37" t="s">
        <v>59</v>
      </c>
      <c r="G37" t="s">
        <v>60</v>
      </c>
      <c r="H37" t="s">
        <v>61</v>
      </c>
      <c r="I37">
        <f>I35*J37</f>
        <v>0.9999999999999999</v>
      </c>
      <c r="J37">
        <v>2.4390243902439024</v>
      </c>
      <c r="K37">
        <v>2.439024</v>
      </c>
      <c r="O37">
        <f t="shared" si="21"/>
        <v>108936.28</v>
      </c>
      <c r="P37">
        <f t="shared" si="22"/>
        <v>108936.28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50961513</v>
      </c>
      <c r="AB37">
        <f t="shared" si="32"/>
        <v>108936.28</v>
      </c>
      <c r="AC37">
        <f t="shared" si="33"/>
        <v>108936.28</v>
      </c>
      <c r="AD37">
        <f t="shared" si="58"/>
        <v>0</v>
      </c>
      <c r="AE37">
        <f t="shared" si="59"/>
        <v>0</v>
      </c>
      <c r="AF37">
        <f t="shared" si="60"/>
        <v>0</v>
      </c>
      <c r="AG37">
        <f t="shared" si="34"/>
        <v>0</v>
      </c>
      <c r="AH37">
        <f t="shared" si="61"/>
        <v>0</v>
      </c>
      <c r="AI37">
        <f t="shared" si="62"/>
        <v>0</v>
      </c>
      <c r="AJ37">
        <f t="shared" si="35"/>
        <v>0</v>
      </c>
      <c r="AK37">
        <v>108936.28</v>
      </c>
      <c r="AL37">
        <v>108936.28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81</v>
      </c>
      <c r="AU37">
        <v>72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3</v>
      </c>
      <c r="BI37">
        <v>1</v>
      </c>
      <c r="BM37">
        <v>9001</v>
      </c>
      <c r="BN37">
        <v>0</v>
      </c>
      <c r="BP37">
        <v>0</v>
      </c>
      <c r="BQ37">
        <v>23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90</v>
      </c>
      <c r="CA37">
        <v>85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6"/>
        <v>108936.28</v>
      </c>
      <c r="CQ37">
        <f t="shared" si="37"/>
        <v>108936.28</v>
      </c>
      <c r="CR37">
        <f t="shared" si="38"/>
        <v>0</v>
      </c>
      <c r="CS37">
        <f t="shared" si="39"/>
        <v>0</v>
      </c>
      <c r="CT37">
        <f t="shared" si="40"/>
        <v>0</v>
      </c>
      <c r="CU37">
        <f t="shared" si="41"/>
        <v>0</v>
      </c>
      <c r="CV37">
        <f t="shared" si="42"/>
        <v>0</v>
      </c>
      <c r="CW37">
        <f t="shared" si="43"/>
        <v>0</v>
      </c>
      <c r="CX37">
        <f t="shared" si="44"/>
        <v>0</v>
      </c>
      <c r="CY37">
        <f t="shared" si="45"/>
        <v>0</v>
      </c>
      <c r="CZ37">
        <f t="shared" si="46"/>
        <v>0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61</v>
      </c>
      <c r="DW37" t="s">
        <v>61</v>
      </c>
      <c r="DX37">
        <v>1</v>
      </c>
      <c r="EE37">
        <v>49315466</v>
      </c>
      <c r="EF37">
        <v>23</v>
      </c>
      <c r="EG37" t="s">
        <v>55</v>
      </c>
      <c r="EH37">
        <v>0</v>
      </c>
      <c r="EJ37">
        <v>1</v>
      </c>
      <c r="EK37">
        <v>9001</v>
      </c>
      <c r="EL37" t="s">
        <v>56</v>
      </c>
      <c r="EM37" t="s">
        <v>57</v>
      </c>
      <c r="EQ37">
        <v>0</v>
      </c>
      <c r="ER37">
        <v>0</v>
      </c>
      <c r="ES37">
        <v>108936.28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7"/>
        <v>0</v>
      </c>
      <c r="FS37">
        <v>0</v>
      </c>
      <c r="FT37" t="s">
        <v>37</v>
      </c>
      <c r="FU37" t="s">
        <v>38</v>
      </c>
      <c r="FX37">
        <v>81</v>
      </c>
      <c r="FY37">
        <v>72.25</v>
      </c>
      <c r="GA37" t="s">
        <v>62</v>
      </c>
      <c r="GD37">
        <v>1</v>
      </c>
      <c r="GF37">
        <v>901786959</v>
      </c>
      <c r="GG37">
        <v>2</v>
      </c>
      <c r="GH37">
        <v>2</v>
      </c>
      <c r="GI37">
        <v>-2</v>
      </c>
      <c r="GJ37">
        <v>0</v>
      </c>
      <c r="GK37">
        <v>0</v>
      </c>
      <c r="GL37">
        <f t="shared" si="48"/>
        <v>0</v>
      </c>
      <c r="GM37">
        <f t="shared" si="49"/>
        <v>108936.28</v>
      </c>
      <c r="GN37">
        <f t="shared" si="50"/>
        <v>108936.28</v>
      </c>
      <c r="GO37">
        <f t="shared" si="51"/>
        <v>0</v>
      </c>
      <c r="GP37">
        <f t="shared" si="52"/>
        <v>0</v>
      </c>
      <c r="GR37">
        <v>0</v>
      </c>
      <c r="GS37">
        <v>4</v>
      </c>
      <c r="GT37">
        <v>0</v>
      </c>
      <c r="GV37">
        <f t="shared" si="53"/>
        <v>0</v>
      </c>
      <c r="GW37">
        <v>1</v>
      </c>
      <c r="GX37">
        <f t="shared" si="54"/>
        <v>0</v>
      </c>
      <c r="HA37">
        <v>0</v>
      </c>
      <c r="HB37">
        <v>0</v>
      </c>
      <c r="HC37">
        <f t="shared" si="55"/>
        <v>0</v>
      </c>
      <c r="IK37">
        <v>0</v>
      </c>
    </row>
    <row r="38" spans="1:255" ht="12.75">
      <c r="A38" s="2">
        <v>18</v>
      </c>
      <c r="B38" s="2">
        <v>1</v>
      </c>
      <c r="C38" s="2">
        <v>31</v>
      </c>
      <c r="D38" s="2"/>
      <c r="E38" s="2" t="s">
        <v>63</v>
      </c>
      <c r="F38" s="2" t="s">
        <v>59</v>
      </c>
      <c r="G38" s="2" t="s">
        <v>64</v>
      </c>
      <c r="H38" s="2" t="s">
        <v>61</v>
      </c>
      <c r="I38" s="2">
        <f>I34*J38</f>
        <v>0.9999999999999999</v>
      </c>
      <c r="J38" s="2">
        <v>2.4390243902439024</v>
      </c>
      <c r="K38" s="2">
        <v>2.439024</v>
      </c>
      <c r="L38" s="2"/>
      <c r="M38" s="2"/>
      <c r="N38" s="2"/>
      <c r="O38" s="2">
        <f t="shared" si="21"/>
        <v>241294.69</v>
      </c>
      <c r="P38" s="2">
        <f t="shared" si="22"/>
        <v>241294.69</v>
      </c>
      <c r="Q38" s="2">
        <f t="shared" si="23"/>
        <v>0</v>
      </c>
      <c r="R38" s="2">
        <f t="shared" si="24"/>
        <v>0</v>
      </c>
      <c r="S38" s="2">
        <f t="shared" si="25"/>
        <v>0</v>
      </c>
      <c r="T38" s="2">
        <f t="shared" si="26"/>
        <v>0</v>
      </c>
      <c r="U38" s="2">
        <f t="shared" si="27"/>
        <v>0</v>
      </c>
      <c r="V38" s="2">
        <f t="shared" si="28"/>
        <v>0</v>
      </c>
      <c r="W38" s="2">
        <f t="shared" si="29"/>
        <v>0</v>
      </c>
      <c r="X38" s="2">
        <f t="shared" si="30"/>
        <v>0</v>
      </c>
      <c r="Y38" s="2">
        <f t="shared" si="31"/>
        <v>0</v>
      </c>
      <c r="Z38" s="2"/>
      <c r="AA38" s="2">
        <v>50947576</v>
      </c>
      <c r="AB38" s="2">
        <f t="shared" si="32"/>
        <v>241294.69</v>
      </c>
      <c r="AC38" s="2">
        <f t="shared" si="33"/>
        <v>241294.69</v>
      </c>
      <c r="AD38" s="2">
        <f t="shared" si="58"/>
        <v>0</v>
      </c>
      <c r="AE38" s="2">
        <f t="shared" si="59"/>
        <v>0</v>
      </c>
      <c r="AF38" s="2">
        <f t="shared" si="60"/>
        <v>0</v>
      </c>
      <c r="AG38" s="2">
        <f t="shared" si="34"/>
        <v>0</v>
      </c>
      <c r="AH38" s="2">
        <f t="shared" si="61"/>
        <v>0</v>
      </c>
      <c r="AI38" s="2">
        <f t="shared" si="62"/>
        <v>0</v>
      </c>
      <c r="AJ38" s="2">
        <f t="shared" si="35"/>
        <v>0</v>
      </c>
      <c r="AK38" s="2">
        <v>241294.69</v>
      </c>
      <c r="AL38" s="2">
        <v>241294.69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81</v>
      </c>
      <c r="AU38" s="2">
        <v>72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9001</v>
      </c>
      <c r="BN38" s="2">
        <v>0</v>
      </c>
      <c r="BO38" s="2" t="s">
        <v>3</v>
      </c>
      <c r="BP38" s="2">
        <v>0</v>
      </c>
      <c r="BQ38" s="2">
        <v>23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90</v>
      </c>
      <c r="CA38" s="2">
        <v>85</v>
      </c>
      <c r="CB38" s="2" t="s">
        <v>3</v>
      </c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6"/>
        <v>241294.69</v>
      </c>
      <c r="CQ38" s="2">
        <f t="shared" si="37"/>
        <v>241294.69</v>
      </c>
      <c r="CR38" s="2">
        <f t="shared" si="38"/>
        <v>0</v>
      </c>
      <c r="CS38" s="2">
        <f t="shared" si="39"/>
        <v>0</v>
      </c>
      <c r="CT38" s="2">
        <f t="shared" si="40"/>
        <v>0</v>
      </c>
      <c r="CU38" s="2">
        <f t="shared" si="41"/>
        <v>0</v>
      </c>
      <c r="CV38" s="2">
        <f t="shared" si="42"/>
        <v>0</v>
      </c>
      <c r="CW38" s="2">
        <f t="shared" si="43"/>
        <v>0</v>
      </c>
      <c r="CX38" s="2">
        <f t="shared" si="44"/>
        <v>0</v>
      </c>
      <c r="CY38" s="2">
        <f t="shared" si="45"/>
        <v>0</v>
      </c>
      <c r="CZ38" s="2">
        <f t="shared" si="46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61</v>
      </c>
      <c r="DW38" s="2" t="s">
        <v>61</v>
      </c>
      <c r="DX38" s="2">
        <v>1</v>
      </c>
      <c r="DY38" s="2"/>
      <c r="DZ38" s="2" t="s">
        <v>3</v>
      </c>
      <c r="EA38" s="2" t="s">
        <v>3</v>
      </c>
      <c r="EB38" s="2" t="s">
        <v>3</v>
      </c>
      <c r="EC38" s="2" t="s">
        <v>3</v>
      </c>
      <c r="ED38" s="2"/>
      <c r="EE38" s="2">
        <v>49315466</v>
      </c>
      <c r="EF38" s="2">
        <v>23</v>
      </c>
      <c r="EG38" s="2" t="s">
        <v>55</v>
      </c>
      <c r="EH38" s="2">
        <v>0</v>
      </c>
      <c r="EI38" s="2" t="s">
        <v>3</v>
      </c>
      <c r="EJ38" s="2">
        <v>1</v>
      </c>
      <c r="EK38" s="2">
        <v>9001</v>
      </c>
      <c r="EL38" s="2" t="s">
        <v>56</v>
      </c>
      <c r="EM38" s="2" t="s">
        <v>57</v>
      </c>
      <c r="EN38" s="2"/>
      <c r="EO38" s="2" t="s">
        <v>3</v>
      </c>
      <c r="EP38" s="2"/>
      <c r="EQ38" s="2">
        <v>0</v>
      </c>
      <c r="ER38" s="2">
        <v>0</v>
      </c>
      <c r="ES38" s="2">
        <v>241294.69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7"/>
        <v>0</v>
      </c>
      <c r="FS38" s="2">
        <v>0</v>
      </c>
      <c r="FT38" s="2" t="s">
        <v>37</v>
      </c>
      <c r="FU38" s="2" t="s">
        <v>38</v>
      </c>
      <c r="FV38" s="2"/>
      <c r="FW38" s="2"/>
      <c r="FX38" s="2">
        <v>81</v>
      </c>
      <c r="FY38" s="2">
        <v>72.25</v>
      </c>
      <c r="FZ38" s="2"/>
      <c r="GA38" s="2" t="s">
        <v>62</v>
      </c>
      <c r="GB38" s="2"/>
      <c r="GC38" s="2"/>
      <c r="GD38" s="2">
        <v>1</v>
      </c>
      <c r="GE38" s="2"/>
      <c r="GF38" s="2">
        <v>-1579696575</v>
      </c>
      <c r="GG38" s="2">
        <v>2</v>
      </c>
      <c r="GH38" s="2">
        <v>2</v>
      </c>
      <c r="GI38" s="2">
        <v>-2</v>
      </c>
      <c r="GJ38" s="2">
        <v>0</v>
      </c>
      <c r="GK38" s="2">
        <v>0</v>
      </c>
      <c r="GL38" s="2">
        <f t="shared" si="48"/>
        <v>0</v>
      </c>
      <c r="GM38" s="2">
        <f t="shared" si="49"/>
        <v>241294.69</v>
      </c>
      <c r="GN38" s="2">
        <f t="shared" si="50"/>
        <v>241294.69</v>
      </c>
      <c r="GO38" s="2">
        <f t="shared" si="51"/>
        <v>0</v>
      </c>
      <c r="GP38" s="2">
        <f t="shared" si="52"/>
        <v>0</v>
      </c>
      <c r="GQ38" s="2"/>
      <c r="GR38" s="2">
        <v>0</v>
      </c>
      <c r="GS38" s="2">
        <v>4</v>
      </c>
      <c r="GT38" s="2">
        <v>0</v>
      </c>
      <c r="GU38" s="2" t="s">
        <v>3</v>
      </c>
      <c r="GV38" s="2">
        <f t="shared" si="53"/>
        <v>0</v>
      </c>
      <c r="GW38" s="2">
        <v>1</v>
      </c>
      <c r="GX38" s="2">
        <f t="shared" si="54"/>
        <v>0</v>
      </c>
      <c r="GY38" s="2"/>
      <c r="GZ38" s="2"/>
      <c r="HA38" s="2">
        <v>0</v>
      </c>
      <c r="HB38" s="2">
        <v>0</v>
      </c>
      <c r="HC38" s="2">
        <f t="shared" si="55"/>
        <v>0</v>
      </c>
      <c r="HD38" s="2"/>
      <c r="HE38" s="2" t="s">
        <v>3</v>
      </c>
      <c r="HF38" s="2" t="s">
        <v>3</v>
      </c>
      <c r="HG38" s="2"/>
      <c r="HH38" s="2"/>
      <c r="HI38" s="2"/>
      <c r="HJ38" s="2"/>
      <c r="HK38" s="2"/>
      <c r="HL38" s="2"/>
      <c r="HM38" s="2" t="s">
        <v>3</v>
      </c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45" ht="12.75">
      <c r="A39">
        <v>18</v>
      </c>
      <c r="B39">
        <v>1</v>
      </c>
      <c r="C39">
        <v>43</v>
      </c>
      <c r="E39" t="s">
        <v>63</v>
      </c>
      <c r="F39" t="s">
        <v>59</v>
      </c>
      <c r="G39" t="s">
        <v>64</v>
      </c>
      <c r="H39" t="s">
        <v>61</v>
      </c>
      <c r="I39">
        <f>I35*J39</f>
        <v>0.9999999999999999</v>
      </c>
      <c r="J39">
        <v>2.4390243902439024</v>
      </c>
      <c r="K39">
        <v>2.439024</v>
      </c>
      <c r="O39">
        <f t="shared" si="21"/>
        <v>241294.69</v>
      </c>
      <c r="P39">
        <f t="shared" si="22"/>
        <v>241294.69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50961513</v>
      </c>
      <c r="AB39">
        <f t="shared" si="32"/>
        <v>241294.69</v>
      </c>
      <c r="AC39">
        <f t="shared" si="33"/>
        <v>241294.69</v>
      </c>
      <c r="AD39">
        <f t="shared" si="58"/>
        <v>0</v>
      </c>
      <c r="AE39">
        <f t="shared" si="59"/>
        <v>0</v>
      </c>
      <c r="AF39">
        <f t="shared" si="60"/>
        <v>0</v>
      </c>
      <c r="AG39">
        <f t="shared" si="34"/>
        <v>0</v>
      </c>
      <c r="AH39">
        <f t="shared" si="61"/>
        <v>0</v>
      </c>
      <c r="AI39">
        <f t="shared" si="62"/>
        <v>0</v>
      </c>
      <c r="AJ39">
        <f t="shared" si="35"/>
        <v>0</v>
      </c>
      <c r="AK39">
        <v>241294.69</v>
      </c>
      <c r="AL39">
        <v>241294.69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81</v>
      </c>
      <c r="AU39">
        <v>72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1</v>
      </c>
      <c r="BM39">
        <v>9001</v>
      </c>
      <c r="BN39">
        <v>0</v>
      </c>
      <c r="BP39">
        <v>0</v>
      </c>
      <c r="BQ39">
        <v>23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90</v>
      </c>
      <c r="CA39">
        <v>85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36"/>
        <v>241294.69</v>
      </c>
      <c r="CQ39">
        <f t="shared" si="37"/>
        <v>241294.69</v>
      </c>
      <c r="CR39">
        <f t="shared" si="38"/>
        <v>0</v>
      </c>
      <c r="CS39">
        <f t="shared" si="39"/>
        <v>0</v>
      </c>
      <c r="CT39">
        <f t="shared" si="40"/>
        <v>0</v>
      </c>
      <c r="CU39">
        <f t="shared" si="41"/>
        <v>0</v>
      </c>
      <c r="CV39">
        <f t="shared" si="42"/>
        <v>0</v>
      </c>
      <c r="CW39">
        <f t="shared" si="43"/>
        <v>0</v>
      </c>
      <c r="CX39">
        <f t="shared" si="44"/>
        <v>0</v>
      </c>
      <c r="CY39">
        <f t="shared" si="45"/>
        <v>0</v>
      </c>
      <c r="CZ39">
        <f t="shared" si="46"/>
        <v>0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61</v>
      </c>
      <c r="DW39" t="s">
        <v>61</v>
      </c>
      <c r="DX39">
        <v>1</v>
      </c>
      <c r="EE39">
        <v>49315466</v>
      </c>
      <c r="EF39">
        <v>23</v>
      </c>
      <c r="EG39" t="s">
        <v>55</v>
      </c>
      <c r="EH39">
        <v>0</v>
      </c>
      <c r="EJ39">
        <v>1</v>
      </c>
      <c r="EK39">
        <v>9001</v>
      </c>
      <c r="EL39" t="s">
        <v>56</v>
      </c>
      <c r="EM39" t="s">
        <v>57</v>
      </c>
      <c r="EQ39">
        <v>0</v>
      </c>
      <c r="ER39">
        <v>0</v>
      </c>
      <c r="ES39">
        <v>241294.69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7"/>
        <v>0</v>
      </c>
      <c r="FS39">
        <v>0</v>
      </c>
      <c r="FT39" t="s">
        <v>37</v>
      </c>
      <c r="FU39" t="s">
        <v>38</v>
      </c>
      <c r="FX39">
        <v>81</v>
      </c>
      <c r="FY39">
        <v>72.25</v>
      </c>
      <c r="GD39">
        <v>1</v>
      </c>
      <c r="GF39">
        <v>-1579696575</v>
      </c>
      <c r="GG39">
        <v>2</v>
      </c>
      <c r="GH39">
        <v>0</v>
      </c>
      <c r="GI39">
        <v>-2</v>
      </c>
      <c r="GJ39">
        <v>0</v>
      </c>
      <c r="GK39">
        <v>0</v>
      </c>
      <c r="GL39">
        <f t="shared" si="48"/>
        <v>0</v>
      </c>
      <c r="GM39">
        <f t="shared" si="49"/>
        <v>241294.69</v>
      </c>
      <c r="GN39">
        <f t="shared" si="50"/>
        <v>241294.69</v>
      </c>
      <c r="GO39">
        <f t="shared" si="51"/>
        <v>0</v>
      </c>
      <c r="GP39">
        <f t="shared" si="52"/>
        <v>0</v>
      </c>
      <c r="GR39">
        <v>0</v>
      </c>
      <c r="GS39">
        <v>0</v>
      </c>
      <c r="GT39">
        <v>0</v>
      </c>
      <c r="GV39">
        <f t="shared" si="53"/>
        <v>0</v>
      </c>
      <c r="GW39">
        <v>1</v>
      </c>
      <c r="GX39">
        <f t="shared" si="54"/>
        <v>0</v>
      </c>
      <c r="HA39">
        <v>0</v>
      </c>
      <c r="HB39">
        <v>0</v>
      </c>
      <c r="HC39">
        <f t="shared" si="55"/>
        <v>0</v>
      </c>
      <c r="IK39">
        <v>0</v>
      </c>
    </row>
    <row r="40" spans="1:255" ht="12.75">
      <c r="A40" s="2">
        <v>18</v>
      </c>
      <c r="B40" s="2">
        <v>1</v>
      </c>
      <c r="C40" s="2">
        <v>32</v>
      </c>
      <c r="D40" s="2"/>
      <c r="E40" s="2" t="s">
        <v>65</v>
      </c>
      <c r="F40" s="2" t="s">
        <v>59</v>
      </c>
      <c r="G40" s="2" t="s">
        <v>66</v>
      </c>
      <c r="H40" s="2" t="s">
        <v>61</v>
      </c>
      <c r="I40" s="2">
        <f>I34*J40</f>
        <v>0.9999999999999999</v>
      </c>
      <c r="J40" s="2">
        <v>2.4390243902439024</v>
      </c>
      <c r="K40" s="2">
        <v>2.439024</v>
      </c>
      <c r="L40" s="2"/>
      <c r="M40" s="2"/>
      <c r="N40" s="2"/>
      <c r="O40" s="2">
        <f t="shared" si="21"/>
        <v>587378.89</v>
      </c>
      <c r="P40" s="2">
        <f t="shared" si="22"/>
        <v>587378.89</v>
      </c>
      <c r="Q40" s="2">
        <f t="shared" si="23"/>
        <v>0</v>
      </c>
      <c r="R40" s="2">
        <f t="shared" si="24"/>
        <v>0</v>
      </c>
      <c r="S40" s="2">
        <f t="shared" si="25"/>
        <v>0</v>
      </c>
      <c r="T40" s="2">
        <f t="shared" si="26"/>
        <v>0</v>
      </c>
      <c r="U40" s="2">
        <f t="shared" si="27"/>
        <v>0</v>
      </c>
      <c r="V40" s="2">
        <f t="shared" si="28"/>
        <v>0</v>
      </c>
      <c r="W40" s="2">
        <f t="shared" si="29"/>
        <v>0</v>
      </c>
      <c r="X40" s="2">
        <f t="shared" si="30"/>
        <v>0</v>
      </c>
      <c r="Y40" s="2">
        <f t="shared" si="31"/>
        <v>0</v>
      </c>
      <c r="Z40" s="2"/>
      <c r="AA40" s="2">
        <v>50947576</v>
      </c>
      <c r="AB40" s="2">
        <f t="shared" si="32"/>
        <v>587378.89</v>
      </c>
      <c r="AC40" s="2">
        <f t="shared" si="33"/>
        <v>587378.89</v>
      </c>
      <c r="AD40" s="2">
        <f t="shared" si="58"/>
        <v>0</v>
      </c>
      <c r="AE40" s="2">
        <f t="shared" si="59"/>
        <v>0</v>
      </c>
      <c r="AF40" s="2">
        <f t="shared" si="60"/>
        <v>0</v>
      </c>
      <c r="AG40" s="2">
        <f t="shared" si="34"/>
        <v>0</v>
      </c>
      <c r="AH40" s="2">
        <f t="shared" si="61"/>
        <v>0</v>
      </c>
      <c r="AI40" s="2">
        <f t="shared" si="62"/>
        <v>0</v>
      </c>
      <c r="AJ40" s="2">
        <f t="shared" si="35"/>
        <v>0</v>
      </c>
      <c r="AK40" s="2">
        <v>587378.89</v>
      </c>
      <c r="AL40" s="2">
        <v>587378.89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81</v>
      </c>
      <c r="AU40" s="2">
        <v>72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9001</v>
      </c>
      <c r="BN40" s="2">
        <v>0</v>
      </c>
      <c r="BO40" s="2" t="s">
        <v>3</v>
      </c>
      <c r="BP40" s="2">
        <v>0</v>
      </c>
      <c r="BQ40" s="2">
        <v>23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90</v>
      </c>
      <c r="CA40" s="2">
        <v>85</v>
      </c>
      <c r="CB40" s="2" t="s">
        <v>3</v>
      </c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6"/>
        <v>587378.89</v>
      </c>
      <c r="CQ40" s="2">
        <f t="shared" si="37"/>
        <v>587378.89</v>
      </c>
      <c r="CR40" s="2">
        <f t="shared" si="38"/>
        <v>0</v>
      </c>
      <c r="CS40" s="2">
        <f t="shared" si="39"/>
        <v>0</v>
      </c>
      <c r="CT40" s="2">
        <f t="shared" si="40"/>
        <v>0</v>
      </c>
      <c r="CU40" s="2">
        <f t="shared" si="41"/>
        <v>0</v>
      </c>
      <c r="CV40" s="2">
        <f t="shared" si="42"/>
        <v>0</v>
      </c>
      <c r="CW40" s="2">
        <f t="shared" si="43"/>
        <v>0</v>
      </c>
      <c r="CX40" s="2">
        <f t="shared" si="44"/>
        <v>0</v>
      </c>
      <c r="CY40" s="2">
        <f t="shared" si="45"/>
        <v>0</v>
      </c>
      <c r="CZ40" s="2">
        <f t="shared" si="46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61</v>
      </c>
      <c r="DW40" s="2" t="s">
        <v>61</v>
      </c>
      <c r="DX40" s="2">
        <v>1</v>
      </c>
      <c r="DY40" s="2"/>
      <c r="DZ40" s="2" t="s">
        <v>3</v>
      </c>
      <c r="EA40" s="2" t="s">
        <v>3</v>
      </c>
      <c r="EB40" s="2" t="s">
        <v>3</v>
      </c>
      <c r="EC40" s="2" t="s">
        <v>3</v>
      </c>
      <c r="ED40" s="2"/>
      <c r="EE40" s="2">
        <v>49315466</v>
      </c>
      <c r="EF40" s="2">
        <v>23</v>
      </c>
      <c r="EG40" s="2" t="s">
        <v>55</v>
      </c>
      <c r="EH40" s="2">
        <v>0</v>
      </c>
      <c r="EI40" s="2" t="s">
        <v>3</v>
      </c>
      <c r="EJ40" s="2">
        <v>1</v>
      </c>
      <c r="EK40" s="2">
        <v>9001</v>
      </c>
      <c r="EL40" s="2" t="s">
        <v>56</v>
      </c>
      <c r="EM40" s="2" t="s">
        <v>57</v>
      </c>
      <c r="EN40" s="2"/>
      <c r="EO40" s="2" t="s">
        <v>3</v>
      </c>
      <c r="EP40" s="2"/>
      <c r="EQ40" s="2">
        <v>0</v>
      </c>
      <c r="ER40" s="2">
        <v>0</v>
      </c>
      <c r="ES40" s="2">
        <v>587378.89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7"/>
        <v>0</v>
      </c>
      <c r="FS40" s="2">
        <v>0</v>
      </c>
      <c r="FT40" s="2" t="s">
        <v>37</v>
      </c>
      <c r="FU40" s="2" t="s">
        <v>38</v>
      </c>
      <c r="FV40" s="2"/>
      <c r="FW40" s="2"/>
      <c r="FX40" s="2">
        <v>81</v>
      </c>
      <c r="FY40" s="2">
        <v>72.25</v>
      </c>
      <c r="FZ40" s="2"/>
      <c r="GA40" s="2" t="s">
        <v>62</v>
      </c>
      <c r="GB40" s="2"/>
      <c r="GC40" s="2"/>
      <c r="GD40" s="2">
        <v>1</v>
      </c>
      <c r="GE40" s="2"/>
      <c r="GF40" s="2">
        <v>-846146321</v>
      </c>
      <c r="GG40" s="2">
        <v>2</v>
      </c>
      <c r="GH40" s="2">
        <v>2</v>
      </c>
      <c r="GI40" s="2">
        <v>-2</v>
      </c>
      <c r="GJ40" s="2">
        <v>0</v>
      </c>
      <c r="GK40" s="2">
        <v>0</v>
      </c>
      <c r="GL40" s="2">
        <f t="shared" si="48"/>
        <v>0</v>
      </c>
      <c r="GM40" s="2">
        <f t="shared" si="49"/>
        <v>587378.89</v>
      </c>
      <c r="GN40" s="2">
        <f t="shared" si="50"/>
        <v>587378.89</v>
      </c>
      <c r="GO40" s="2">
        <f t="shared" si="51"/>
        <v>0</v>
      </c>
      <c r="GP40" s="2">
        <f t="shared" si="52"/>
        <v>0</v>
      </c>
      <c r="GQ40" s="2"/>
      <c r="GR40" s="2">
        <v>0</v>
      </c>
      <c r="GS40" s="2">
        <v>4</v>
      </c>
      <c r="GT40" s="2">
        <v>0</v>
      </c>
      <c r="GU40" s="2" t="s">
        <v>3</v>
      </c>
      <c r="GV40" s="2">
        <f t="shared" si="53"/>
        <v>0</v>
      </c>
      <c r="GW40" s="2">
        <v>1</v>
      </c>
      <c r="GX40" s="2">
        <f t="shared" si="54"/>
        <v>0</v>
      </c>
      <c r="GY40" s="2"/>
      <c r="GZ40" s="2"/>
      <c r="HA40" s="2">
        <v>0</v>
      </c>
      <c r="HB40" s="2">
        <v>0</v>
      </c>
      <c r="HC40" s="2">
        <f t="shared" si="55"/>
        <v>0</v>
      </c>
      <c r="HD40" s="2"/>
      <c r="HE40" s="2" t="s">
        <v>3</v>
      </c>
      <c r="HF40" s="2" t="s">
        <v>3</v>
      </c>
      <c r="HG40" s="2"/>
      <c r="HH40" s="2"/>
      <c r="HI40" s="2"/>
      <c r="HJ40" s="2"/>
      <c r="HK40" s="2"/>
      <c r="HL40" s="2"/>
      <c r="HM40" s="2" t="s">
        <v>3</v>
      </c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45" ht="12.75">
      <c r="A41">
        <v>18</v>
      </c>
      <c r="B41">
        <v>1</v>
      </c>
      <c r="C41">
        <v>44</v>
      </c>
      <c r="E41" t="s">
        <v>65</v>
      </c>
      <c r="F41" t="s">
        <v>59</v>
      </c>
      <c r="G41" t="s">
        <v>66</v>
      </c>
      <c r="H41" t="s">
        <v>61</v>
      </c>
      <c r="I41">
        <f>I35*J41</f>
        <v>0.9999999999999999</v>
      </c>
      <c r="J41">
        <v>2.4390243902439024</v>
      </c>
      <c r="K41">
        <v>2.439024</v>
      </c>
      <c r="O41">
        <f t="shared" si="21"/>
        <v>587378.89</v>
      </c>
      <c r="P41">
        <f t="shared" si="22"/>
        <v>587378.89</v>
      </c>
      <c r="Q41">
        <f t="shared" si="23"/>
        <v>0</v>
      </c>
      <c r="R41">
        <f t="shared" si="24"/>
        <v>0</v>
      </c>
      <c r="S41">
        <f t="shared" si="25"/>
        <v>0</v>
      </c>
      <c r="T41">
        <f t="shared" si="26"/>
        <v>0</v>
      </c>
      <c r="U41">
        <f t="shared" si="27"/>
        <v>0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50961513</v>
      </c>
      <c r="AB41">
        <f t="shared" si="32"/>
        <v>587378.89</v>
      </c>
      <c r="AC41">
        <f t="shared" si="33"/>
        <v>587378.89</v>
      </c>
      <c r="AD41">
        <f t="shared" si="58"/>
        <v>0</v>
      </c>
      <c r="AE41">
        <f t="shared" si="59"/>
        <v>0</v>
      </c>
      <c r="AF41">
        <f t="shared" si="60"/>
        <v>0</v>
      </c>
      <c r="AG41">
        <f t="shared" si="34"/>
        <v>0</v>
      </c>
      <c r="AH41">
        <f t="shared" si="61"/>
        <v>0</v>
      </c>
      <c r="AI41">
        <f t="shared" si="62"/>
        <v>0</v>
      </c>
      <c r="AJ41">
        <f t="shared" si="35"/>
        <v>0</v>
      </c>
      <c r="AK41">
        <v>587378.89</v>
      </c>
      <c r="AL41">
        <v>587378.89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81</v>
      </c>
      <c r="AU41">
        <v>72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M41">
        <v>9001</v>
      </c>
      <c r="BN41">
        <v>0</v>
      </c>
      <c r="BP41">
        <v>0</v>
      </c>
      <c r="BQ41">
        <v>23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90</v>
      </c>
      <c r="CA41">
        <v>85</v>
      </c>
      <c r="CE41">
        <v>0</v>
      </c>
      <c r="CF41">
        <v>0</v>
      </c>
      <c r="CG41">
        <v>0</v>
      </c>
      <c r="CM41">
        <v>0</v>
      </c>
      <c r="CO41">
        <v>0</v>
      </c>
      <c r="CP41">
        <f t="shared" si="36"/>
        <v>587378.89</v>
      </c>
      <c r="CQ41">
        <f t="shared" si="37"/>
        <v>587378.89</v>
      </c>
      <c r="CR41">
        <f t="shared" si="38"/>
        <v>0</v>
      </c>
      <c r="CS41">
        <f t="shared" si="39"/>
        <v>0</v>
      </c>
      <c r="CT41">
        <f t="shared" si="40"/>
        <v>0</v>
      </c>
      <c r="CU41">
        <f t="shared" si="41"/>
        <v>0</v>
      </c>
      <c r="CV41">
        <f t="shared" si="42"/>
        <v>0</v>
      </c>
      <c r="CW41">
        <f t="shared" si="43"/>
        <v>0</v>
      </c>
      <c r="CX41">
        <f t="shared" si="44"/>
        <v>0</v>
      </c>
      <c r="CY41">
        <f t="shared" si="45"/>
        <v>0</v>
      </c>
      <c r="CZ41">
        <f t="shared" si="46"/>
        <v>0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61</v>
      </c>
      <c r="DW41" t="s">
        <v>61</v>
      </c>
      <c r="DX41">
        <v>1</v>
      </c>
      <c r="EE41">
        <v>49315466</v>
      </c>
      <c r="EF41">
        <v>23</v>
      </c>
      <c r="EG41" t="s">
        <v>55</v>
      </c>
      <c r="EH41">
        <v>0</v>
      </c>
      <c r="EJ41">
        <v>1</v>
      </c>
      <c r="EK41">
        <v>9001</v>
      </c>
      <c r="EL41" t="s">
        <v>56</v>
      </c>
      <c r="EM41" t="s">
        <v>57</v>
      </c>
      <c r="EQ41">
        <v>0</v>
      </c>
      <c r="ER41">
        <v>0</v>
      </c>
      <c r="ES41">
        <v>587378.89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7"/>
        <v>0</v>
      </c>
      <c r="FS41">
        <v>0</v>
      </c>
      <c r="FT41" t="s">
        <v>37</v>
      </c>
      <c r="FU41" t="s">
        <v>38</v>
      </c>
      <c r="FX41">
        <v>81</v>
      </c>
      <c r="FY41">
        <v>72.25</v>
      </c>
      <c r="GD41">
        <v>1</v>
      </c>
      <c r="GF41">
        <v>-846146321</v>
      </c>
      <c r="GG41">
        <v>2</v>
      </c>
      <c r="GH41">
        <v>0</v>
      </c>
      <c r="GI41">
        <v>-2</v>
      </c>
      <c r="GJ41">
        <v>0</v>
      </c>
      <c r="GK41">
        <v>0</v>
      </c>
      <c r="GL41">
        <f t="shared" si="48"/>
        <v>0</v>
      </c>
      <c r="GM41">
        <f t="shared" si="49"/>
        <v>587378.89</v>
      </c>
      <c r="GN41">
        <f t="shared" si="50"/>
        <v>587378.89</v>
      </c>
      <c r="GO41">
        <f t="shared" si="51"/>
        <v>0</v>
      </c>
      <c r="GP41">
        <f t="shared" si="52"/>
        <v>0</v>
      </c>
      <c r="GR41">
        <v>0</v>
      </c>
      <c r="GS41">
        <v>0</v>
      </c>
      <c r="GT41">
        <v>0</v>
      </c>
      <c r="GV41">
        <f t="shared" si="53"/>
        <v>0</v>
      </c>
      <c r="GW41">
        <v>1</v>
      </c>
      <c r="GX41">
        <f t="shared" si="54"/>
        <v>0</v>
      </c>
      <c r="HA41">
        <v>0</v>
      </c>
      <c r="HB41">
        <v>0</v>
      </c>
      <c r="HC41">
        <f t="shared" si="55"/>
        <v>0</v>
      </c>
      <c r="IK41">
        <v>0</v>
      </c>
    </row>
    <row r="42" spans="1:255" ht="12.75">
      <c r="A42" s="2">
        <v>18</v>
      </c>
      <c r="B42" s="2">
        <v>1</v>
      </c>
      <c r="C42" s="2">
        <v>29</v>
      </c>
      <c r="D42" s="2"/>
      <c r="E42" s="2" t="s">
        <v>67</v>
      </c>
      <c r="F42" s="2" t="s">
        <v>68</v>
      </c>
      <c r="G42" s="2" t="s">
        <v>69</v>
      </c>
      <c r="H42" s="2" t="s">
        <v>70</v>
      </c>
      <c r="I42" s="2">
        <f>I34*J42</f>
        <v>-0.016399999999999998</v>
      </c>
      <c r="J42" s="2">
        <v>-0.039999999999999994</v>
      </c>
      <c r="K42" s="2">
        <v>-0.04</v>
      </c>
      <c r="L42" s="2"/>
      <c r="M42" s="2"/>
      <c r="N42" s="2"/>
      <c r="O42" s="2">
        <f t="shared" si="21"/>
        <v>-27.88</v>
      </c>
      <c r="P42" s="2">
        <f t="shared" si="22"/>
        <v>-27.88</v>
      </c>
      <c r="Q42" s="2">
        <f t="shared" si="23"/>
        <v>0</v>
      </c>
      <c r="R42" s="2">
        <f t="shared" si="24"/>
        <v>0</v>
      </c>
      <c r="S42" s="2">
        <f t="shared" si="25"/>
        <v>0</v>
      </c>
      <c r="T42" s="2">
        <f t="shared" si="26"/>
        <v>0</v>
      </c>
      <c r="U42" s="2">
        <f t="shared" si="27"/>
        <v>0</v>
      </c>
      <c r="V42" s="2">
        <f t="shared" si="28"/>
        <v>0</v>
      </c>
      <c r="W42" s="2">
        <f t="shared" si="29"/>
        <v>0</v>
      </c>
      <c r="X42" s="2">
        <f t="shared" si="30"/>
        <v>0</v>
      </c>
      <c r="Y42" s="2">
        <f t="shared" si="31"/>
        <v>0</v>
      </c>
      <c r="Z42" s="2"/>
      <c r="AA42" s="2">
        <v>50947576</v>
      </c>
      <c r="AB42" s="2">
        <f t="shared" si="32"/>
        <v>1700</v>
      </c>
      <c r="AC42" s="2">
        <f t="shared" si="33"/>
        <v>1700</v>
      </c>
      <c r="AD42" s="2">
        <f t="shared" si="58"/>
        <v>0</v>
      </c>
      <c r="AE42" s="2">
        <f t="shared" si="59"/>
        <v>0</v>
      </c>
      <c r="AF42" s="2">
        <f t="shared" si="60"/>
        <v>0</v>
      </c>
      <c r="AG42" s="2">
        <f t="shared" si="34"/>
        <v>0</v>
      </c>
      <c r="AH42" s="2">
        <f t="shared" si="61"/>
        <v>0</v>
      </c>
      <c r="AI42" s="2">
        <f t="shared" si="62"/>
        <v>0</v>
      </c>
      <c r="AJ42" s="2">
        <f t="shared" si="35"/>
        <v>0</v>
      </c>
      <c r="AK42" s="2">
        <v>1700</v>
      </c>
      <c r="AL42" s="2">
        <v>1700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81</v>
      </c>
      <c r="AU42" s="2">
        <v>72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71</v>
      </c>
      <c r="BK42" s="2"/>
      <c r="BL42" s="2"/>
      <c r="BM42" s="2">
        <v>9001</v>
      </c>
      <c r="BN42" s="2">
        <v>0</v>
      </c>
      <c r="BO42" s="2" t="s">
        <v>3</v>
      </c>
      <c r="BP42" s="2">
        <v>0</v>
      </c>
      <c r="BQ42" s="2">
        <v>23</v>
      </c>
      <c r="BR42" s="2">
        <v>1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90</v>
      </c>
      <c r="CA42" s="2">
        <v>85</v>
      </c>
      <c r="CB42" s="2" t="s">
        <v>3</v>
      </c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6"/>
        <v>-27.88</v>
      </c>
      <c r="CQ42" s="2">
        <f t="shared" si="37"/>
        <v>1700</v>
      </c>
      <c r="CR42" s="2">
        <f t="shared" si="38"/>
        <v>0</v>
      </c>
      <c r="CS42" s="2">
        <f t="shared" si="39"/>
        <v>0</v>
      </c>
      <c r="CT42" s="2">
        <f t="shared" si="40"/>
        <v>0</v>
      </c>
      <c r="CU42" s="2">
        <f t="shared" si="41"/>
        <v>0</v>
      </c>
      <c r="CV42" s="2">
        <f t="shared" si="42"/>
        <v>0</v>
      </c>
      <c r="CW42" s="2">
        <f t="shared" si="43"/>
        <v>0</v>
      </c>
      <c r="CX42" s="2">
        <f t="shared" si="44"/>
        <v>0</v>
      </c>
      <c r="CY42" s="2">
        <f t="shared" si="45"/>
        <v>0</v>
      </c>
      <c r="CZ42" s="2">
        <f t="shared" si="46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70</v>
      </c>
      <c r="DW42" s="2" t="s">
        <v>70</v>
      </c>
      <c r="DX42" s="2">
        <v>1</v>
      </c>
      <c r="DY42" s="2"/>
      <c r="DZ42" s="2" t="s">
        <v>3</v>
      </c>
      <c r="EA42" s="2" t="s">
        <v>3</v>
      </c>
      <c r="EB42" s="2" t="s">
        <v>3</v>
      </c>
      <c r="EC42" s="2" t="s">
        <v>3</v>
      </c>
      <c r="ED42" s="2"/>
      <c r="EE42" s="2">
        <v>49315466</v>
      </c>
      <c r="EF42" s="2">
        <v>23</v>
      </c>
      <c r="EG42" s="2" t="s">
        <v>55</v>
      </c>
      <c r="EH42" s="2">
        <v>0</v>
      </c>
      <c r="EI42" s="2" t="s">
        <v>3</v>
      </c>
      <c r="EJ42" s="2">
        <v>1</v>
      </c>
      <c r="EK42" s="2">
        <v>9001</v>
      </c>
      <c r="EL42" s="2" t="s">
        <v>56</v>
      </c>
      <c r="EM42" s="2" t="s">
        <v>57</v>
      </c>
      <c r="EN42" s="2"/>
      <c r="EO42" s="2" t="s">
        <v>3</v>
      </c>
      <c r="EP42" s="2"/>
      <c r="EQ42" s="2">
        <v>0</v>
      </c>
      <c r="ER42" s="2">
        <v>1700</v>
      </c>
      <c r="ES42" s="2">
        <v>1700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7"/>
        <v>0</v>
      </c>
      <c r="FS42" s="2">
        <v>0</v>
      </c>
      <c r="FT42" s="2" t="s">
        <v>37</v>
      </c>
      <c r="FU42" s="2" t="s">
        <v>38</v>
      </c>
      <c r="FV42" s="2"/>
      <c r="FW42" s="2"/>
      <c r="FX42" s="2">
        <v>81</v>
      </c>
      <c r="FY42" s="2">
        <v>72.25</v>
      </c>
      <c r="FZ42" s="2"/>
      <c r="GA42" s="2" t="s">
        <v>3</v>
      </c>
      <c r="GB42" s="2"/>
      <c r="GC42" s="2"/>
      <c r="GD42" s="2">
        <v>1</v>
      </c>
      <c r="GE42" s="2"/>
      <c r="GF42" s="2">
        <v>-130131740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8"/>
        <v>0</v>
      </c>
      <c r="GM42" s="2">
        <f t="shared" si="49"/>
        <v>-27.88</v>
      </c>
      <c r="GN42" s="2">
        <f t="shared" si="50"/>
        <v>-27.88</v>
      </c>
      <c r="GO42" s="2">
        <f t="shared" si="51"/>
        <v>0</v>
      </c>
      <c r="GP42" s="2">
        <f t="shared" si="52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3"/>
        <v>0</v>
      </c>
      <c r="GW42" s="2">
        <v>1</v>
      </c>
      <c r="GX42" s="2">
        <f t="shared" si="54"/>
        <v>0</v>
      </c>
      <c r="GY42" s="2"/>
      <c r="GZ42" s="2"/>
      <c r="HA42" s="2">
        <v>0</v>
      </c>
      <c r="HB42" s="2">
        <v>0</v>
      </c>
      <c r="HC42" s="2">
        <f t="shared" si="55"/>
        <v>0</v>
      </c>
      <c r="HD42" s="2"/>
      <c r="HE42" s="2" t="s">
        <v>3</v>
      </c>
      <c r="HF42" s="2" t="s">
        <v>3</v>
      </c>
      <c r="HG42" s="2"/>
      <c r="HH42" s="2"/>
      <c r="HI42" s="2"/>
      <c r="HJ42" s="2"/>
      <c r="HK42" s="2"/>
      <c r="HL42" s="2"/>
      <c r="HM42" s="2" t="s">
        <v>3</v>
      </c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45" ht="12.75">
      <c r="A43">
        <v>18</v>
      </c>
      <c r="B43">
        <v>1</v>
      </c>
      <c r="C43">
        <v>41</v>
      </c>
      <c r="E43" t="s">
        <v>67</v>
      </c>
      <c r="F43" t="s">
        <v>68</v>
      </c>
      <c r="G43" t="s">
        <v>69</v>
      </c>
      <c r="H43" t="s">
        <v>70</v>
      </c>
      <c r="I43">
        <f>I35*J43</f>
        <v>-0.016399999999999998</v>
      </c>
      <c r="J43">
        <v>-0.039999999999999994</v>
      </c>
      <c r="K43">
        <v>-0.04</v>
      </c>
      <c r="O43">
        <f t="shared" si="21"/>
        <v>-154.73</v>
      </c>
      <c r="P43">
        <f t="shared" si="22"/>
        <v>-154.73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50961513</v>
      </c>
      <c r="AB43">
        <f t="shared" si="32"/>
        <v>1700</v>
      </c>
      <c r="AC43">
        <f t="shared" si="33"/>
        <v>1700</v>
      </c>
      <c r="AD43">
        <f t="shared" si="58"/>
        <v>0</v>
      </c>
      <c r="AE43">
        <f t="shared" si="59"/>
        <v>0</v>
      </c>
      <c r="AF43">
        <f t="shared" si="60"/>
        <v>0</v>
      </c>
      <c r="AG43">
        <f t="shared" si="34"/>
        <v>0</v>
      </c>
      <c r="AH43">
        <f t="shared" si="61"/>
        <v>0</v>
      </c>
      <c r="AI43">
        <f t="shared" si="62"/>
        <v>0</v>
      </c>
      <c r="AJ43">
        <f t="shared" si="35"/>
        <v>0</v>
      </c>
      <c r="AK43">
        <v>1700</v>
      </c>
      <c r="AL43">
        <v>1700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81</v>
      </c>
      <c r="AU43">
        <v>72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5.55</v>
      </c>
      <c r="BH43">
        <v>3</v>
      </c>
      <c r="BI43">
        <v>1</v>
      </c>
      <c r="BJ43" t="s">
        <v>71</v>
      </c>
      <c r="BM43">
        <v>9001</v>
      </c>
      <c r="BN43">
        <v>0</v>
      </c>
      <c r="BO43" t="s">
        <v>68</v>
      </c>
      <c r="BP43">
        <v>1</v>
      </c>
      <c r="BQ43">
        <v>23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90</v>
      </c>
      <c r="CA43">
        <v>85</v>
      </c>
      <c r="CE43">
        <v>0</v>
      </c>
      <c r="CF43">
        <v>0</v>
      </c>
      <c r="CG43">
        <v>0</v>
      </c>
      <c r="CM43">
        <v>0</v>
      </c>
      <c r="CO43">
        <v>0</v>
      </c>
      <c r="CP43">
        <f t="shared" si="36"/>
        <v>-154.73</v>
      </c>
      <c r="CQ43">
        <f t="shared" si="37"/>
        <v>9435</v>
      </c>
      <c r="CR43">
        <f t="shared" si="38"/>
        <v>0</v>
      </c>
      <c r="CS43">
        <f t="shared" si="39"/>
        <v>0</v>
      </c>
      <c r="CT43">
        <f t="shared" si="40"/>
        <v>0</v>
      </c>
      <c r="CU43">
        <f t="shared" si="41"/>
        <v>0</v>
      </c>
      <c r="CV43">
        <f t="shared" si="42"/>
        <v>0</v>
      </c>
      <c r="CW43">
        <f t="shared" si="43"/>
        <v>0</v>
      </c>
      <c r="CX43">
        <f t="shared" si="44"/>
        <v>0</v>
      </c>
      <c r="CY43">
        <f t="shared" si="45"/>
        <v>0</v>
      </c>
      <c r="CZ43">
        <f t="shared" si="46"/>
        <v>0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70</v>
      </c>
      <c r="DW43" t="s">
        <v>70</v>
      </c>
      <c r="DX43">
        <v>1</v>
      </c>
      <c r="EE43">
        <v>49315466</v>
      </c>
      <c r="EF43">
        <v>23</v>
      </c>
      <c r="EG43" t="s">
        <v>55</v>
      </c>
      <c r="EH43">
        <v>0</v>
      </c>
      <c r="EJ43">
        <v>1</v>
      </c>
      <c r="EK43">
        <v>9001</v>
      </c>
      <c r="EL43" t="s">
        <v>56</v>
      </c>
      <c r="EM43" t="s">
        <v>57</v>
      </c>
      <c r="EQ43">
        <v>0</v>
      </c>
      <c r="ER43">
        <v>1700</v>
      </c>
      <c r="ES43">
        <v>1700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7"/>
        <v>0</v>
      </c>
      <c r="FS43">
        <v>0</v>
      </c>
      <c r="FT43" t="s">
        <v>37</v>
      </c>
      <c r="FU43" t="s">
        <v>38</v>
      </c>
      <c r="FX43">
        <v>81</v>
      </c>
      <c r="FY43">
        <v>72.25</v>
      </c>
      <c r="GD43">
        <v>1</v>
      </c>
      <c r="GF43">
        <v>-130131740</v>
      </c>
      <c r="GG43">
        <v>2</v>
      </c>
      <c r="GH43">
        <v>1</v>
      </c>
      <c r="GI43">
        <v>2</v>
      </c>
      <c r="GJ43">
        <v>0</v>
      </c>
      <c r="GK43">
        <v>0</v>
      </c>
      <c r="GL43">
        <f t="shared" si="48"/>
        <v>0</v>
      </c>
      <c r="GM43">
        <f t="shared" si="49"/>
        <v>-154.73</v>
      </c>
      <c r="GN43">
        <f t="shared" si="50"/>
        <v>-154.73</v>
      </c>
      <c r="GO43">
        <f t="shared" si="51"/>
        <v>0</v>
      </c>
      <c r="GP43">
        <f t="shared" si="52"/>
        <v>0</v>
      </c>
      <c r="GR43">
        <v>0</v>
      </c>
      <c r="GS43">
        <v>3</v>
      </c>
      <c r="GT43">
        <v>0</v>
      </c>
      <c r="GV43">
        <f t="shared" si="53"/>
        <v>0</v>
      </c>
      <c r="GW43">
        <v>1</v>
      </c>
      <c r="GX43">
        <f t="shared" si="54"/>
        <v>0</v>
      </c>
      <c r="HA43">
        <v>0</v>
      </c>
      <c r="HB43">
        <v>0</v>
      </c>
      <c r="HC43">
        <f t="shared" si="55"/>
        <v>0</v>
      </c>
      <c r="IK43">
        <v>0</v>
      </c>
    </row>
    <row r="44" spans="1:255" ht="12.75">
      <c r="A44" s="2">
        <v>18</v>
      </c>
      <c r="B44" s="2">
        <v>1</v>
      </c>
      <c r="C44" s="2">
        <v>28</v>
      </c>
      <c r="D44" s="2"/>
      <c r="E44" s="2" t="s">
        <v>72</v>
      </c>
      <c r="F44" s="2" t="s">
        <v>73</v>
      </c>
      <c r="G44" s="2" t="s">
        <v>74</v>
      </c>
      <c r="H44" s="2" t="s">
        <v>75</v>
      </c>
      <c r="I44" s="2">
        <f>I34*J44</f>
        <v>-0.082</v>
      </c>
      <c r="J44" s="2">
        <v>-0.2</v>
      </c>
      <c r="K44" s="2">
        <v>-0.2</v>
      </c>
      <c r="L44" s="2"/>
      <c r="M44" s="2"/>
      <c r="N44" s="2"/>
      <c r="O44" s="2">
        <f t="shared" si="21"/>
        <v>-4.12</v>
      </c>
      <c r="P44" s="2">
        <f t="shared" si="22"/>
        <v>-4.12</v>
      </c>
      <c r="Q44" s="2">
        <f t="shared" si="23"/>
        <v>0</v>
      </c>
      <c r="R44" s="2">
        <f t="shared" si="24"/>
        <v>0</v>
      </c>
      <c r="S44" s="2">
        <f t="shared" si="25"/>
        <v>0</v>
      </c>
      <c r="T44" s="2">
        <f t="shared" si="26"/>
        <v>0</v>
      </c>
      <c r="U44" s="2">
        <f t="shared" si="27"/>
        <v>0</v>
      </c>
      <c r="V44" s="2">
        <f t="shared" si="28"/>
        <v>0</v>
      </c>
      <c r="W44" s="2">
        <f t="shared" si="29"/>
        <v>0</v>
      </c>
      <c r="X44" s="2">
        <f t="shared" si="30"/>
        <v>0</v>
      </c>
      <c r="Y44" s="2">
        <f t="shared" si="31"/>
        <v>0</v>
      </c>
      <c r="Z44" s="2"/>
      <c r="AA44" s="2">
        <v>50947576</v>
      </c>
      <c r="AB44" s="2">
        <f t="shared" si="32"/>
        <v>50.24</v>
      </c>
      <c r="AC44" s="2">
        <f t="shared" si="33"/>
        <v>50.24</v>
      </c>
      <c r="AD44" s="2">
        <f t="shared" si="58"/>
        <v>0</v>
      </c>
      <c r="AE44" s="2">
        <f t="shared" si="59"/>
        <v>0</v>
      </c>
      <c r="AF44" s="2">
        <f t="shared" si="60"/>
        <v>0</v>
      </c>
      <c r="AG44" s="2">
        <f t="shared" si="34"/>
        <v>0</v>
      </c>
      <c r="AH44" s="2">
        <f t="shared" si="61"/>
        <v>0</v>
      </c>
      <c r="AI44" s="2">
        <f t="shared" si="62"/>
        <v>0</v>
      </c>
      <c r="AJ44" s="2">
        <f t="shared" si="35"/>
        <v>0</v>
      </c>
      <c r="AK44" s="2">
        <v>50.24</v>
      </c>
      <c r="AL44" s="2">
        <v>50.24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81</v>
      </c>
      <c r="AU44" s="2">
        <v>72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76</v>
      </c>
      <c r="BK44" s="2"/>
      <c r="BL44" s="2"/>
      <c r="BM44" s="2">
        <v>9001</v>
      </c>
      <c r="BN44" s="2">
        <v>0</v>
      </c>
      <c r="BO44" s="2" t="s">
        <v>3</v>
      </c>
      <c r="BP44" s="2">
        <v>0</v>
      </c>
      <c r="BQ44" s="2">
        <v>23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90</v>
      </c>
      <c r="CA44" s="2">
        <v>85</v>
      </c>
      <c r="CB44" s="2" t="s">
        <v>3</v>
      </c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6"/>
        <v>-4.12</v>
      </c>
      <c r="CQ44" s="2">
        <f t="shared" si="37"/>
        <v>50.24</v>
      </c>
      <c r="CR44" s="2">
        <f t="shared" si="38"/>
        <v>0</v>
      </c>
      <c r="CS44" s="2">
        <f t="shared" si="39"/>
        <v>0</v>
      </c>
      <c r="CT44" s="2">
        <f t="shared" si="40"/>
        <v>0</v>
      </c>
      <c r="CU44" s="2">
        <f t="shared" si="41"/>
        <v>0</v>
      </c>
      <c r="CV44" s="2">
        <f t="shared" si="42"/>
        <v>0</v>
      </c>
      <c r="CW44" s="2">
        <f t="shared" si="43"/>
        <v>0</v>
      </c>
      <c r="CX44" s="2">
        <f t="shared" si="44"/>
        <v>0</v>
      </c>
      <c r="CY44" s="2">
        <f t="shared" si="45"/>
        <v>0</v>
      </c>
      <c r="CZ44" s="2">
        <f t="shared" si="46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75</v>
      </c>
      <c r="DW44" s="2" t="s">
        <v>75</v>
      </c>
      <c r="DX44" s="2">
        <v>10</v>
      </c>
      <c r="DY44" s="2"/>
      <c r="DZ44" s="2" t="s">
        <v>3</v>
      </c>
      <c r="EA44" s="2" t="s">
        <v>3</v>
      </c>
      <c r="EB44" s="2" t="s">
        <v>3</v>
      </c>
      <c r="EC44" s="2" t="s">
        <v>3</v>
      </c>
      <c r="ED44" s="2"/>
      <c r="EE44" s="2">
        <v>49315466</v>
      </c>
      <c r="EF44" s="2">
        <v>23</v>
      </c>
      <c r="EG44" s="2" t="s">
        <v>55</v>
      </c>
      <c r="EH44" s="2">
        <v>0</v>
      </c>
      <c r="EI44" s="2" t="s">
        <v>3</v>
      </c>
      <c r="EJ44" s="2">
        <v>1</v>
      </c>
      <c r="EK44" s="2">
        <v>9001</v>
      </c>
      <c r="EL44" s="2" t="s">
        <v>56</v>
      </c>
      <c r="EM44" s="2" t="s">
        <v>57</v>
      </c>
      <c r="EN44" s="2"/>
      <c r="EO44" s="2" t="s">
        <v>3</v>
      </c>
      <c r="EP44" s="2"/>
      <c r="EQ44" s="2">
        <v>0</v>
      </c>
      <c r="ER44" s="2">
        <v>50.24</v>
      </c>
      <c r="ES44" s="2">
        <v>50.24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7"/>
        <v>0</v>
      </c>
      <c r="FS44" s="2">
        <v>0</v>
      </c>
      <c r="FT44" s="2" t="s">
        <v>37</v>
      </c>
      <c r="FU44" s="2" t="s">
        <v>38</v>
      </c>
      <c r="FV44" s="2"/>
      <c r="FW44" s="2"/>
      <c r="FX44" s="2">
        <v>81</v>
      </c>
      <c r="FY44" s="2">
        <v>72.25</v>
      </c>
      <c r="FZ44" s="2"/>
      <c r="GA44" s="2" t="s">
        <v>3</v>
      </c>
      <c r="GB44" s="2"/>
      <c r="GC44" s="2"/>
      <c r="GD44" s="2">
        <v>1</v>
      </c>
      <c r="GE44" s="2"/>
      <c r="GF44" s="2">
        <v>660380256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8"/>
        <v>0</v>
      </c>
      <c r="GM44" s="2">
        <f t="shared" si="49"/>
        <v>-4.12</v>
      </c>
      <c r="GN44" s="2">
        <f t="shared" si="50"/>
        <v>-4.12</v>
      </c>
      <c r="GO44" s="2">
        <f t="shared" si="51"/>
        <v>0</v>
      </c>
      <c r="GP44" s="2">
        <f t="shared" si="52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3"/>
        <v>0</v>
      </c>
      <c r="GW44" s="2">
        <v>1</v>
      </c>
      <c r="GX44" s="2">
        <f t="shared" si="54"/>
        <v>0</v>
      </c>
      <c r="GY44" s="2"/>
      <c r="GZ44" s="2"/>
      <c r="HA44" s="2">
        <v>0</v>
      </c>
      <c r="HB44" s="2">
        <v>0</v>
      </c>
      <c r="HC44" s="2">
        <f t="shared" si="55"/>
        <v>0</v>
      </c>
      <c r="HD44" s="2"/>
      <c r="HE44" s="2" t="s">
        <v>3</v>
      </c>
      <c r="HF44" s="2" t="s">
        <v>3</v>
      </c>
      <c r="HG44" s="2"/>
      <c r="HH44" s="2"/>
      <c r="HI44" s="2"/>
      <c r="HJ44" s="2"/>
      <c r="HK44" s="2"/>
      <c r="HL44" s="2"/>
      <c r="HM44" s="2" t="s">
        <v>3</v>
      </c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45" ht="12.75">
      <c r="A45">
        <v>18</v>
      </c>
      <c r="B45">
        <v>1</v>
      </c>
      <c r="C45">
        <v>40</v>
      </c>
      <c r="E45" t="s">
        <v>72</v>
      </c>
      <c r="F45" t="s">
        <v>73</v>
      </c>
      <c r="G45" t="s">
        <v>74</v>
      </c>
      <c r="H45" t="s">
        <v>75</v>
      </c>
      <c r="I45">
        <f>I35*J45</f>
        <v>-0.082</v>
      </c>
      <c r="J45">
        <v>-0.2</v>
      </c>
      <c r="K45">
        <v>-0.2</v>
      </c>
      <c r="O45">
        <f t="shared" si="21"/>
        <v>-25.09</v>
      </c>
      <c r="P45">
        <f t="shared" si="22"/>
        <v>-25.09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50961513</v>
      </c>
      <c r="AB45">
        <f t="shared" si="32"/>
        <v>50.24</v>
      </c>
      <c r="AC45">
        <f t="shared" si="33"/>
        <v>50.24</v>
      </c>
      <c r="AD45">
        <f t="shared" si="58"/>
        <v>0</v>
      </c>
      <c r="AE45">
        <f t="shared" si="59"/>
        <v>0</v>
      </c>
      <c r="AF45">
        <f t="shared" si="60"/>
        <v>0</v>
      </c>
      <c r="AG45">
        <f t="shared" si="34"/>
        <v>0</v>
      </c>
      <c r="AH45">
        <f t="shared" si="61"/>
        <v>0</v>
      </c>
      <c r="AI45">
        <f t="shared" si="62"/>
        <v>0</v>
      </c>
      <c r="AJ45">
        <f t="shared" si="35"/>
        <v>0</v>
      </c>
      <c r="AK45">
        <v>50.24</v>
      </c>
      <c r="AL45">
        <v>50.24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81</v>
      </c>
      <c r="AU45">
        <v>72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6.09</v>
      </c>
      <c r="BH45">
        <v>3</v>
      </c>
      <c r="BI45">
        <v>1</v>
      </c>
      <c r="BJ45" t="s">
        <v>76</v>
      </c>
      <c r="BM45">
        <v>9001</v>
      </c>
      <c r="BN45">
        <v>0</v>
      </c>
      <c r="BO45" t="s">
        <v>73</v>
      </c>
      <c r="BP45">
        <v>1</v>
      </c>
      <c r="BQ45">
        <v>23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90</v>
      </c>
      <c r="CA45">
        <v>85</v>
      </c>
      <c r="CE45">
        <v>0</v>
      </c>
      <c r="CF45">
        <v>0</v>
      </c>
      <c r="CG45">
        <v>0</v>
      </c>
      <c r="CM45">
        <v>0</v>
      </c>
      <c r="CO45">
        <v>0</v>
      </c>
      <c r="CP45">
        <f t="shared" si="36"/>
        <v>-25.09</v>
      </c>
      <c r="CQ45">
        <f t="shared" si="37"/>
        <v>305.96160000000003</v>
      </c>
      <c r="CR45">
        <f t="shared" si="38"/>
        <v>0</v>
      </c>
      <c r="CS45">
        <f t="shared" si="39"/>
        <v>0</v>
      </c>
      <c r="CT45">
        <f t="shared" si="40"/>
        <v>0</v>
      </c>
      <c r="CU45">
        <f t="shared" si="41"/>
        <v>0</v>
      </c>
      <c r="CV45">
        <f t="shared" si="42"/>
        <v>0</v>
      </c>
      <c r="CW45">
        <f t="shared" si="43"/>
        <v>0</v>
      </c>
      <c r="CX45">
        <f t="shared" si="44"/>
        <v>0</v>
      </c>
      <c r="CY45">
        <f t="shared" si="45"/>
        <v>0</v>
      </c>
      <c r="CZ45">
        <f t="shared" si="46"/>
        <v>0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75</v>
      </c>
      <c r="DW45" t="s">
        <v>75</v>
      </c>
      <c r="DX45">
        <v>10</v>
      </c>
      <c r="EE45">
        <v>49315466</v>
      </c>
      <c r="EF45">
        <v>23</v>
      </c>
      <c r="EG45" t="s">
        <v>55</v>
      </c>
      <c r="EH45">
        <v>0</v>
      </c>
      <c r="EJ45">
        <v>1</v>
      </c>
      <c r="EK45">
        <v>9001</v>
      </c>
      <c r="EL45" t="s">
        <v>56</v>
      </c>
      <c r="EM45" t="s">
        <v>57</v>
      </c>
      <c r="EQ45">
        <v>0</v>
      </c>
      <c r="ER45">
        <v>50.24</v>
      </c>
      <c r="ES45">
        <v>50.24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7"/>
        <v>0</v>
      </c>
      <c r="FS45">
        <v>0</v>
      </c>
      <c r="FT45" t="s">
        <v>37</v>
      </c>
      <c r="FU45" t="s">
        <v>38</v>
      </c>
      <c r="FX45">
        <v>81</v>
      </c>
      <c r="FY45">
        <v>72.25</v>
      </c>
      <c r="GD45">
        <v>1</v>
      </c>
      <c r="GF45">
        <v>660380256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48"/>
        <v>0</v>
      </c>
      <c r="GM45">
        <f t="shared" si="49"/>
        <v>-25.09</v>
      </c>
      <c r="GN45">
        <f t="shared" si="50"/>
        <v>-25.09</v>
      </c>
      <c r="GO45">
        <f t="shared" si="51"/>
        <v>0</v>
      </c>
      <c r="GP45">
        <f t="shared" si="52"/>
        <v>0</v>
      </c>
      <c r="GR45">
        <v>0</v>
      </c>
      <c r="GS45">
        <v>3</v>
      </c>
      <c r="GT45">
        <v>0</v>
      </c>
      <c r="GV45">
        <f t="shared" si="53"/>
        <v>0</v>
      </c>
      <c r="GW45">
        <v>1</v>
      </c>
      <c r="GX45">
        <f t="shared" si="54"/>
        <v>0</v>
      </c>
      <c r="HA45">
        <v>0</v>
      </c>
      <c r="HB45">
        <v>0</v>
      </c>
      <c r="HC45">
        <f t="shared" si="55"/>
        <v>0</v>
      </c>
      <c r="IK45">
        <v>0</v>
      </c>
    </row>
    <row r="46" spans="1:255" ht="12.75">
      <c r="A46" s="2">
        <v>18</v>
      </c>
      <c r="B46" s="2">
        <v>1</v>
      </c>
      <c r="C46" s="2">
        <v>27</v>
      </c>
      <c r="D46" s="2"/>
      <c r="E46" s="2" t="s">
        <v>77</v>
      </c>
      <c r="F46" s="2" t="s">
        <v>78</v>
      </c>
      <c r="G46" s="2" t="s">
        <v>79</v>
      </c>
      <c r="H46" s="2" t="s">
        <v>50</v>
      </c>
      <c r="I46" s="2">
        <f>I34*J46</f>
        <v>-0.008199999999999999</v>
      </c>
      <c r="J46" s="2">
        <v>-0.019999999999999997</v>
      </c>
      <c r="K46" s="2">
        <v>-0.02</v>
      </c>
      <c r="L46" s="2"/>
      <c r="M46" s="2"/>
      <c r="N46" s="2"/>
      <c r="O46" s="2">
        <f t="shared" si="21"/>
        <v>-63.24</v>
      </c>
      <c r="P46" s="2">
        <f t="shared" si="22"/>
        <v>-63.24</v>
      </c>
      <c r="Q46" s="2">
        <f t="shared" si="23"/>
        <v>0</v>
      </c>
      <c r="R46" s="2">
        <f t="shared" si="24"/>
        <v>0</v>
      </c>
      <c r="S46" s="2">
        <f t="shared" si="25"/>
        <v>0</v>
      </c>
      <c r="T46" s="2">
        <f t="shared" si="26"/>
        <v>0</v>
      </c>
      <c r="U46" s="2">
        <f t="shared" si="27"/>
        <v>0</v>
      </c>
      <c r="V46" s="2">
        <f t="shared" si="28"/>
        <v>0</v>
      </c>
      <c r="W46" s="2">
        <f t="shared" si="29"/>
        <v>0</v>
      </c>
      <c r="X46" s="2">
        <f t="shared" si="30"/>
        <v>0</v>
      </c>
      <c r="Y46" s="2">
        <f t="shared" si="31"/>
        <v>0</v>
      </c>
      <c r="Z46" s="2"/>
      <c r="AA46" s="2">
        <v>50947576</v>
      </c>
      <c r="AB46" s="2">
        <f t="shared" si="32"/>
        <v>7712</v>
      </c>
      <c r="AC46" s="2">
        <f t="shared" si="33"/>
        <v>7712</v>
      </c>
      <c r="AD46" s="2">
        <f t="shared" si="58"/>
        <v>0</v>
      </c>
      <c r="AE46" s="2">
        <f t="shared" si="59"/>
        <v>0</v>
      </c>
      <c r="AF46" s="2">
        <f t="shared" si="60"/>
        <v>0</v>
      </c>
      <c r="AG46" s="2">
        <f t="shared" si="34"/>
        <v>0</v>
      </c>
      <c r="AH46" s="2">
        <f t="shared" si="61"/>
        <v>0</v>
      </c>
      <c r="AI46" s="2">
        <f t="shared" si="62"/>
        <v>0</v>
      </c>
      <c r="AJ46" s="2">
        <f t="shared" si="35"/>
        <v>0</v>
      </c>
      <c r="AK46" s="2">
        <v>7712</v>
      </c>
      <c r="AL46" s="2">
        <v>7712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81</v>
      </c>
      <c r="AU46" s="2">
        <v>72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80</v>
      </c>
      <c r="BK46" s="2"/>
      <c r="BL46" s="2"/>
      <c r="BM46" s="2">
        <v>9001</v>
      </c>
      <c r="BN46" s="2">
        <v>0</v>
      </c>
      <c r="BO46" s="2" t="s">
        <v>3</v>
      </c>
      <c r="BP46" s="2">
        <v>0</v>
      </c>
      <c r="BQ46" s="2">
        <v>23</v>
      </c>
      <c r="BR46" s="2">
        <v>1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90</v>
      </c>
      <c r="CA46" s="2">
        <v>85</v>
      </c>
      <c r="CB46" s="2" t="s">
        <v>3</v>
      </c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6"/>
        <v>-63.24</v>
      </c>
      <c r="CQ46" s="2">
        <f t="shared" si="37"/>
        <v>7712</v>
      </c>
      <c r="CR46" s="2">
        <f t="shared" si="38"/>
        <v>0</v>
      </c>
      <c r="CS46" s="2">
        <f t="shared" si="39"/>
        <v>0</v>
      </c>
      <c r="CT46" s="2">
        <f t="shared" si="40"/>
        <v>0</v>
      </c>
      <c r="CU46" s="2">
        <f t="shared" si="41"/>
        <v>0</v>
      </c>
      <c r="CV46" s="2">
        <f t="shared" si="42"/>
        <v>0</v>
      </c>
      <c r="CW46" s="2">
        <f t="shared" si="43"/>
        <v>0</v>
      </c>
      <c r="CX46" s="2">
        <f t="shared" si="44"/>
        <v>0</v>
      </c>
      <c r="CY46" s="2">
        <f t="shared" si="45"/>
        <v>0</v>
      </c>
      <c r="CZ46" s="2">
        <f t="shared" si="46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50</v>
      </c>
      <c r="DW46" s="2" t="s">
        <v>50</v>
      </c>
      <c r="DX46" s="2">
        <v>1000</v>
      </c>
      <c r="DY46" s="2"/>
      <c r="DZ46" s="2" t="s">
        <v>3</v>
      </c>
      <c r="EA46" s="2" t="s">
        <v>3</v>
      </c>
      <c r="EB46" s="2" t="s">
        <v>3</v>
      </c>
      <c r="EC46" s="2" t="s">
        <v>3</v>
      </c>
      <c r="ED46" s="2"/>
      <c r="EE46" s="2">
        <v>49315466</v>
      </c>
      <c r="EF46" s="2">
        <v>23</v>
      </c>
      <c r="EG46" s="2" t="s">
        <v>55</v>
      </c>
      <c r="EH46" s="2">
        <v>0</v>
      </c>
      <c r="EI46" s="2" t="s">
        <v>3</v>
      </c>
      <c r="EJ46" s="2">
        <v>1</v>
      </c>
      <c r="EK46" s="2">
        <v>9001</v>
      </c>
      <c r="EL46" s="2" t="s">
        <v>56</v>
      </c>
      <c r="EM46" s="2" t="s">
        <v>57</v>
      </c>
      <c r="EN46" s="2"/>
      <c r="EO46" s="2" t="s">
        <v>3</v>
      </c>
      <c r="EP46" s="2"/>
      <c r="EQ46" s="2">
        <v>0</v>
      </c>
      <c r="ER46" s="2">
        <v>7712</v>
      </c>
      <c r="ES46" s="2">
        <v>7712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7"/>
        <v>0</v>
      </c>
      <c r="FS46" s="2">
        <v>0</v>
      </c>
      <c r="FT46" s="2" t="s">
        <v>37</v>
      </c>
      <c r="FU46" s="2" t="s">
        <v>38</v>
      </c>
      <c r="FV46" s="2"/>
      <c r="FW46" s="2"/>
      <c r="FX46" s="2">
        <v>81</v>
      </c>
      <c r="FY46" s="2">
        <v>72.25</v>
      </c>
      <c r="FZ46" s="2"/>
      <c r="GA46" s="2" t="s">
        <v>3</v>
      </c>
      <c r="GB46" s="2"/>
      <c r="GC46" s="2"/>
      <c r="GD46" s="2">
        <v>1</v>
      </c>
      <c r="GE46" s="2"/>
      <c r="GF46" s="2">
        <v>1195780435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8"/>
        <v>0</v>
      </c>
      <c r="GM46" s="2">
        <f t="shared" si="49"/>
        <v>-63.24</v>
      </c>
      <c r="GN46" s="2">
        <f t="shared" si="50"/>
        <v>-63.24</v>
      </c>
      <c r="GO46" s="2">
        <f t="shared" si="51"/>
        <v>0</v>
      </c>
      <c r="GP46" s="2">
        <f t="shared" si="52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3"/>
        <v>0</v>
      </c>
      <c r="GW46" s="2">
        <v>1</v>
      </c>
      <c r="GX46" s="2">
        <f t="shared" si="54"/>
        <v>0</v>
      </c>
      <c r="GY46" s="2"/>
      <c r="GZ46" s="2"/>
      <c r="HA46" s="2">
        <v>0</v>
      </c>
      <c r="HB46" s="2">
        <v>0</v>
      </c>
      <c r="HC46" s="2">
        <f t="shared" si="55"/>
        <v>0</v>
      </c>
      <c r="HD46" s="2"/>
      <c r="HE46" s="2" t="s">
        <v>3</v>
      </c>
      <c r="HF46" s="2" t="s">
        <v>3</v>
      </c>
      <c r="HG46" s="2"/>
      <c r="HH46" s="2"/>
      <c r="HI46" s="2"/>
      <c r="HJ46" s="2"/>
      <c r="HK46" s="2"/>
      <c r="HL46" s="2"/>
      <c r="HM46" s="2" t="s">
        <v>3</v>
      </c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45" ht="12.75">
      <c r="A47">
        <v>18</v>
      </c>
      <c r="B47">
        <v>1</v>
      </c>
      <c r="C47">
        <v>39</v>
      </c>
      <c r="E47" t="s">
        <v>77</v>
      </c>
      <c r="F47" t="s">
        <v>78</v>
      </c>
      <c r="G47" t="s">
        <v>79</v>
      </c>
      <c r="H47" t="s">
        <v>50</v>
      </c>
      <c r="I47">
        <f>I35*J47</f>
        <v>-0.008199999999999999</v>
      </c>
      <c r="J47">
        <v>-0.019999999999999997</v>
      </c>
      <c r="K47">
        <v>-0.02</v>
      </c>
      <c r="O47">
        <f t="shared" si="21"/>
        <v>-560.92</v>
      </c>
      <c r="P47">
        <f t="shared" si="22"/>
        <v>-560.92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50961513</v>
      </c>
      <c r="AB47">
        <f t="shared" si="32"/>
        <v>7712</v>
      </c>
      <c r="AC47">
        <f t="shared" si="33"/>
        <v>7712</v>
      </c>
      <c r="AD47">
        <f t="shared" si="58"/>
        <v>0</v>
      </c>
      <c r="AE47">
        <f t="shared" si="59"/>
        <v>0</v>
      </c>
      <c r="AF47">
        <f t="shared" si="60"/>
        <v>0</v>
      </c>
      <c r="AG47">
        <f t="shared" si="34"/>
        <v>0</v>
      </c>
      <c r="AH47">
        <f t="shared" si="61"/>
        <v>0</v>
      </c>
      <c r="AI47">
        <f t="shared" si="62"/>
        <v>0</v>
      </c>
      <c r="AJ47">
        <f t="shared" si="35"/>
        <v>0</v>
      </c>
      <c r="AK47">
        <v>7712</v>
      </c>
      <c r="AL47">
        <v>7712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81</v>
      </c>
      <c r="AU47">
        <v>72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8.87</v>
      </c>
      <c r="BH47">
        <v>3</v>
      </c>
      <c r="BI47">
        <v>1</v>
      </c>
      <c r="BJ47" t="s">
        <v>80</v>
      </c>
      <c r="BM47">
        <v>9001</v>
      </c>
      <c r="BN47">
        <v>0</v>
      </c>
      <c r="BO47" t="s">
        <v>78</v>
      </c>
      <c r="BP47">
        <v>1</v>
      </c>
      <c r="BQ47">
        <v>23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90</v>
      </c>
      <c r="CA47">
        <v>85</v>
      </c>
      <c r="CE47">
        <v>0</v>
      </c>
      <c r="CF47">
        <v>0</v>
      </c>
      <c r="CG47">
        <v>0</v>
      </c>
      <c r="CM47">
        <v>0</v>
      </c>
      <c r="CO47">
        <v>0</v>
      </c>
      <c r="CP47">
        <f t="shared" si="36"/>
        <v>-560.92</v>
      </c>
      <c r="CQ47">
        <f t="shared" si="37"/>
        <v>68405.43999999999</v>
      </c>
      <c r="CR47">
        <f t="shared" si="38"/>
        <v>0</v>
      </c>
      <c r="CS47">
        <f t="shared" si="39"/>
        <v>0</v>
      </c>
      <c r="CT47">
        <f t="shared" si="40"/>
        <v>0</v>
      </c>
      <c r="CU47">
        <f t="shared" si="41"/>
        <v>0</v>
      </c>
      <c r="CV47">
        <f t="shared" si="42"/>
        <v>0</v>
      </c>
      <c r="CW47">
        <f t="shared" si="43"/>
        <v>0</v>
      </c>
      <c r="CX47">
        <f t="shared" si="44"/>
        <v>0</v>
      </c>
      <c r="CY47">
        <f t="shared" si="45"/>
        <v>0</v>
      </c>
      <c r="CZ47">
        <f t="shared" si="46"/>
        <v>0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50</v>
      </c>
      <c r="DW47" t="s">
        <v>50</v>
      </c>
      <c r="DX47">
        <v>1000</v>
      </c>
      <c r="EE47">
        <v>49315466</v>
      </c>
      <c r="EF47">
        <v>23</v>
      </c>
      <c r="EG47" t="s">
        <v>55</v>
      </c>
      <c r="EH47">
        <v>0</v>
      </c>
      <c r="EJ47">
        <v>1</v>
      </c>
      <c r="EK47">
        <v>9001</v>
      </c>
      <c r="EL47" t="s">
        <v>56</v>
      </c>
      <c r="EM47" t="s">
        <v>57</v>
      </c>
      <c r="EQ47">
        <v>0</v>
      </c>
      <c r="ER47">
        <v>7712</v>
      </c>
      <c r="ES47">
        <v>7712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7"/>
        <v>0</v>
      </c>
      <c r="FS47">
        <v>0</v>
      </c>
      <c r="FT47" t="s">
        <v>37</v>
      </c>
      <c r="FU47" t="s">
        <v>38</v>
      </c>
      <c r="FX47">
        <v>81</v>
      </c>
      <c r="FY47">
        <v>72.25</v>
      </c>
      <c r="GD47">
        <v>1</v>
      </c>
      <c r="GF47">
        <v>1195780435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48"/>
        <v>0</v>
      </c>
      <c r="GM47">
        <f t="shared" si="49"/>
        <v>-560.92</v>
      </c>
      <c r="GN47">
        <f t="shared" si="50"/>
        <v>-560.92</v>
      </c>
      <c r="GO47">
        <f t="shared" si="51"/>
        <v>0</v>
      </c>
      <c r="GP47">
        <f t="shared" si="52"/>
        <v>0</v>
      </c>
      <c r="GR47">
        <v>0</v>
      </c>
      <c r="GS47">
        <v>3</v>
      </c>
      <c r="GT47">
        <v>0</v>
      </c>
      <c r="GV47">
        <f t="shared" si="53"/>
        <v>0</v>
      </c>
      <c r="GW47">
        <v>1</v>
      </c>
      <c r="GX47">
        <f t="shared" si="54"/>
        <v>0</v>
      </c>
      <c r="HA47">
        <v>0</v>
      </c>
      <c r="HB47">
        <v>0</v>
      </c>
      <c r="HC47">
        <f t="shared" si="55"/>
        <v>0</v>
      </c>
      <c r="IK47">
        <v>0</v>
      </c>
    </row>
    <row r="48" spans="1:255" ht="12.75">
      <c r="A48" s="2">
        <v>18</v>
      </c>
      <c r="B48" s="2">
        <v>1</v>
      </c>
      <c r="C48" s="2">
        <v>26</v>
      </c>
      <c r="D48" s="2"/>
      <c r="E48" s="2" t="s">
        <v>81</v>
      </c>
      <c r="F48" s="2" t="s">
        <v>82</v>
      </c>
      <c r="G48" s="2" t="s">
        <v>83</v>
      </c>
      <c r="H48" s="2" t="s">
        <v>50</v>
      </c>
      <c r="I48" s="2">
        <f>I34*J48</f>
        <v>-0.00047149999999999997</v>
      </c>
      <c r="J48" s="2">
        <v>-0.00115</v>
      </c>
      <c r="K48" s="2">
        <v>-0.00115</v>
      </c>
      <c r="L48" s="2"/>
      <c r="M48" s="2"/>
      <c r="N48" s="2"/>
      <c r="O48" s="2">
        <f t="shared" si="21"/>
        <v>-17.87</v>
      </c>
      <c r="P48" s="2">
        <f t="shared" si="22"/>
        <v>-17.87</v>
      </c>
      <c r="Q48" s="2">
        <f t="shared" si="23"/>
        <v>0</v>
      </c>
      <c r="R48" s="2">
        <f t="shared" si="24"/>
        <v>0</v>
      </c>
      <c r="S48" s="2">
        <f t="shared" si="25"/>
        <v>0</v>
      </c>
      <c r="T48" s="2">
        <f t="shared" si="26"/>
        <v>0</v>
      </c>
      <c r="U48" s="2">
        <f t="shared" si="27"/>
        <v>0</v>
      </c>
      <c r="V48" s="2">
        <f t="shared" si="28"/>
        <v>0</v>
      </c>
      <c r="W48" s="2">
        <f t="shared" si="29"/>
        <v>0</v>
      </c>
      <c r="X48" s="2">
        <f t="shared" si="30"/>
        <v>0</v>
      </c>
      <c r="Y48" s="2">
        <f t="shared" si="31"/>
        <v>0</v>
      </c>
      <c r="Z48" s="2"/>
      <c r="AA48" s="2">
        <v>50947576</v>
      </c>
      <c r="AB48" s="2">
        <f t="shared" si="32"/>
        <v>37900</v>
      </c>
      <c r="AC48" s="2">
        <f t="shared" si="33"/>
        <v>37900</v>
      </c>
      <c r="AD48" s="2">
        <f t="shared" si="58"/>
        <v>0</v>
      </c>
      <c r="AE48" s="2">
        <f t="shared" si="59"/>
        <v>0</v>
      </c>
      <c r="AF48" s="2">
        <f t="shared" si="60"/>
        <v>0</v>
      </c>
      <c r="AG48" s="2">
        <f t="shared" si="34"/>
        <v>0</v>
      </c>
      <c r="AH48" s="2">
        <f t="shared" si="61"/>
        <v>0</v>
      </c>
      <c r="AI48" s="2">
        <f t="shared" si="62"/>
        <v>0</v>
      </c>
      <c r="AJ48" s="2">
        <f t="shared" si="35"/>
        <v>0</v>
      </c>
      <c r="AK48" s="2">
        <v>37900</v>
      </c>
      <c r="AL48" s="2">
        <v>37900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81</v>
      </c>
      <c r="AU48" s="2">
        <v>72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84</v>
      </c>
      <c r="BK48" s="2"/>
      <c r="BL48" s="2"/>
      <c r="BM48" s="2">
        <v>9001</v>
      </c>
      <c r="BN48" s="2">
        <v>0</v>
      </c>
      <c r="BO48" s="2" t="s">
        <v>3</v>
      </c>
      <c r="BP48" s="2">
        <v>0</v>
      </c>
      <c r="BQ48" s="2">
        <v>23</v>
      </c>
      <c r="BR48" s="2">
        <v>1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90</v>
      </c>
      <c r="CA48" s="2">
        <v>85</v>
      </c>
      <c r="CB48" s="2" t="s">
        <v>3</v>
      </c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6"/>
        <v>-17.87</v>
      </c>
      <c r="CQ48" s="2">
        <f t="shared" si="37"/>
        <v>37900</v>
      </c>
      <c r="CR48" s="2">
        <f t="shared" si="38"/>
        <v>0</v>
      </c>
      <c r="CS48" s="2">
        <f t="shared" si="39"/>
        <v>0</v>
      </c>
      <c r="CT48" s="2">
        <f t="shared" si="40"/>
        <v>0</v>
      </c>
      <c r="CU48" s="2">
        <f t="shared" si="41"/>
        <v>0</v>
      </c>
      <c r="CV48" s="2">
        <f t="shared" si="42"/>
        <v>0</v>
      </c>
      <c r="CW48" s="2">
        <f t="shared" si="43"/>
        <v>0</v>
      </c>
      <c r="CX48" s="2">
        <f t="shared" si="44"/>
        <v>0</v>
      </c>
      <c r="CY48" s="2">
        <f t="shared" si="45"/>
        <v>0</v>
      </c>
      <c r="CZ48" s="2">
        <f t="shared" si="46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50</v>
      </c>
      <c r="DW48" s="2" t="s">
        <v>50</v>
      </c>
      <c r="DX48" s="2">
        <v>1000</v>
      </c>
      <c r="DY48" s="2"/>
      <c r="DZ48" s="2" t="s">
        <v>3</v>
      </c>
      <c r="EA48" s="2" t="s">
        <v>3</v>
      </c>
      <c r="EB48" s="2" t="s">
        <v>3</v>
      </c>
      <c r="EC48" s="2" t="s">
        <v>3</v>
      </c>
      <c r="ED48" s="2"/>
      <c r="EE48" s="2">
        <v>49315466</v>
      </c>
      <c r="EF48" s="2">
        <v>23</v>
      </c>
      <c r="EG48" s="2" t="s">
        <v>55</v>
      </c>
      <c r="EH48" s="2">
        <v>0</v>
      </c>
      <c r="EI48" s="2" t="s">
        <v>3</v>
      </c>
      <c r="EJ48" s="2">
        <v>1</v>
      </c>
      <c r="EK48" s="2">
        <v>9001</v>
      </c>
      <c r="EL48" s="2" t="s">
        <v>56</v>
      </c>
      <c r="EM48" s="2" t="s">
        <v>57</v>
      </c>
      <c r="EN48" s="2"/>
      <c r="EO48" s="2" t="s">
        <v>3</v>
      </c>
      <c r="EP48" s="2"/>
      <c r="EQ48" s="2">
        <v>0</v>
      </c>
      <c r="ER48" s="2">
        <v>37900</v>
      </c>
      <c r="ES48" s="2">
        <v>37900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7"/>
        <v>0</v>
      </c>
      <c r="FS48" s="2">
        <v>0</v>
      </c>
      <c r="FT48" s="2" t="s">
        <v>37</v>
      </c>
      <c r="FU48" s="2" t="s">
        <v>38</v>
      </c>
      <c r="FV48" s="2"/>
      <c r="FW48" s="2"/>
      <c r="FX48" s="2">
        <v>81</v>
      </c>
      <c r="FY48" s="2">
        <v>72.25</v>
      </c>
      <c r="FZ48" s="2"/>
      <c r="GA48" s="2" t="s">
        <v>3</v>
      </c>
      <c r="GB48" s="2"/>
      <c r="GC48" s="2"/>
      <c r="GD48" s="2">
        <v>1</v>
      </c>
      <c r="GE48" s="2"/>
      <c r="GF48" s="2">
        <v>-1908218251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8"/>
        <v>0</v>
      </c>
      <c r="GM48" s="2">
        <f t="shared" si="49"/>
        <v>-17.87</v>
      </c>
      <c r="GN48" s="2">
        <f t="shared" si="50"/>
        <v>-17.87</v>
      </c>
      <c r="GO48" s="2">
        <f t="shared" si="51"/>
        <v>0</v>
      </c>
      <c r="GP48" s="2">
        <f t="shared" si="52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3"/>
        <v>0</v>
      </c>
      <c r="GW48" s="2">
        <v>1</v>
      </c>
      <c r="GX48" s="2">
        <f t="shared" si="54"/>
        <v>0</v>
      </c>
      <c r="GY48" s="2"/>
      <c r="GZ48" s="2"/>
      <c r="HA48" s="2">
        <v>0</v>
      </c>
      <c r="HB48" s="2">
        <v>0</v>
      </c>
      <c r="HC48" s="2">
        <f t="shared" si="55"/>
        <v>0</v>
      </c>
      <c r="HD48" s="2"/>
      <c r="HE48" s="2" t="s">
        <v>3</v>
      </c>
      <c r="HF48" s="2" t="s">
        <v>3</v>
      </c>
      <c r="HG48" s="2"/>
      <c r="HH48" s="2"/>
      <c r="HI48" s="2"/>
      <c r="HJ48" s="2"/>
      <c r="HK48" s="2"/>
      <c r="HL48" s="2"/>
      <c r="HM48" s="2" t="s">
        <v>3</v>
      </c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ht="12.75">
      <c r="A49">
        <v>18</v>
      </c>
      <c r="B49">
        <v>1</v>
      </c>
      <c r="C49">
        <v>38</v>
      </c>
      <c r="E49" t="s">
        <v>81</v>
      </c>
      <c r="F49" t="s">
        <v>82</v>
      </c>
      <c r="G49" t="s">
        <v>83</v>
      </c>
      <c r="H49" t="s">
        <v>50</v>
      </c>
      <c r="I49">
        <f>I35*J49</f>
        <v>-0.00047149999999999997</v>
      </c>
      <c r="J49">
        <v>-0.00115</v>
      </c>
      <c r="K49">
        <v>-0.00115</v>
      </c>
      <c r="O49">
        <f t="shared" si="21"/>
        <v>-82.02</v>
      </c>
      <c r="P49">
        <f t="shared" si="22"/>
        <v>-82.02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50961513</v>
      </c>
      <c r="AB49">
        <f t="shared" si="32"/>
        <v>37900</v>
      </c>
      <c r="AC49">
        <f t="shared" si="33"/>
        <v>37900</v>
      </c>
      <c r="AD49">
        <f t="shared" si="58"/>
        <v>0</v>
      </c>
      <c r="AE49">
        <f t="shared" si="59"/>
        <v>0</v>
      </c>
      <c r="AF49">
        <f t="shared" si="60"/>
        <v>0</v>
      </c>
      <c r="AG49">
        <f t="shared" si="34"/>
        <v>0</v>
      </c>
      <c r="AH49">
        <f t="shared" si="61"/>
        <v>0</v>
      </c>
      <c r="AI49">
        <f t="shared" si="62"/>
        <v>0</v>
      </c>
      <c r="AJ49">
        <f t="shared" si="35"/>
        <v>0</v>
      </c>
      <c r="AK49">
        <v>37900</v>
      </c>
      <c r="AL49">
        <v>37900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81</v>
      </c>
      <c r="AU49">
        <v>72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4.59</v>
      </c>
      <c r="BH49">
        <v>3</v>
      </c>
      <c r="BI49">
        <v>1</v>
      </c>
      <c r="BJ49" t="s">
        <v>84</v>
      </c>
      <c r="BM49">
        <v>9001</v>
      </c>
      <c r="BN49">
        <v>0</v>
      </c>
      <c r="BO49" t="s">
        <v>82</v>
      </c>
      <c r="BP49">
        <v>1</v>
      </c>
      <c r="BQ49">
        <v>23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90</v>
      </c>
      <c r="CA49">
        <v>85</v>
      </c>
      <c r="CE49">
        <v>0</v>
      </c>
      <c r="CF49">
        <v>0</v>
      </c>
      <c r="CG49">
        <v>0</v>
      </c>
      <c r="CM49">
        <v>0</v>
      </c>
      <c r="CO49">
        <v>0</v>
      </c>
      <c r="CP49">
        <f t="shared" si="36"/>
        <v>-82.02</v>
      </c>
      <c r="CQ49">
        <f t="shared" si="37"/>
        <v>173961</v>
      </c>
      <c r="CR49">
        <f t="shared" si="38"/>
        <v>0</v>
      </c>
      <c r="CS49">
        <f t="shared" si="39"/>
        <v>0</v>
      </c>
      <c r="CT49">
        <f t="shared" si="40"/>
        <v>0</v>
      </c>
      <c r="CU49">
        <f t="shared" si="41"/>
        <v>0</v>
      </c>
      <c r="CV49">
        <f t="shared" si="42"/>
        <v>0</v>
      </c>
      <c r="CW49">
        <f t="shared" si="43"/>
        <v>0</v>
      </c>
      <c r="CX49">
        <f t="shared" si="44"/>
        <v>0</v>
      </c>
      <c r="CY49">
        <f t="shared" si="45"/>
        <v>0</v>
      </c>
      <c r="CZ49">
        <f t="shared" si="46"/>
        <v>0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50</v>
      </c>
      <c r="DW49" t="s">
        <v>50</v>
      </c>
      <c r="DX49">
        <v>1000</v>
      </c>
      <c r="EE49">
        <v>49315466</v>
      </c>
      <c r="EF49">
        <v>23</v>
      </c>
      <c r="EG49" t="s">
        <v>55</v>
      </c>
      <c r="EH49">
        <v>0</v>
      </c>
      <c r="EJ49">
        <v>1</v>
      </c>
      <c r="EK49">
        <v>9001</v>
      </c>
      <c r="EL49" t="s">
        <v>56</v>
      </c>
      <c r="EM49" t="s">
        <v>57</v>
      </c>
      <c r="EQ49">
        <v>0</v>
      </c>
      <c r="ER49">
        <v>37900</v>
      </c>
      <c r="ES49">
        <v>37900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7"/>
        <v>0</v>
      </c>
      <c r="FS49">
        <v>0</v>
      </c>
      <c r="FT49" t="s">
        <v>37</v>
      </c>
      <c r="FU49" t="s">
        <v>38</v>
      </c>
      <c r="FX49">
        <v>81</v>
      </c>
      <c r="FY49">
        <v>72.25</v>
      </c>
      <c r="GD49">
        <v>1</v>
      </c>
      <c r="GF49">
        <v>-1908218251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48"/>
        <v>0</v>
      </c>
      <c r="GM49">
        <f t="shared" si="49"/>
        <v>-82.02</v>
      </c>
      <c r="GN49">
        <f t="shared" si="50"/>
        <v>-82.02</v>
      </c>
      <c r="GO49">
        <f t="shared" si="51"/>
        <v>0</v>
      </c>
      <c r="GP49">
        <f t="shared" si="52"/>
        <v>0</v>
      </c>
      <c r="GR49">
        <v>0</v>
      </c>
      <c r="GS49">
        <v>3</v>
      </c>
      <c r="GT49">
        <v>0</v>
      </c>
      <c r="GV49">
        <f t="shared" si="53"/>
        <v>0</v>
      </c>
      <c r="GW49">
        <v>1</v>
      </c>
      <c r="GX49">
        <f t="shared" si="54"/>
        <v>0</v>
      </c>
      <c r="HA49">
        <v>0</v>
      </c>
      <c r="HB49">
        <v>0</v>
      </c>
      <c r="HC49">
        <f t="shared" si="55"/>
        <v>0</v>
      </c>
      <c r="IK49">
        <v>0</v>
      </c>
    </row>
    <row r="51" spans="1:206" ht="12.75">
      <c r="A51" s="3">
        <v>51</v>
      </c>
      <c r="B51" s="3">
        <f>B24</f>
        <v>1</v>
      </c>
      <c r="C51" s="3">
        <f>A24</f>
        <v>4</v>
      </c>
      <c r="D51" s="3">
        <f>ROW(A24)</f>
        <v>24</v>
      </c>
      <c r="E51" s="3"/>
      <c r="F51" s="3" t="str">
        <f>IF(F24&lt;&gt;"",F24,"")</f>
        <v>Новый раздел</v>
      </c>
      <c r="G51" s="3" t="str">
        <f>IF(G24&lt;&gt;"",G24,"")</f>
        <v>Строение 1</v>
      </c>
      <c r="H51" s="3">
        <v>0</v>
      </c>
      <c r="I51" s="3"/>
      <c r="J51" s="3"/>
      <c r="K51" s="3"/>
      <c r="L51" s="3"/>
      <c r="M51" s="3"/>
      <c r="N51" s="3"/>
      <c r="O51" s="3">
        <f aca="true" t="shared" si="63" ref="O51:T51">ROUND(AB51,2)</f>
        <v>939486.94</v>
      </c>
      <c r="P51" s="3">
        <f t="shared" si="63"/>
        <v>937662.99</v>
      </c>
      <c r="Q51" s="3">
        <f t="shared" si="63"/>
        <v>298.01</v>
      </c>
      <c r="R51" s="3">
        <f t="shared" si="63"/>
        <v>17.76</v>
      </c>
      <c r="S51" s="3">
        <f t="shared" si="63"/>
        <v>1525.94</v>
      </c>
      <c r="T51" s="3">
        <f t="shared" si="63"/>
        <v>0</v>
      </c>
      <c r="U51" s="3">
        <f>AH51</f>
        <v>153.65359999999998</v>
      </c>
      <c r="V51" s="3">
        <f>AI51</f>
        <v>1.3397</v>
      </c>
      <c r="W51" s="3">
        <f>ROUND(AJ51,2)</f>
        <v>0</v>
      </c>
      <c r="X51" s="3">
        <f>ROUND(AK51,2)</f>
        <v>1278.98</v>
      </c>
      <c r="Y51" s="3">
        <f>ROUND(AL51,2)</f>
        <v>1106.01</v>
      </c>
      <c r="Z51" s="3"/>
      <c r="AA51" s="3"/>
      <c r="AB51" s="3">
        <f>ROUND(SUMIF(AA28:AA49,"=50947576",O28:O49),2)</f>
        <v>939486.94</v>
      </c>
      <c r="AC51" s="3">
        <f>ROUND(SUMIF(AA28:AA49,"=50947576",P28:P49),2)</f>
        <v>937662.99</v>
      </c>
      <c r="AD51" s="3">
        <f>ROUND(SUMIF(AA28:AA49,"=50947576",Q28:Q49),2)</f>
        <v>298.01</v>
      </c>
      <c r="AE51" s="3">
        <f>ROUND(SUMIF(AA28:AA49,"=50947576",R28:R49),2)</f>
        <v>17.76</v>
      </c>
      <c r="AF51" s="3">
        <f>ROUND(SUMIF(AA28:AA49,"=50947576",S28:S49),2)</f>
        <v>1525.94</v>
      </c>
      <c r="AG51" s="3">
        <f>ROUND(SUMIF(AA28:AA49,"=50947576",T28:T49),2)</f>
        <v>0</v>
      </c>
      <c r="AH51" s="3">
        <f>SUMIF(AA28:AA49,"=50947576",U28:U49)</f>
        <v>153.65359999999998</v>
      </c>
      <c r="AI51" s="3">
        <f>SUMIF(AA28:AA49,"=50947576",V28:V49)</f>
        <v>1.3397</v>
      </c>
      <c r="AJ51" s="3">
        <f>ROUND(SUMIF(AA28:AA49,"=50947576",W28:W49),2)</f>
        <v>0</v>
      </c>
      <c r="AK51" s="3">
        <f>ROUND(SUMIF(AA28:AA49,"=50947576",X28:X49),2)</f>
        <v>1278.98</v>
      </c>
      <c r="AL51" s="3">
        <f>ROUND(SUMIF(AA28:AA49,"=50947576",Y28:Y49),2)</f>
        <v>1106.01</v>
      </c>
      <c r="AM51" s="3"/>
      <c r="AN51" s="3"/>
      <c r="AO51" s="3">
        <f aca="true" t="shared" si="64" ref="AO51:BD51">ROUND(BX51,2)</f>
        <v>0</v>
      </c>
      <c r="AP51" s="3">
        <f t="shared" si="64"/>
        <v>0</v>
      </c>
      <c r="AQ51" s="3">
        <f t="shared" si="64"/>
        <v>0</v>
      </c>
      <c r="AR51" s="3">
        <f t="shared" si="64"/>
        <v>941871.93</v>
      </c>
      <c r="AS51" s="3">
        <f t="shared" si="64"/>
        <v>941871.93</v>
      </c>
      <c r="AT51" s="3">
        <f t="shared" si="64"/>
        <v>0</v>
      </c>
      <c r="AU51" s="3">
        <f t="shared" si="64"/>
        <v>0</v>
      </c>
      <c r="AV51" s="3">
        <f t="shared" si="64"/>
        <v>937662.99</v>
      </c>
      <c r="AW51" s="3">
        <f t="shared" si="64"/>
        <v>937662.99</v>
      </c>
      <c r="AX51" s="3">
        <f t="shared" si="64"/>
        <v>0</v>
      </c>
      <c r="AY51" s="3">
        <f t="shared" si="64"/>
        <v>937662.99</v>
      </c>
      <c r="AZ51" s="3">
        <f t="shared" si="64"/>
        <v>0</v>
      </c>
      <c r="BA51" s="3">
        <f t="shared" si="64"/>
        <v>0</v>
      </c>
      <c r="BB51" s="3">
        <f t="shared" si="64"/>
        <v>0</v>
      </c>
      <c r="BC51" s="3">
        <f t="shared" si="64"/>
        <v>0</v>
      </c>
      <c r="BD51" s="3">
        <f t="shared" si="64"/>
        <v>0</v>
      </c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>
        <f>ROUND(SUMIF(AA28:AA49,"=50947576",FQ28:FQ49),2)</f>
        <v>0</v>
      </c>
      <c r="BY51" s="3">
        <f>ROUND(SUMIF(AA28:AA49,"=50947576",FR28:FR49),2)</f>
        <v>0</v>
      </c>
      <c r="BZ51" s="3">
        <f>ROUND(SUMIF(AA28:AA49,"=50947576",GL28:GL49),2)</f>
        <v>0</v>
      </c>
      <c r="CA51" s="3">
        <f>ROUND(SUMIF(AA28:AA49,"=50947576",GM28:GM49),2)</f>
        <v>941871.93</v>
      </c>
      <c r="CB51" s="3">
        <f>ROUND(SUMIF(AA28:AA49,"=50947576",GN28:GN49),2)</f>
        <v>941871.93</v>
      </c>
      <c r="CC51" s="3">
        <f>ROUND(SUMIF(AA28:AA49,"=50947576",GO28:GO49),2)</f>
        <v>0</v>
      </c>
      <c r="CD51" s="3">
        <f>ROUND(SUMIF(AA28:AA49,"=50947576",GP28:GP49),2)</f>
        <v>0</v>
      </c>
      <c r="CE51" s="3">
        <f>AC51-BX51</f>
        <v>937662.99</v>
      </c>
      <c r="CF51" s="3">
        <f>AC51-BY51</f>
        <v>937662.99</v>
      </c>
      <c r="CG51" s="3">
        <f>BX51-BZ51</f>
        <v>0</v>
      </c>
      <c r="CH51" s="3">
        <f>AC51-BX51-BY51+BZ51</f>
        <v>937662.99</v>
      </c>
      <c r="CI51" s="3">
        <f>BY51-BZ51</f>
        <v>0</v>
      </c>
      <c r="CJ51" s="3">
        <f>ROUND(SUMIF(AA28:AA49,"=50947576",GX28:GX49),2)</f>
        <v>0</v>
      </c>
      <c r="CK51" s="3">
        <f>ROUND(SUMIF(AA28:AA49,"=50947576",GY28:GY49),2)</f>
        <v>0</v>
      </c>
      <c r="CL51" s="3">
        <f>ROUND(SUMIF(AA28:AA49,"=50947576",GZ28:GZ49),2)</f>
        <v>0</v>
      </c>
      <c r="CM51" s="3">
        <f>ROUND(SUMIF(AA28:AA49,"=50947576",HD28:HD49),2)</f>
        <v>0</v>
      </c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4">
        <f aca="true" t="shared" si="65" ref="DG51:DL51">ROUND(DT51,2)</f>
        <v>992113.26</v>
      </c>
      <c r="DH51" s="4">
        <f t="shared" si="65"/>
        <v>938096.12</v>
      </c>
      <c r="DI51" s="4">
        <f t="shared" si="65"/>
        <v>2119.79</v>
      </c>
      <c r="DJ51" s="4">
        <f t="shared" si="65"/>
        <v>603.85</v>
      </c>
      <c r="DK51" s="4">
        <f t="shared" si="65"/>
        <v>51897.35</v>
      </c>
      <c r="DL51" s="4">
        <f t="shared" si="65"/>
        <v>0</v>
      </c>
      <c r="DM51" s="4">
        <f>DZ51</f>
        <v>153.65359999999998</v>
      </c>
      <c r="DN51" s="4">
        <f>EA51</f>
        <v>1.3397</v>
      </c>
      <c r="DO51" s="4">
        <f>ROUND(EB51,2)</f>
        <v>0</v>
      </c>
      <c r="DP51" s="4">
        <f>ROUND(EC51,2)</f>
        <v>43497.91</v>
      </c>
      <c r="DQ51" s="4">
        <f>ROUND(ED51,2)</f>
        <v>37615.51</v>
      </c>
      <c r="DR51" s="4"/>
      <c r="DS51" s="4"/>
      <c r="DT51" s="4">
        <f>ROUND(SUMIF(AA28:AA49,"=50961513",O28:O49),2)</f>
        <v>992113.26</v>
      </c>
      <c r="DU51" s="4">
        <f>ROUND(SUMIF(AA28:AA49,"=50961513",P28:P49),2)</f>
        <v>938096.12</v>
      </c>
      <c r="DV51" s="4">
        <f>ROUND(SUMIF(AA28:AA49,"=50961513",Q28:Q49),2)</f>
        <v>2119.79</v>
      </c>
      <c r="DW51" s="4">
        <f>ROUND(SUMIF(AA28:AA49,"=50961513",R28:R49),2)</f>
        <v>603.85</v>
      </c>
      <c r="DX51" s="4">
        <f>ROUND(SUMIF(AA28:AA49,"=50961513",S28:S49),2)</f>
        <v>51897.35</v>
      </c>
      <c r="DY51" s="4">
        <f>ROUND(SUMIF(AA28:AA49,"=50961513",T28:T49),2)</f>
        <v>0</v>
      </c>
      <c r="DZ51" s="4">
        <f>SUMIF(AA28:AA49,"=50961513",U28:U49)</f>
        <v>153.65359999999998</v>
      </c>
      <c r="EA51" s="4">
        <f>SUMIF(AA28:AA49,"=50961513",V28:V49)</f>
        <v>1.3397</v>
      </c>
      <c r="EB51" s="4">
        <f>ROUND(SUMIF(AA28:AA49,"=50961513",W28:W49),2)</f>
        <v>0</v>
      </c>
      <c r="EC51" s="4">
        <f>ROUND(SUMIF(AA28:AA49,"=50961513",X28:X49),2)</f>
        <v>43497.91</v>
      </c>
      <c r="ED51" s="4">
        <f>ROUND(SUMIF(AA28:AA49,"=50961513",Y28:Y49),2)</f>
        <v>37615.51</v>
      </c>
      <c r="EE51" s="4"/>
      <c r="EF51" s="4"/>
      <c r="EG51" s="4">
        <f aca="true" t="shared" si="66" ref="EG51:EV51">ROUND(FP51,2)</f>
        <v>0</v>
      </c>
      <c r="EH51" s="4">
        <f t="shared" si="66"/>
        <v>0</v>
      </c>
      <c r="EI51" s="4">
        <f t="shared" si="66"/>
        <v>0</v>
      </c>
      <c r="EJ51" s="4">
        <f t="shared" si="66"/>
        <v>1073226.68</v>
      </c>
      <c r="EK51" s="4">
        <f t="shared" si="66"/>
        <v>1073226.68</v>
      </c>
      <c r="EL51" s="4">
        <f t="shared" si="66"/>
        <v>0</v>
      </c>
      <c r="EM51" s="4">
        <f t="shared" si="66"/>
        <v>0</v>
      </c>
      <c r="EN51" s="4">
        <f t="shared" si="66"/>
        <v>938096.12</v>
      </c>
      <c r="EO51" s="4">
        <f t="shared" si="66"/>
        <v>938096.12</v>
      </c>
      <c r="EP51" s="4">
        <f t="shared" si="66"/>
        <v>0</v>
      </c>
      <c r="EQ51" s="4">
        <f t="shared" si="66"/>
        <v>938096.12</v>
      </c>
      <c r="ER51" s="4">
        <f t="shared" si="66"/>
        <v>0</v>
      </c>
      <c r="ES51" s="4">
        <f t="shared" si="66"/>
        <v>0</v>
      </c>
      <c r="ET51" s="4">
        <f t="shared" si="66"/>
        <v>0</v>
      </c>
      <c r="EU51" s="4">
        <f t="shared" si="66"/>
        <v>0</v>
      </c>
      <c r="EV51" s="4">
        <f t="shared" si="66"/>
        <v>0</v>
      </c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>
        <f>ROUND(SUMIF(AA28:AA49,"=50961513",FQ28:FQ49),2)</f>
        <v>0</v>
      </c>
      <c r="FQ51" s="4">
        <f>ROUND(SUMIF(AA28:AA49,"=50961513",FR28:FR49),2)</f>
        <v>0</v>
      </c>
      <c r="FR51" s="4">
        <f>ROUND(SUMIF(AA28:AA49,"=50961513",GL28:GL49),2)</f>
        <v>0</v>
      </c>
      <c r="FS51" s="4">
        <f>ROUND(SUMIF(AA28:AA49,"=50961513",GM28:GM49),2)</f>
        <v>1073226.68</v>
      </c>
      <c r="FT51" s="4">
        <f>ROUND(SUMIF(AA28:AA49,"=50961513",GN28:GN49),2)</f>
        <v>1073226.68</v>
      </c>
      <c r="FU51" s="4">
        <f>ROUND(SUMIF(AA28:AA49,"=50961513",GO28:GO49),2)</f>
        <v>0</v>
      </c>
      <c r="FV51" s="4">
        <f>ROUND(SUMIF(AA28:AA49,"=50961513",GP28:GP49),2)</f>
        <v>0</v>
      </c>
      <c r="FW51" s="4">
        <f>DU51-FP51</f>
        <v>938096.12</v>
      </c>
      <c r="FX51" s="4">
        <f>DU51-FQ51</f>
        <v>938096.12</v>
      </c>
      <c r="FY51" s="4">
        <f>FP51-FR51</f>
        <v>0</v>
      </c>
      <c r="FZ51" s="4">
        <f>DU51-FP51-FQ51+FR51</f>
        <v>938096.12</v>
      </c>
      <c r="GA51" s="4">
        <f>FQ51-FR51</f>
        <v>0</v>
      </c>
      <c r="GB51" s="4">
        <f>ROUND(SUMIF(AA28:AA49,"=50961513",GX28:GX49),2)</f>
        <v>0</v>
      </c>
      <c r="GC51" s="4">
        <f>ROUND(SUMIF(AA28:AA49,"=50961513",GY28:GY49),2)</f>
        <v>0</v>
      </c>
      <c r="GD51" s="4">
        <f>ROUND(SUMIF(AA28:AA49,"=50961513",GZ28:GZ49),2)</f>
        <v>0</v>
      </c>
      <c r="GE51" s="4">
        <f>ROUND(SUMIF(AA28:AA49,"=50961513",HD28:HD49),2)</f>
        <v>0</v>
      </c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>
        <v>0</v>
      </c>
    </row>
    <row r="53" spans="1:23" ht="12.75">
      <c r="A53" s="5">
        <v>50</v>
      </c>
      <c r="B53" s="5">
        <v>0</v>
      </c>
      <c r="C53" s="5">
        <v>0</v>
      </c>
      <c r="D53" s="5">
        <v>1</v>
      </c>
      <c r="E53" s="5">
        <v>201</v>
      </c>
      <c r="F53" s="5">
        <f>ROUND(Source!O51,O53)</f>
        <v>939486.94</v>
      </c>
      <c r="G53" s="5" t="s">
        <v>85</v>
      </c>
      <c r="H53" s="5" t="s">
        <v>86</v>
      </c>
      <c r="I53" s="5"/>
      <c r="J53" s="5"/>
      <c r="K53" s="5">
        <v>201</v>
      </c>
      <c r="L53" s="5">
        <v>1</v>
      </c>
      <c r="M53" s="5">
        <v>3</v>
      </c>
      <c r="N53" s="5" t="s">
        <v>3</v>
      </c>
      <c r="O53" s="5">
        <v>2</v>
      </c>
      <c r="P53" s="5">
        <f>ROUND(Source!DG51,O53)</f>
        <v>992113.26</v>
      </c>
      <c r="Q53" s="5"/>
      <c r="R53" s="5"/>
      <c r="S53" s="5"/>
      <c r="T53" s="5"/>
      <c r="U53" s="5"/>
      <c r="V53" s="5"/>
      <c r="W53" s="5"/>
    </row>
    <row r="54" spans="1:23" ht="12.75">
      <c r="A54" s="5">
        <v>50</v>
      </c>
      <c r="B54" s="5">
        <v>0</v>
      </c>
      <c r="C54" s="5">
        <v>0</v>
      </c>
      <c r="D54" s="5">
        <v>1</v>
      </c>
      <c r="E54" s="5">
        <v>202</v>
      </c>
      <c r="F54" s="5">
        <f>ROUND(Source!P51,O54)</f>
        <v>937662.99</v>
      </c>
      <c r="G54" s="5" t="s">
        <v>87</v>
      </c>
      <c r="H54" s="5" t="s">
        <v>88</v>
      </c>
      <c r="I54" s="5"/>
      <c r="J54" s="5"/>
      <c r="K54" s="5">
        <v>202</v>
      </c>
      <c r="L54" s="5">
        <v>2</v>
      </c>
      <c r="M54" s="5">
        <v>3</v>
      </c>
      <c r="N54" s="5" t="s">
        <v>3</v>
      </c>
      <c r="O54" s="5">
        <v>2</v>
      </c>
      <c r="P54" s="5">
        <f>ROUND(Source!DH51,O54)</f>
        <v>938096.12</v>
      </c>
      <c r="Q54" s="5"/>
      <c r="R54" s="5"/>
      <c r="S54" s="5"/>
      <c r="T54" s="5"/>
      <c r="U54" s="5"/>
      <c r="V54" s="5"/>
      <c r="W54" s="5"/>
    </row>
    <row r="55" spans="1:23" ht="12.75">
      <c r="A55" s="5">
        <v>50</v>
      </c>
      <c r="B55" s="5">
        <v>0</v>
      </c>
      <c r="C55" s="5">
        <v>0</v>
      </c>
      <c r="D55" s="5">
        <v>1</v>
      </c>
      <c r="E55" s="5">
        <v>222</v>
      </c>
      <c r="F55" s="5">
        <f>ROUND(Source!AO51,O55)</f>
        <v>0</v>
      </c>
      <c r="G55" s="5" t="s">
        <v>89</v>
      </c>
      <c r="H55" s="5" t="s">
        <v>90</v>
      </c>
      <c r="I55" s="5"/>
      <c r="J55" s="5"/>
      <c r="K55" s="5">
        <v>222</v>
      </c>
      <c r="L55" s="5">
        <v>3</v>
      </c>
      <c r="M55" s="5">
        <v>3</v>
      </c>
      <c r="N55" s="5" t="s">
        <v>3</v>
      </c>
      <c r="O55" s="5">
        <v>2</v>
      </c>
      <c r="P55" s="5">
        <f>ROUND(Source!EG51,O55)</f>
        <v>0</v>
      </c>
      <c r="Q55" s="5"/>
      <c r="R55" s="5"/>
      <c r="S55" s="5"/>
      <c r="T55" s="5"/>
      <c r="U55" s="5"/>
      <c r="V55" s="5"/>
      <c r="W55" s="5"/>
    </row>
    <row r="56" spans="1:23" ht="12.75">
      <c r="A56" s="5">
        <v>50</v>
      </c>
      <c r="B56" s="5">
        <v>0</v>
      </c>
      <c r="C56" s="5">
        <v>0</v>
      </c>
      <c r="D56" s="5">
        <v>1</v>
      </c>
      <c r="E56" s="5">
        <v>225</v>
      </c>
      <c r="F56" s="5">
        <f>ROUND(Source!AV51,O56)</f>
        <v>937662.99</v>
      </c>
      <c r="G56" s="5" t="s">
        <v>91</v>
      </c>
      <c r="H56" s="5" t="s">
        <v>92</v>
      </c>
      <c r="I56" s="5"/>
      <c r="J56" s="5"/>
      <c r="K56" s="5">
        <v>225</v>
      </c>
      <c r="L56" s="5">
        <v>4</v>
      </c>
      <c r="M56" s="5">
        <v>3</v>
      </c>
      <c r="N56" s="5" t="s">
        <v>3</v>
      </c>
      <c r="O56" s="5">
        <v>2</v>
      </c>
      <c r="P56" s="5">
        <f>ROUND(Source!EN51,O56)</f>
        <v>938096.12</v>
      </c>
      <c r="Q56" s="5"/>
      <c r="R56" s="5"/>
      <c r="S56" s="5"/>
      <c r="T56" s="5"/>
      <c r="U56" s="5"/>
      <c r="V56" s="5"/>
      <c r="W56" s="5"/>
    </row>
    <row r="57" spans="1:23" ht="12.75">
      <c r="A57" s="5">
        <v>50</v>
      </c>
      <c r="B57" s="5">
        <v>0</v>
      </c>
      <c r="C57" s="5">
        <v>0</v>
      </c>
      <c r="D57" s="5">
        <v>1</v>
      </c>
      <c r="E57" s="5">
        <v>226</v>
      </c>
      <c r="F57" s="5">
        <f>ROUND(Source!AW51,O57)</f>
        <v>937662.99</v>
      </c>
      <c r="G57" s="5" t="s">
        <v>93</v>
      </c>
      <c r="H57" s="5" t="s">
        <v>94</v>
      </c>
      <c r="I57" s="5"/>
      <c r="J57" s="5"/>
      <c r="K57" s="5">
        <v>226</v>
      </c>
      <c r="L57" s="5">
        <v>5</v>
      </c>
      <c r="M57" s="5">
        <v>3</v>
      </c>
      <c r="N57" s="5" t="s">
        <v>3</v>
      </c>
      <c r="O57" s="5">
        <v>2</v>
      </c>
      <c r="P57" s="5">
        <f>ROUND(Source!EO51,O57)</f>
        <v>938096.12</v>
      </c>
      <c r="Q57" s="5"/>
      <c r="R57" s="5"/>
      <c r="S57" s="5"/>
      <c r="T57" s="5"/>
      <c r="U57" s="5"/>
      <c r="V57" s="5"/>
      <c r="W57" s="5"/>
    </row>
    <row r="58" spans="1:23" ht="12.75">
      <c r="A58" s="5">
        <v>50</v>
      </c>
      <c r="B58" s="5">
        <v>0</v>
      </c>
      <c r="C58" s="5">
        <v>0</v>
      </c>
      <c r="D58" s="5">
        <v>1</v>
      </c>
      <c r="E58" s="5">
        <v>227</v>
      </c>
      <c r="F58" s="5">
        <f>ROUND(Source!AX51,O58)</f>
        <v>0</v>
      </c>
      <c r="G58" s="5" t="s">
        <v>95</v>
      </c>
      <c r="H58" s="5" t="s">
        <v>96</v>
      </c>
      <c r="I58" s="5"/>
      <c r="J58" s="5"/>
      <c r="K58" s="5">
        <v>227</v>
      </c>
      <c r="L58" s="5">
        <v>6</v>
      </c>
      <c r="M58" s="5">
        <v>3</v>
      </c>
      <c r="N58" s="5" t="s">
        <v>3</v>
      </c>
      <c r="O58" s="5">
        <v>2</v>
      </c>
      <c r="P58" s="5">
        <f>ROUND(Source!EP51,O58)</f>
        <v>0</v>
      </c>
      <c r="Q58" s="5"/>
      <c r="R58" s="5"/>
      <c r="S58" s="5"/>
      <c r="T58" s="5"/>
      <c r="U58" s="5"/>
      <c r="V58" s="5"/>
      <c r="W58" s="5"/>
    </row>
    <row r="59" spans="1:23" ht="12.75">
      <c r="A59" s="5">
        <v>50</v>
      </c>
      <c r="B59" s="5">
        <v>0</v>
      </c>
      <c r="C59" s="5">
        <v>0</v>
      </c>
      <c r="D59" s="5">
        <v>1</v>
      </c>
      <c r="E59" s="5">
        <v>228</v>
      </c>
      <c r="F59" s="5">
        <f>ROUND(Source!AY51,O59)</f>
        <v>937662.99</v>
      </c>
      <c r="G59" s="5" t="s">
        <v>97</v>
      </c>
      <c r="H59" s="5" t="s">
        <v>98</v>
      </c>
      <c r="I59" s="5"/>
      <c r="J59" s="5"/>
      <c r="K59" s="5">
        <v>228</v>
      </c>
      <c r="L59" s="5">
        <v>7</v>
      </c>
      <c r="M59" s="5">
        <v>3</v>
      </c>
      <c r="N59" s="5" t="s">
        <v>3</v>
      </c>
      <c r="O59" s="5">
        <v>2</v>
      </c>
      <c r="P59" s="5">
        <f>ROUND(Source!EQ51,O59)</f>
        <v>938096.12</v>
      </c>
      <c r="Q59" s="5"/>
      <c r="R59" s="5"/>
      <c r="S59" s="5"/>
      <c r="T59" s="5"/>
      <c r="U59" s="5"/>
      <c r="V59" s="5"/>
      <c r="W59" s="5"/>
    </row>
    <row r="60" spans="1:23" ht="12.75">
      <c r="A60" s="5">
        <v>50</v>
      </c>
      <c r="B60" s="5">
        <v>0</v>
      </c>
      <c r="C60" s="5">
        <v>0</v>
      </c>
      <c r="D60" s="5">
        <v>1</v>
      </c>
      <c r="E60" s="5">
        <v>216</v>
      </c>
      <c r="F60" s="5">
        <f>ROUND(Source!AP51,O60)</f>
        <v>0</v>
      </c>
      <c r="G60" s="5" t="s">
        <v>99</v>
      </c>
      <c r="H60" s="5" t="s">
        <v>100</v>
      </c>
      <c r="I60" s="5"/>
      <c r="J60" s="5"/>
      <c r="K60" s="5">
        <v>216</v>
      </c>
      <c r="L60" s="5">
        <v>8</v>
      </c>
      <c r="M60" s="5">
        <v>3</v>
      </c>
      <c r="N60" s="5" t="s">
        <v>3</v>
      </c>
      <c r="O60" s="5">
        <v>2</v>
      </c>
      <c r="P60" s="5">
        <f>ROUND(Source!EH51,O60)</f>
        <v>0</v>
      </c>
      <c r="Q60" s="5"/>
      <c r="R60" s="5"/>
      <c r="S60" s="5"/>
      <c r="T60" s="5"/>
      <c r="U60" s="5"/>
      <c r="V60" s="5"/>
      <c r="W60" s="5"/>
    </row>
    <row r="61" spans="1:23" ht="12.75">
      <c r="A61" s="5">
        <v>50</v>
      </c>
      <c r="B61" s="5">
        <v>0</v>
      </c>
      <c r="C61" s="5">
        <v>0</v>
      </c>
      <c r="D61" s="5">
        <v>1</v>
      </c>
      <c r="E61" s="5">
        <v>223</v>
      </c>
      <c r="F61" s="5">
        <f>ROUND(Source!AQ51,O61)</f>
        <v>0</v>
      </c>
      <c r="G61" s="5" t="s">
        <v>101</v>
      </c>
      <c r="H61" s="5" t="s">
        <v>102</v>
      </c>
      <c r="I61" s="5"/>
      <c r="J61" s="5"/>
      <c r="K61" s="5">
        <v>223</v>
      </c>
      <c r="L61" s="5">
        <v>9</v>
      </c>
      <c r="M61" s="5">
        <v>3</v>
      </c>
      <c r="N61" s="5" t="s">
        <v>3</v>
      </c>
      <c r="O61" s="5">
        <v>2</v>
      </c>
      <c r="P61" s="5">
        <f>ROUND(Source!EI51,O61)</f>
        <v>0</v>
      </c>
      <c r="Q61" s="5"/>
      <c r="R61" s="5"/>
      <c r="S61" s="5"/>
      <c r="T61" s="5"/>
      <c r="U61" s="5"/>
      <c r="V61" s="5"/>
      <c r="W61" s="5"/>
    </row>
    <row r="62" spans="1:23" ht="12.75">
      <c r="A62" s="5">
        <v>50</v>
      </c>
      <c r="B62" s="5">
        <v>0</v>
      </c>
      <c r="C62" s="5">
        <v>0</v>
      </c>
      <c r="D62" s="5">
        <v>1</v>
      </c>
      <c r="E62" s="5">
        <v>229</v>
      </c>
      <c r="F62" s="5">
        <f>ROUND(Source!AZ51,O62)</f>
        <v>0</v>
      </c>
      <c r="G62" s="5" t="s">
        <v>103</v>
      </c>
      <c r="H62" s="5" t="s">
        <v>104</v>
      </c>
      <c r="I62" s="5"/>
      <c r="J62" s="5"/>
      <c r="K62" s="5">
        <v>229</v>
      </c>
      <c r="L62" s="5">
        <v>10</v>
      </c>
      <c r="M62" s="5">
        <v>3</v>
      </c>
      <c r="N62" s="5" t="s">
        <v>3</v>
      </c>
      <c r="O62" s="5">
        <v>2</v>
      </c>
      <c r="P62" s="5">
        <f>ROUND(Source!ER51,O62)</f>
        <v>0</v>
      </c>
      <c r="Q62" s="5"/>
      <c r="R62" s="5"/>
      <c r="S62" s="5"/>
      <c r="T62" s="5"/>
      <c r="U62" s="5"/>
      <c r="V62" s="5"/>
      <c r="W62" s="5"/>
    </row>
    <row r="63" spans="1:23" ht="12.75">
      <c r="A63" s="5">
        <v>50</v>
      </c>
      <c r="B63" s="5">
        <v>0</v>
      </c>
      <c r="C63" s="5">
        <v>0</v>
      </c>
      <c r="D63" s="5">
        <v>1</v>
      </c>
      <c r="E63" s="5">
        <v>203</v>
      </c>
      <c r="F63" s="5">
        <f>ROUND(Source!Q51,O63)</f>
        <v>298.01</v>
      </c>
      <c r="G63" s="5" t="s">
        <v>105</v>
      </c>
      <c r="H63" s="5" t="s">
        <v>106</v>
      </c>
      <c r="I63" s="5"/>
      <c r="J63" s="5"/>
      <c r="K63" s="5">
        <v>203</v>
      </c>
      <c r="L63" s="5">
        <v>11</v>
      </c>
      <c r="M63" s="5">
        <v>3</v>
      </c>
      <c r="N63" s="5" t="s">
        <v>3</v>
      </c>
      <c r="O63" s="5">
        <v>2</v>
      </c>
      <c r="P63" s="5">
        <f>ROUND(Source!DI51,O63)</f>
        <v>2119.79</v>
      </c>
      <c r="Q63" s="5"/>
      <c r="R63" s="5"/>
      <c r="S63" s="5"/>
      <c r="T63" s="5"/>
      <c r="U63" s="5"/>
      <c r="V63" s="5"/>
      <c r="W63" s="5"/>
    </row>
    <row r="64" spans="1:23" ht="12.75">
      <c r="A64" s="5">
        <v>50</v>
      </c>
      <c r="B64" s="5">
        <v>0</v>
      </c>
      <c r="C64" s="5">
        <v>0</v>
      </c>
      <c r="D64" s="5">
        <v>1</v>
      </c>
      <c r="E64" s="5">
        <v>231</v>
      </c>
      <c r="F64" s="5">
        <f>ROUND(Source!BB51,O64)</f>
        <v>0</v>
      </c>
      <c r="G64" s="5" t="s">
        <v>107</v>
      </c>
      <c r="H64" s="5" t="s">
        <v>108</v>
      </c>
      <c r="I64" s="5"/>
      <c r="J64" s="5"/>
      <c r="K64" s="5">
        <v>231</v>
      </c>
      <c r="L64" s="5">
        <v>12</v>
      </c>
      <c r="M64" s="5">
        <v>3</v>
      </c>
      <c r="N64" s="5" t="s">
        <v>3</v>
      </c>
      <c r="O64" s="5">
        <v>2</v>
      </c>
      <c r="P64" s="5">
        <f>ROUND(Source!ET51,O64)</f>
        <v>0</v>
      </c>
      <c r="Q64" s="5"/>
      <c r="R64" s="5"/>
      <c r="S64" s="5"/>
      <c r="T64" s="5"/>
      <c r="U64" s="5"/>
      <c r="V64" s="5"/>
      <c r="W64" s="5"/>
    </row>
    <row r="65" spans="1:23" ht="12.75">
      <c r="A65" s="5">
        <v>50</v>
      </c>
      <c r="B65" s="5">
        <v>0</v>
      </c>
      <c r="C65" s="5">
        <v>0</v>
      </c>
      <c r="D65" s="5">
        <v>1</v>
      </c>
      <c r="E65" s="5">
        <v>204</v>
      </c>
      <c r="F65" s="5">
        <f>ROUND(Source!R51,O65)</f>
        <v>17.76</v>
      </c>
      <c r="G65" s="5" t="s">
        <v>109</v>
      </c>
      <c r="H65" s="5" t="s">
        <v>110</v>
      </c>
      <c r="I65" s="5"/>
      <c r="J65" s="5"/>
      <c r="K65" s="5">
        <v>204</v>
      </c>
      <c r="L65" s="5">
        <v>13</v>
      </c>
      <c r="M65" s="5">
        <v>3</v>
      </c>
      <c r="N65" s="5" t="s">
        <v>3</v>
      </c>
      <c r="O65" s="5">
        <v>2</v>
      </c>
      <c r="P65" s="5">
        <f>ROUND(Source!DJ51,O65)</f>
        <v>603.85</v>
      </c>
      <c r="Q65" s="5"/>
      <c r="R65" s="5"/>
      <c r="S65" s="5"/>
      <c r="T65" s="5"/>
      <c r="U65" s="5"/>
      <c r="V65" s="5"/>
      <c r="W65" s="5"/>
    </row>
    <row r="66" spans="1:23" ht="12.75">
      <c r="A66" s="5">
        <v>50</v>
      </c>
      <c r="B66" s="5">
        <v>0</v>
      </c>
      <c r="C66" s="5">
        <v>0</v>
      </c>
      <c r="D66" s="5">
        <v>1</v>
      </c>
      <c r="E66" s="5">
        <v>205</v>
      </c>
      <c r="F66" s="5">
        <f>ROUND(Source!S51,O66)</f>
        <v>1525.94</v>
      </c>
      <c r="G66" s="5" t="s">
        <v>111</v>
      </c>
      <c r="H66" s="5" t="s">
        <v>112</v>
      </c>
      <c r="I66" s="5"/>
      <c r="J66" s="5"/>
      <c r="K66" s="5">
        <v>205</v>
      </c>
      <c r="L66" s="5">
        <v>14</v>
      </c>
      <c r="M66" s="5">
        <v>3</v>
      </c>
      <c r="N66" s="5" t="s">
        <v>3</v>
      </c>
      <c r="O66" s="5">
        <v>2</v>
      </c>
      <c r="P66" s="5">
        <f>ROUND(Source!DK51,O66)</f>
        <v>51897.35</v>
      </c>
      <c r="Q66" s="5"/>
      <c r="R66" s="5"/>
      <c r="S66" s="5"/>
      <c r="T66" s="5"/>
      <c r="U66" s="5"/>
      <c r="V66" s="5"/>
      <c r="W66" s="5"/>
    </row>
    <row r="67" spans="1:23" ht="12.75">
      <c r="A67" s="5">
        <v>50</v>
      </c>
      <c r="B67" s="5">
        <v>0</v>
      </c>
      <c r="C67" s="5">
        <v>0</v>
      </c>
      <c r="D67" s="5">
        <v>1</v>
      </c>
      <c r="E67" s="5">
        <v>232</v>
      </c>
      <c r="F67" s="5">
        <f>ROUND(Source!BC51,O67)</f>
        <v>0</v>
      </c>
      <c r="G67" s="5" t="s">
        <v>113</v>
      </c>
      <c r="H67" s="5" t="s">
        <v>114</v>
      </c>
      <c r="I67" s="5"/>
      <c r="J67" s="5"/>
      <c r="K67" s="5">
        <v>232</v>
      </c>
      <c r="L67" s="5">
        <v>15</v>
      </c>
      <c r="M67" s="5">
        <v>3</v>
      </c>
      <c r="N67" s="5" t="s">
        <v>3</v>
      </c>
      <c r="O67" s="5">
        <v>2</v>
      </c>
      <c r="P67" s="5">
        <f>ROUND(Source!EU51,O67)</f>
        <v>0</v>
      </c>
      <c r="Q67" s="5"/>
      <c r="R67" s="5"/>
      <c r="S67" s="5"/>
      <c r="T67" s="5"/>
      <c r="U67" s="5"/>
      <c r="V67" s="5"/>
      <c r="W67" s="5"/>
    </row>
    <row r="68" spans="1:23" ht="12.75">
      <c r="A68" s="5">
        <v>50</v>
      </c>
      <c r="B68" s="5">
        <v>0</v>
      </c>
      <c r="C68" s="5">
        <v>0</v>
      </c>
      <c r="D68" s="5">
        <v>1</v>
      </c>
      <c r="E68" s="5">
        <v>214</v>
      </c>
      <c r="F68" s="5">
        <f>ROUND(Source!AS51,O68)</f>
        <v>941871.93</v>
      </c>
      <c r="G68" s="5" t="s">
        <v>115</v>
      </c>
      <c r="H68" s="5" t="s">
        <v>116</v>
      </c>
      <c r="I68" s="5"/>
      <c r="J68" s="5"/>
      <c r="K68" s="5">
        <v>214</v>
      </c>
      <c r="L68" s="5">
        <v>16</v>
      </c>
      <c r="M68" s="5">
        <v>3</v>
      </c>
      <c r="N68" s="5" t="s">
        <v>3</v>
      </c>
      <c r="O68" s="5">
        <v>2</v>
      </c>
      <c r="P68" s="5">
        <f>ROUND(Source!EK51,O68)</f>
        <v>1073226.68</v>
      </c>
      <c r="Q68" s="5"/>
      <c r="R68" s="5"/>
      <c r="S68" s="5"/>
      <c r="T68" s="5"/>
      <c r="U68" s="5"/>
      <c r="V68" s="5"/>
      <c r="W68" s="5"/>
    </row>
    <row r="69" spans="1:23" ht="12.75">
      <c r="A69" s="5">
        <v>50</v>
      </c>
      <c r="B69" s="5">
        <v>0</v>
      </c>
      <c r="C69" s="5">
        <v>0</v>
      </c>
      <c r="D69" s="5">
        <v>1</v>
      </c>
      <c r="E69" s="5">
        <v>215</v>
      </c>
      <c r="F69" s="5">
        <f>ROUND(Source!AT51,O69)</f>
        <v>0</v>
      </c>
      <c r="G69" s="5" t="s">
        <v>117</v>
      </c>
      <c r="H69" s="5" t="s">
        <v>118</v>
      </c>
      <c r="I69" s="5"/>
      <c r="J69" s="5"/>
      <c r="K69" s="5">
        <v>215</v>
      </c>
      <c r="L69" s="5">
        <v>17</v>
      </c>
      <c r="M69" s="5">
        <v>3</v>
      </c>
      <c r="N69" s="5" t="s">
        <v>3</v>
      </c>
      <c r="O69" s="5">
        <v>2</v>
      </c>
      <c r="P69" s="5">
        <f>ROUND(Source!EL51,O69)</f>
        <v>0</v>
      </c>
      <c r="Q69" s="5"/>
      <c r="R69" s="5"/>
      <c r="S69" s="5"/>
      <c r="T69" s="5"/>
      <c r="U69" s="5"/>
      <c r="V69" s="5"/>
      <c r="W69" s="5"/>
    </row>
    <row r="70" spans="1:23" ht="12.75">
      <c r="A70" s="5">
        <v>50</v>
      </c>
      <c r="B70" s="5">
        <v>0</v>
      </c>
      <c r="C70" s="5">
        <v>0</v>
      </c>
      <c r="D70" s="5">
        <v>1</v>
      </c>
      <c r="E70" s="5">
        <v>217</v>
      </c>
      <c r="F70" s="5">
        <f>ROUND(Source!AU51,O70)</f>
        <v>0</v>
      </c>
      <c r="G70" s="5" t="s">
        <v>119</v>
      </c>
      <c r="H70" s="5" t="s">
        <v>120</v>
      </c>
      <c r="I70" s="5"/>
      <c r="J70" s="5"/>
      <c r="K70" s="5">
        <v>217</v>
      </c>
      <c r="L70" s="5">
        <v>18</v>
      </c>
      <c r="M70" s="5">
        <v>3</v>
      </c>
      <c r="N70" s="5" t="s">
        <v>3</v>
      </c>
      <c r="O70" s="5">
        <v>2</v>
      </c>
      <c r="P70" s="5">
        <f>ROUND(Source!EM51,O70)</f>
        <v>0</v>
      </c>
      <c r="Q70" s="5"/>
      <c r="R70" s="5"/>
      <c r="S70" s="5"/>
      <c r="T70" s="5"/>
      <c r="U70" s="5"/>
      <c r="V70" s="5"/>
      <c r="W70" s="5"/>
    </row>
    <row r="71" spans="1:23" ht="12.75">
      <c r="A71" s="5">
        <v>50</v>
      </c>
      <c r="B71" s="5">
        <v>0</v>
      </c>
      <c r="C71" s="5">
        <v>0</v>
      </c>
      <c r="D71" s="5">
        <v>1</v>
      </c>
      <c r="E71" s="5">
        <v>230</v>
      </c>
      <c r="F71" s="5">
        <f>ROUND(Source!BA51,O71)</f>
        <v>0</v>
      </c>
      <c r="G71" s="5" t="s">
        <v>121</v>
      </c>
      <c r="H71" s="5" t="s">
        <v>122</v>
      </c>
      <c r="I71" s="5"/>
      <c r="J71" s="5"/>
      <c r="K71" s="5">
        <v>230</v>
      </c>
      <c r="L71" s="5">
        <v>19</v>
      </c>
      <c r="M71" s="5">
        <v>3</v>
      </c>
      <c r="N71" s="5" t="s">
        <v>3</v>
      </c>
      <c r="O71" s="5">
        <v>2</v>
      </c>
      <c r="P71" s="5">
        <f>ROUND(Source!ES51,O71)</f>
        <v>0</v>
      </c>
      <c r="Q71" s="5"/>
      <c r="R71" s="5"/>
      <c r="S71" s="5"/>
      <c r="T71" s="5"/>
      <c r="U71" s="5"/>
      <c r="V71" s="5"/>
      <c r="W71" s="5"/>
    </row>
    <row r="72" spans="1:23" ht="12.75">
      <c r="A72" s="5">
        <v>50</v>
      </c>
      <c r="B72" s="5">
        <v>0</v>
      </c>
      <c r="C72" s="5">
        <v>0</v>
      </c>
      <c r="D72" s="5">
        <v>1</v>
      </c>
      <c r="E72" s="5">
        <v>206</v>
      </c>
      <c r="F72" s="5">
        <f>ROUND(Source!T51,O72)</f>
        <v>0</v>
      </c>
      <c r="G72" s="5" t="s">
        <v>123</v>
      </c>
      <c r="H72" s="5" t="s">
        <v>124</v>
      </c>
      <c r="I72" s="5"/>
      <c r="J72" s="5"/>
      <c r="K72" s="5">
        <v>206</v>
      </c>
      <c r="L72" s="5">
        <v>20</v>
      </c>
      <c r="M72" s="5">
        <v>3</v>
      </c>
      <c r="N72" s="5" t="s">
        <v>3</v>
      </c>
      <c r="O72" s="5">
        <v>2</v>
      </c>
      <c r="P72" s="5">
        <f>ROUND(Source!DL51,O72)</f>
        <v>0</v>
      </c>
      <c r="Q72" s="5"/>
      <c r="R72" s="5"/>
      <c r="S72" s="5"/>
      <c r="T72" s="5"/>
      <c r="U72" s="5"/>
      <c r="V72" s="5"/>
      <c r="W72" s="5"/>
    </row>
    <row r="73" spans="1:23" ht="12.75">
      <c r="A73" s="5">
        <v>50</v>
      </c>
      <c r="B73" s="5">
        <v>0</v>
      </c>
      <c r="C73" s="5">
        <v>0</v>
      </c>
      <c r="D73" s="5">
        <v>1</v>
      </c>
      <c r="E73" s="5">
        <v>207</v>
      </c>
      <c r="F73" s="5">
        <f>Source!U51</f>
        <v>153.65359999999998</v>
      </c>
      <c r="G73" s="5" t="s">
        <v>125</v>
      </c>
      <c r="H73" s="5" t="s">
        <v>126</v>
      </c>
      <c r="I73" s="5"/>
      <c r="J73" s="5"/>
      <c r="K73" s="5">
        <v>207</v>
      </c>
      <c r="L73" s="5">
        <v>21</v>
      </c>
      <c r="M73" s="5">
        <v>3</v>
      </c>
      <c r="N73" s="5" t="s">
        <v>3</v>
      </c>
      <c r="O73" s="5">
        <v>-1</v>
      </c>
      <c r="P73" s="5">
        <f>Source!DM51</f>
        <v>153.65359999999998</v>
      </c>
      <c r="Q73" s="5"/>
      <c r="R73" s="5"/>
      <c r="S73" s="5"/>
      <c r="T73" s="5"/>
      <c r="U73" s="5"/>
      <c r="V73" s="5"/>
      <c r="W73" s="5"/>
    </row>
    <row r="74" spans="1:23" ht="12.75">
      <c r="A74" s="5">
        <v>50</v>
      </c>
      <c r="B74" s="5">
        <v>0</v>
      </c>
      <c r="C74" s="5">
        <v>0</v>
      </c>
      <c r="D74" s="5">
        <v>1</v>
      </c>
      <c r="E74" s="5">
        <v>208</v>
      </c>
      <c r="F74" s="5">
        <f>Source!V51</f>
        <v>1.3397</v>
      </c>
      <c r="G74" s="5" t="s">
        <v>127</v>
      </c>
      <c r="H74" s="5" t="s">
        <v>128</v>
      </c>
      <c r="I74" s="5"/>
      <c r="J74" s="5"/>
      <c r="K74" s="5">
        <v>208</v>
      </c>
      <c r="L74" s="5">
        <v>22</v>
      </c>
      <c r="M74" s="5">
        <v>3</v>
      </c>
      <c r="N74" s="5" t="s">
        <v>3</v>
      </c>
      <c r="O74" s="5">
        <v>-1</v>
      </c>
      <c r="P74" s="5">
        <f>Source!DN51</f>
        <v>1.3397</v>
      </c>
      <c r="Q74" s="5"/>
      <c r="R74" s="5"/>
      <c r="S74" s="5"/>
      <c r="T74" s="5"/>
      <c r="U74" s="5"/>
      <c r="V74" s="5"/>
      <c r="W74" s="5"/>
    </row>
    <row r="75" spans="1:23" ht="12.75">
      <c r="A75" s="5">
        <v>50</v>
      </c>
      <c r="B75" s="5">
        <v>0</v>
      </c>
      <c r="C75" s="5">
        <v>0</v>
      </c>
      <c r="D75" s="5">
        <v>1</v>
      </c>
      <c r="E75" s="5">
        <v>209</v>
      </c>
      <c r="F75" s="5">
        <f>ROUND(Source!W51,O75)</f>
        <v>0</v>
      </c>
      <c r="G75" s="5" t="s">
        <v>129</v>
      </c>
      <c r="H75" s="5" t="s">
        <v>130</v>
      </c>
      <c r="I75" s="5"/>
      <c r="J75" s="5"/>
      <c r="K75" s="5">
        <v>209</v>
      </c>
      <c r="L75" s="5">
        <v>23</v>
      </c>
      <c r="M75" s="5">
        <v>3</v>
      </c>
      <c r="N75" s="5" t="s">
        <v>3</v>
      </c>
      <c r="O75" s="5">
        <v>2</v>
      </c>
      <c r="P75" s="5">
        <f>ROUND(Source!DO51,O75)</f>
        <v>0</v>
      </c>
      <c r="Q75" s="5"/>
      <c r="R75" s="5"/>
      <c r="S75" s="5"/>
      <c r="T75" s="5"/>
      <c r="U75" s="5"/>
      <c r="V75" s="5"/>
      <c r="W75" s="5"/>
    </row>
    <row r="76" spans="1:23" ht="12.75">
      <c r="A76" s="5">
        <v>50</v>
      </c>
      <c r="B76" s="5">
        <v>0</v>
      </c>
      <c r="C76" s="5">
        <v>0</v>
      </c>
      <c r="D76" s="5">
        <v>1</v>
      </c>
      <c r="E76" s="5">
        <v>233</v>
      </c>
      <c r="F76" s="5">
        <f>ROUND(Source!BD51,O76)</f>
        <v>0</v>
      </c>
      <c r="G76" s="5" t="s">
        <v>131</v>
      </c>
      <c r="H76" s="5" t="s">
        <v>132</v>
      </c>
      <c r="I76" s="5"/>
      <c r="J76" s="5"/>
      <c r="K76" s="5">
        <v>233</v>
      </c>
      <c r="L76" s="5">
        <v>24</v>
      </c>
      <c r="M76" s="5">
        <v>3</v>
      </c>
      <c r="N76" s="5" t="s">
        <v>3</v>
      </c>
      <c r="O76" s="5">
        <v>2</v>
      </c>
      <c r="P76" s="5">
        <f>ROUND(Source!EV51,O76)</f>
        <v>0</v>
      </c>
      <c r="Q76" s="5"/>
      <c r="R76" s="5"/>
      <c r="S76" s="5"/>
      <c r="T76" s="5"/>
      <c r="U76" s="5"/>
      <c r="V76" s="5"/>
      <c r="W76" s="5"/>
    </row>
    <row r="77" spans="1:23" ht="12.75">
      <c r="A77" s="5">
        <v>50</v>
      </c>
      <c r="B77" s="5">
        <v>0</v>
      </c>
      <c r="C77" s="5">
        <v>0</v>
      </c>
      <c r="D77" s="5">
        <v>1</v>
      </c>
      <c r="E77" s="5">
        <v>210</v>
      </c>
      <c r="F77" s="5">
        <f>ROUND(Source!X51,O77)</f>
        <v>1278.98</v>
      </c>
      <c r="G77" s="5" t="s">
        <v>133</v>
      </c>
      <c r="H77" s="5" t="s">
        <v>134</v>
      </c>
      <c r="I77" s="5"/>
      <c r="J77" s="5"/>
      <c r="K77" s="5">
        <v>210</v>
      </c>
      <c r="L77" s="5">
        <v>25</v>
      </c>
      <c r="M77" s="5">
        <v>3</v>
      </c>
      <c r="N77" s="5" t="s">
        <v>3</v>
      </c>
      <c r="O77" s="5">
        <v>2</v>
      </c>
      <c r="P77" s="5">
        <f>ROUND(Source!DP51,O77)</f>
        <v>43497.91</v>
      </c>
      <c r="Q77" s="5"/>
      <c r="R77" s="5"/>
      <c r="S77" s="5"/>
      <c r="T77" s="5"/>
      <c r="U77" s="5"/>
      <c r="V77" s="5"/>
      <c r="W77" s="5"/>
    </row>
    <row r="78" spans="1:23" ht="12.75">
      <c r="A78" s="5">
        <v>50</v>
      </c>
      <c r="B78" s="5">
        <v>0</v>
      </c>
      <c r="C78" s="5">
        <v>0</v>
      </c>
      <c r="D78" s="5">
        <v>1</v>
      </c>
      <c r="E78" s="5">
        <v>211</v>
      </c>
      <c r="F78" s="5">
        <f>ROUND(Source!Y51,O78)</f>
        <v>1106.01</v>
      </c>
      <c r="G78" s="5" t="s">
        <v>135</v>
      </c>
      <c r="H78" s="5" t="s">
        <v>136</v>
      </c>
      <c r="I78" s="5"/>
      <c r="J78" s="5"/>
      <c r="K78" s="5">
        <v>211</v>
      </c>
      <c r="L78" s="5">
        <v>26</v>
      </c>
      <c r="M78" s="5">
        <v>3</v>
      </c>
      <c r="N78" s="5" t="s">
        <v>3</v>
      </c>
      <c r="O78" s="5">
        <v>2</v>
      </c>
      <c r="P78" s="5">
        <f>ROUND(Source!DQ51,O78)</f>
        <v>37615.51</v>
      </c>
      <c r="Q78" s="5"/>
      <c r="R78" s="5"/>
      <c r="S78" s="5"/>
      <c r="T78" s="5"/>
      <c r="U78" s="5"/>
      <c r="V78" s="5"/>
      <c r="W78" s="5"/>
    </row>
    <row r="79" spans="1:23" ht="12.75">
      <c r="A79" s="5">
        <v>50</v>
      </c>
      <c r="B79" s="5">
        <v>0</v>
      </c>
      <c r="C79" s="5">
        <v>0</v>
      </c>
      <c r="D79" s="5">
        <v>1</v>
      </c>
      <c r="E79" s="5">
        <v>224</v>
      </c>
      <c r="F79" s="5">
        <f>ROUND(Source!AR51,O79)</f>
        <v>941871.93</v>
      </c>
      <c r="G79" s="5" t="s">
        <v>137</v>
      </c>
      <c r="H79" s="5" t="s">
        <v>138</v>
      </c>
      <c r="I79" s="5"/>
      <c r="J79" s="5"/>
      <c r="K79" s="5">
        <v>224</v>
      </c>
      <c r="L79" s="5">
        <v>27</v>
      </c>
      <c r="M79" s="5">
        <v>3</v>
      </c>
      <c r="N79" s="5" t="s">
        <v>3</v>
      </c>
      <c r="O79" s="5">
        <v>2</v>
      </c>
      <c r="P79" s="5">
        <f>ROUND(Source!EJ51,O79)</f>
        <v>1073226.68</v>
      </c>
      <c r="Q79" s="5"/>
      <c r="R79" s="5"/>
      <c r="S79" s="5"/>
      <c r="T79" s="5"/>
      <c r="U79" s="5"/>
      <c r="V79" s="5"/>
      <c r="W79" s="5"/>
    </row>
    <row r="80" spans="1:23" ht="12.75">
      <c r="A80" s="5">
        <v>50</v>
      </c>
      <c r="B80" s="5">
        <v>1</v>
      </c>
      <c r="C80" s="5">
        <v>0</v>
      </c>
      <c r="D80" s="5">
        <v>2</v>
      </c>
      <c r="E80" s="5">
        <v>0</v>
      </c>
      <c r="F80" s="5">
        <f>ROUND(F79,O80)</f>
        <v>941871.93</v>
      </c>
      <c r="G80" s="5" t="s">
        <v>139</v>
      </c>
      <c r="H80" s="5" t="s">
        <v>140</v>
      </c>
      <c r="I80" s="5"/>
      <c r="J80" s="5"/>
      <c r="K80" s="5">
        <v>212</v>
      </c>
      <c r="L80" s="5">
        <v>28</v>
      </c>
      <c r="M80" s="5">
        <v>0</v>
      </c>
      <c r="N80" s="5" t="s">
        <v>3</v>
      </c>
      <c r="O80" s="5">
        <v>2</v>
      </c>
      <c r="P80" s="5">
        <f>ROUND(P79,O80)</f>
        <v>1073226.68</v>
      </c>
      <c r="Q80" s="5"/>
      <c r="R80" s="5"/>
      <c r="S80" s="5"/>
      <c r="T80" s="5"/>
      <c r="U80" s="5"/>
      <c r="V80" s="5"/>
      <c r="W80" s="5"/>
    </row>
    <row r="82" spans="1:88" ht="12.75">
      <c r="A82" s="1">
        <v>4</v>
      </c>
      <c r="B82" s="1">
        <v>1</v>
      </c>
      <c r="C82" s="1"/>
      <c r="D82" s="1">
        <f>ROW(A119)</f>
        <v>119</v>
      </c>
      <c r="E82" s="1"/>
      <c r="F82" s="1" t="s">
        <v>24</v>
      </c>
      <c r="G82" s="1" t="s">
        <v>141</v>
      </c>
      <c r="H82" s="1" t="s">
        <v>3</v>
      </c>
      <c r="I82" s="1">
        <v>0</v>
      </c>
      <c r="J82" s="1"/>
      <c r="K82" s="1">
        <v>0</v>
      </c>
      <c r="L82" s="1"/>
      <c r="M82" s="1" t="s">
        <v>3</v>
      </c>
      <c r="N82" s="1"/>
      <c r="O82" s="1"/>
      <c r="P82" s="1"/>
      <c r="Q82" s="1"/>
      <c r="R82" s="1"/>
      <c r="S82" s="1">
        <v>0</v>
      </c>
      <c r="T82" s="1">
        <v>0</v>
      </c>
      <c r="U82" s="1" t="s">
        <v>3</v>
      </c>
      <c r="V82" s="1">
        <v>0</v>
      </c>
      <c r="W82" s="1"/>
      <c r="X82" s="1"/>
      <c r="Y82" s="1"/>
      <c r="Z82" s="1"/>
      <c r="AA82" s="1"/>
      <c r="AB82" s="1" t="s">
        <v>3</v>
      </c>
      <c r="AC82" s="1" t="s">
        <v>3</v>
      </c>
      <c r="AD82" s="1" t="s">
        <v>3</v>
      </c>
      <c r="AE82" s="1" t="s">
        <v>3</v>
      </c>
      <c r="AF82" s="1" t="s">
        <v>3</v>
      </c>
      <c r="AG82" s="1" t="s">
        <v>3</v>
      </c>
      <c r="AH82" s="1"/>
      <c r="AI82" s="1"/>
      <c r="AJ82" s="1"/>
      <c r="AK82" s="1"/>
      <c r="AL82" s="1"/>
      <c r="AM82" s="1"/>
      <c r="AN82" s="1"/>
      <c r="AO82" s="1"/>
      <c r="AP82" s="1" t="s">
        <v>3</v>
      </c>
      <c r="AQ82" s="1" t="s">
        <v>3</v>
      </c>
      <c r="AR82" s="1" t="s">
        <v>3</v>
      </c>
      <c r="AS82" s="1"/>
      <c r="AT82" s="1"/>
      <c r="AU82" s="1"/>
      <c r="AV82" s="1"/>
      <c r="AW82" s="1"/>
      <c r="AX82" s="1"/>
      <c r="AY82" s="1"/>
      <c r="AZ82" s="1" t="s">
        <v>3</v>
      </c>
      <c r="BA82" s="1"/>
      <c r="BB82" s="1" t="s">
        <v>3</v>
      </c>
      <c r="BC82" s="1" t="s">
        <v>3</v>
      </c>
      <c r="BD82" s="1" t="s">
        <v>3</v>
      </c>
      <c r="BE82" s="1" t="s">
        <v>3</v>
      </c>
      <c r="BF82" s="1" t="s">
        <v>3</v>
      </c>
      <c r="BG82" s="1" t="s">
        <v>3</v>
      </c>
      <c r="BH82" s="1" t="s">
        <v>3</v>
      </c>
      <c r="BI82" s="1" t="s">
        <v>3</v>
      </c>
      <c r="BJ82" s="1" t="s">
        <v>3</v>
      </c>
      <c r="BK82" s="1" t="s">
        <v>3</v>
      </c>
      <c r="BL82" s="1" t="s">
        <v>3</v>
      </c>
      <c r="BM82" s="1" t="s">
        <v>3</v>
      </c>
      <c r="BN82" s="1" t="s">
        <v>3</v>
      </c>
      <c r="BO82" s="1" t="s">
        <v>3</v>
      </c>
      <c r="BP82" s="1" t="s">
        <v>3</v>
      </c>
      <c r="BQ82" s="1"/>
      <c r="BR82" s="1"/>
      <c r="BS82" s="1"/>
      <c r="BT82" s="1"/>
      <c r="BU82" s="1"/>
      <c r="BV82" s="1"/>
      <c r="BW82" s="1"/>
      <c r="BX82" s="1"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>
        <v>0</v>
      </c>
    </row>
    <row r="84" spans="1:206" ht="12.75">
      <c r="A84" s="3">
        <v>52</v>
      </c>
      <c r="B84" s="3">
        <f aca="true" t="shared" si="67" ref="B84:G84">B119</f>
        <v>1</v>
      </c>
      <c r="C84" s="3">
        <f t="shared" si="67"/>
        <v>4</v>
      </c>
      <c r="D84" s="3">
        <f t="shared" si="67"/>
        <v>82</v>
      </c>
      <c r="E84" s="3">
        <f t="shared" si="67"/>
        <v>0</v>
      </c>
      <c r="F84" s="3" t="str">
        <f t="shared" si="67"/>
        <v>Новый раздел</v>
      </c>
      <c r="G84" s="3" t="str">
        <f t="shared" si="67"/>
        <v>Строение 2</v>
      </c>
      <c r="H84" s="3"/>
      <c r="I84" s="3"/>
      <c r="J84" s="3"/>
      <c r="K84" s="3"/>
      <c r="L84" s="3"/>
      <c r="M84" s="3"/>
      <c r="N84" s="3"/>
      <c r="O84" s="3">
        <f aca="true" t="shared" si="68" ref="O84:AT84">O119</f>
        <v>1147410.66</v>
      </c>
      <c r="P84" s="3">
        <f t="shared" si="68"/>
        <v>1145694.69</v>
      </c>
      <c r="Q84" s="3">
        <f t="shared" si="68"/>
        <v>286.06</v>
      </c>
      <c r="R84" s="3">
        <f t="shared" si="68"/>
        <v>17.79</v>
      </c>
      <c r="S84" s="3">
        <f t="shared" si="68"/>
        <v>1429.91</v>
      </c>
      <c r="T84" s="3">
        <f t="shared" si="68"/>
        <v>0</v>
      </c>
      <c r="U84" s="3">
        <f t="shared" si="68"/>
        <v>144.90302</v>
      </c>
      <c r="V84" s="3">
        <f t="shared" si="68"/>
        <v>1.362</v>
      </c>
      <c r="W84" s="3">
        <f t="shared" si="68"/>
        <v>0</v>
      </c>
      <c r="X84" s="3">
        <f t="shared" si="68"/>
        <v>1202.32</v>
      </c>
      <c r="Y84" s="3">
        <f t="shared" si="68"/>
        <v>1028.63</v>
      </c>
      <c r="Z84" s="3">
        <f t="shared" si="68"/>
        <v>0</v>
      </c>
      <c r="AA84" s="3">
        <f t="shared" si="68"/>
        <v>0</v>
      </c>
      <c r="AB84" s="3">
        <f t="shared" si="68"/>
        <v>1147410.66</v>
      </c>
      <c r="AC84" s="3">
        <f t="shared" si="68"/>
        <v>1145694.69</v>
      </c>
      <c r="AD84" s="3">
        <f t="shared" si="68"/>
        <v>286.06</v>
      </c>
      <c r="AE84" s="3">
        <f t="shared" si="68"/>
        <v>17.79</v>
      </c>
      <c r="AF84" s="3">
        <f t="shared" si="68"/>
        <v>1429.91</v>
      </c>
      <c r="AG84" s="3">
        <f t="shared" si="68"/>
        <v>0</v>
      </c>
      <c r="AH84" s="3">
        <f t="shared" si="68"/>
        <v>144.90302</v>
      </c>
      <c r="AI84" s="3">
        <f t="shared" si="68"/>
        <v>1.362</v>
      </c>
      <c r="AJ84" s="3">
        <f t="shared" si="68"/>
        <v>0</v>
      </c>
      <c r="AK84" s="3">
        <f t="shared" si="68"/>
        <v>1202.32</v>
      </c>
      <c r="AL84" s="3">
        <f t="shared" si="68"/>
        <v>1028.63</v>
      </c>
      <c r="AM84" s="3">
        <f t="shared" si="68"/>
        <v>0</v>
      </c>
      <c r="AN84" s="3">
        <f t="shared" si="68"/>
        <v>0</v>
      </c>
      <c r="AO84" s="3">
        <f t="shared" si="68"/>
        <v>0</v>
      </c>
      <c r="AP84" s="3">
        <f t="shared" si="68"/>
        <v>0</v>
      </c>
      <c r="AQ84" s="3">
        <f t="shared" si="68"/>
        <v>0</v>
      </c>
      <c r="AR84" s="3">
        <f t="shared" si="68"/>
        <v>1149641.61</v>
      </c>
      <c r="AS84" s="3">
        <f t="shared" si="68"/>
        <v>1149641.61</v>
      </c>
      <c r="AT84" s="3">
        <f t="shared" si="68"/>
        <v>0</v>
      </c>
      <c r="AU84" s="3">
        <f aca="true" t="shared" si="69" ref="AU84:BZ84">AU119</f>
        <v>0</v>
      </c>
      <c r="AV84" s="3">
        <f t="shared" si="69"/>
        <v>1145694.69</v>
      </c>
      <c r="AW84" s="3">
        <f t="shared" si="69"/>
        <v>1145694.69</v>
      </c>
      <c r="AX84" s="3">
        <f t="shared" si="69"/>
        <v>0</v>
      </c>
      <c r="AY84" s="3">
        <f t="shared" si="69"/>
        <v>1145694.69</v>
      </c>
      <c r="AZ84" s="3">
        <f t="shared" si="69"/>
        <v>0</v>
      </c>
      <c r="BA84" s="3">
        <f t="shared" si="69"/>
        <v>0</v>
      </c>
      <c r="BB84" s="3">
        <f t="shared" si="69"/>
        <v>0</v>
      </c>
      <c r="BC84" s="3">
        <f t="shared" si="69"/>
        <v>0</v>
      </c>
      <c r="BD84" s="3">
        <f t="shared" si="69"/>
        <v>0</v>
      </c>
      <c r="BE84" s="3">
        <f t="shared" si="69"/>
        <v>0</v>
      </c>
      <c r="BF84" s="3">
        <f t="shared" si="69"/>
        <v>0</v>
      </c>
      <c r="BG84" s="3">
        <f t="shared" si="69"/>
        <v>0</v>
      </c>
      <c r="BH84" s="3">
        <f t="shared" si="69"/>
        <v>0</v>
      </c>
      <c r="BI84" s="3">
        <f t="shared" si="69"/>
        <v>0</v>
      </c>
      <c r="BJ84" s="3">
        <f t="shared" si="69"/>
        <v>0</v>
      </c>
      <c r="BK84" s="3">
        <f t="shared" si="69"/>
        <v>0</v>
      </c>
      <c r="BL84" s="3">
        <f t="shared" si="69"/>
        <v>0</v>
      </c>
      <c r="BM84" s="3">
        <f t="shared" si="69"/>
        <v>0</v>
      </c>
      <c r="BN84" s="3">
        <f t="shared" si="69"/>
        <v>0</v>
      </c>
      <c r="BO84" s="3">
        <f t="shared" si="69"/>
        <v>0</v>
      </c>
      <c r="BP84" s="3">
        <f t="shared" si="69"/>
        <v>0</v>
      </c>
      <c r="BQ84" s="3">
        <f t="shared" si="69"/>
        <v>0</v>
      </c>
      <c r="BR84" s="3">
        <f t="shared" si="69"/>
        <v>0</v>
      </c>
      <c r="BS84" s="3">
        <f t="shared" si="69"/>
        <v>0</v>
      </c>
      <c r="BT84" s="3">
        <f t="shared" si="69"/>
        <v>0</v>
      </c>
      <c r="BU84" s="3">
        <f t="shared" si="69"/>
        <v>0</v>
      </c>
      <c r="BV84" s="3">
        <f t="shared" si="69"/>
        <v>0</v>
      </c>
      <c r="BW84" s="3">
        <f t="shared" si="69"/>
        <v>0</v>
      </c>
      <c r="BX84" s="3">
        <f t="shared" si="69"/>
        <v>0</v>
      </c>
      <c r="BY84" s="3">
        <f t="shared" si="69"/>
        <v>0</v>
      </c>
      <c r="BZ84" s="3">
        <f t="shared" si="69"/>
        <v>0</v>
      </c>
      <c r="CA84" s="3">
        <f aca="true" t="shared" si="70" ref="CA84:DF84">CA119</f>
        <v>1149641.61</v>
      </c>
      <c r="CB84" s="3">
        <f t="shared" si="70"/>
        <v>1149641.61</v>
      </c>
      <c r="CC84" s="3">
        <f t="shared" si="70"/>
        <v>0</v>
      </c>
      <c r="CD84" s="3">
        <f t="shared" si="70"/>
        <v>0</v>
      </c>
      <c r="CE84" s="3">
        <f t="shared" si="70"/>
        <v>1145694.69</v>
      </c>
      <c r="CF84" s="3">
        <f t="shared" si="70"/>
        <v>1145694.69</v>
      </c>
      <c r="CG84" s="3">
        <f t="shared" si="70"/>
        <v>0</v>
      </c>
      <c r="CH84" s="3">
        <f t="shared" si="70"/>
        <v>1145694.69</v>
      </c>
      <c r="CI84" s="3">
        <f t="shared" si="70"/>
        <v>0</v>
      </c>
      <c r="CJ84" s="3">
        <f t="shared" si="70"/>
        <v>0</v>
      </c>
      <c r="CK84" s="3">
        <f t="shared" si="70"/>
        <v>0</v>
      </c>
      <c r="CL84" s="3">
        <f t="shared" si="70"/>
        <v>0</v>
      </c>
      <c r="CM84" s="3">
        <f t="shared" si="70"/>
        <v>0</v>
      </c>
      <c r="CN84" s="3">
        <f t="shared" si="70"/>
        <v>0</v>
      </c>
      <c r="CO84" s="3">
        <f t="shared" si="70"/>
        <v>0</v>
      </c>
      <c r="CP84" s="3">
        <f t="shared" si="70"/>
        <v>0</v>
      </c>
      <c r="CQ84" s="3">
        <f t="shared" si="70"/>
        <v>0</v>
      </c>
      <c r="CR84" s="3">
        <f t="shared" si="70"/>
        <v>0</v>
      </c>
      <c r="CS84" s="3">
        <f t="shared" si="70"/>
        <v>0</v>
      </c>
      <c r="CT84" s="3">
        <f t="shared" si="70"/>
        <v>0</v>
      </c>
      <c r="CU84" s="3">
        <f t="shared" si="70"/>
        <v>0</v>
      </c>
      <c r="CV84" s="3">
        <f t="shared" si="70"/>
        <v>0</v>
      </c>
      <c r="CW84" s="3">
        <f t="shared" si="70"/>
        <v>0</v>
      </c>
      <c r="CX84" s="3">
        <f t="shared" si="70"/>
        <v>0</v>
      </c>
      <c r="CY84" s="3">
        <f t="shared" si="70"/>
        <v>0</v>
      </c>
      <c r="CZ84" s="3">
        <f t="shared" si="70"/>
        <v>0</v>
      </c>
      <c r="DA84" s="3">
        <f t="shared" si="70"/>
        <v>0</v>
      </c>
      <c r="DB84" s="3">
        <f t="shared" si="70"/>
        <v>0</v>
      </c>
      <c r="DC84" s="3">
        <f t="shared" si="70"/>
        <v>0</v>
      </c>
      <c r="DD84" s="3">
        <f t="shared" si="70"/>
        <v>0</v>
      </c>
      <c r="DE84" s="3">
        <f t="shared" si="70"/>
        <v>0</v>
      </c>
      <c r="DF84" s="3">
        <f t="shared" si="70"/>
        <v>0</v>
      </c>
      <c r="DG84" s="4">
        <f aca="true" t="shared" si="71" ref="DG84:EL84">DG119</f>
        <v>1198069.25</v>
      </c>
      <c r="DH84" s="4">
        <f t="shared" si="71"/>
        <v>1147386.24</v>
      </c>
      <c r="DI84" s="4">
        <f t="shared" si="71"/>
        <v>2051.81</v>
      </c>
      <c r="DJ84" s="4">
        <f t="shared" si="71"/>
        <v>605.27</v>
      </c>
      <c r="DK84" s="4">
        <f t="shared" si="71"/>
        <v>48631.2</v>
      </c>
      <c r="DL84" s="4">
        <f t="shared" si="71"/>
        <v>0</v>
      </c>
      <c r="DM84" s="4">
        <f t="shared" si="71"/>
        <v>144.90302</v>
      </c>
      <c r="DN84" s="4">
        <f t="shared" si="71"/>
        <v>1.362</v>
      </c>
      <c r="DO84" s="4">
        <f t="shared" si="71"/>
        <v>0</v>
      </c>
      <c r="DP84" s="4">
        <f t="shared" si="71"/>
        <v>40891.09</v>
      </c>
      <c r="DQ84" s="4">
        <f t="shared" si="71"/>
        <v>34983.4</v>
      </c>
      <c r="DR84" s="4">
        <f t="shared" si="71"/>
        <v>0</v>
      </c>
      <c r="DS84" s="4">
        <f t="shared" si="71"/>
        <v>0</v>
      </c>
      <c r="DT84" s="4">
        <f t="shared" si="71"/>
        <v>1198069.25</v>
      </c>
      <c r="DU84" s="4">
        <f t="shared" si="71"/>
        <v>1147386.24</v>
      </c>
      <c r="DV84" s="4">
        <f t="shared" si="71"/>
        <v>2051.81</v>
      </c>
      <c r="DW84" s="4">
        <f t="shared" si="71"/>
        <v>605.27</v>
      </c>
      <c r="DX84" s="4">
        <f t="shared" si="71"/>
        <v>48631.2</v>
      </c>
      <c r="DY84" s="4">
        <f t="shared" si="71"/>
        <v>0</v>
      </c>
      <c r="DZ84" s="4">
        <f t="shared" si="71"/>
        <v>144.90302</v>
      </c>
      <c r="EA84" s="4">
        <f t="shared" si="71"/>
        <v>1.362</v>
      </c>
      <c r="EB84" s="4">
        <f t="shared" si="71"/>
        <v>0</v>
      </c>
      <c r="EC84" s="4">
        <f t="shared" si="71"/>
        <v>40891.09</v>
      </c>
      <c r="ED84" s="4">
        <f t="shared" si="71"/>
        <v>34983.4</v>
      </c>
      <c r="EE84" s="4">
        <f t="shared" si="71"/>
        <v>0</v>
      </c>
      <c r="EF84" s="4">
        <f t="shared" si="71"/>
        <v>0</v>
      </c>
      <c r="EG84" s="4">
        <f t="shared" si="71"/>
        <v>0</v>
      </c>
      <c r="EH84" s="4">
        <f t="shared" si="71"/>
        <v>0</v>
      </c>
      <c r="EI84" s="4">
        <f t="shared" si="71"/>
        <v>0</v>
      </c>
      <c r="EJ84" s="4">
        <f t="shared" si="71"/>
        <v>1273943.74</v>
      </c>
      <c r="EK84" s="4">
        <f t="shared" si="71"/>
        <v>1273943.74</v>
      </c>
      <c r="EL84" s="4">
        <f t="shared" si="71"/>
        <v>0</v>
      </c>
      <c r="EM84" s="4">
        <f aca="true" t="shared" si="72" ref="EM84:FR84">EM119</f>
        <v>0</v>
      </c>
      <c r="EN84" s="4">
        <f t="shared" si="72"/>
        <v>1147386.24</v>
      </c>
      <c r="EO84" s="4">
        <f t="shared" si="72"/>
        <v>1147386.24</v>
      </c>
      <c r="EP84" s="4">
        <f t="shared" si="72"/>
        <v>0</v>
      </c>
      <c r="EQ84" s="4">
        <f t="shared" si="72"/>
        <v>1147386.24</v>
      </c>
      <c r="ER84" s="4">
        <f t="shared" si="72"/>
        <v>0</v>
      </c>
      <c r="ES84" s="4">
        <f t="shared" si="72"/>
        <v>0</v>
      </c>
      <c r="ET84" s="4">
        <f t="shared" si="72"/>
        <v>0</v>
      </c>
      <c r="EU84" s="4">
        <f t="shared" si="72"/>
        <v>0</v>
      </c>
      <c r="EV84" s="4">
        <f t="shared" si="72"/>
        <v>0</v>
      </c>
      <c r="EW84" s="4">
        <f t="shared" si="72"/>
        <v>0</v>
      </c>
      <c r="EX84" s="4">
        <f t="shared" si="72"/>
        <v>0</v>
      </c>
      <c r="EY84" s="4">
        <f t="shared" si="72"/>
        <v>0</v>
      </c>
      <c r="EZ84" s="4">
        <f t="shared" si="72"/>
        <v>0</v>
      </c>
      <c r="FA84" s="4">
        <f t="shared" si="72"/>
        <v>0</v>
      </c>
      <c r="FB84" s="4">
        <f t="shared" si="72"/>
        <v>0</v>
      </c>
      <c r="FC84" s="4">
        <f t="shared" si="72"/>
        <v>0</v>
      </c>
      <c r="FD84" s="4">
        <f t="shared" si="72"/>
        <v>0</v>
      </c>
      <c r="FE84" s="4">
        <f t="shared" si="72"/>
        <v>0</v>
      </c>
      <c r="FF84" s="4">
        <f t="shared" si="72"/>
        <v>0</v>
      </c>
      <c r="FG84" s="4">
        <f t="shared" si="72"/>
        <v>0</v>
      </c>
      <c r="FH84" s="4">
        <f t="shared" si="72"/>
        <v>0</v>
      </c>
      <c r="FI84" s="4">
        <f t="shared" si="72"/>
        <v>0</v>
      </c>
      <c r="FJ84" s="4">
        <f t="shared" si="72"/>
        <v>0</v>
      </c>
      <c r="FK84" s="4">
        <f t="shared" si="72"/>
        <v>0</v>
      </c>
      <c r="FL84" s="4">
        <f t="shared" si="72"/>
        <v>0</v>
      </c>
      <c r="FM84" s="4">
        <f t="shared" si="72"/>
        <v>0</v>
      </c>
      <c r="FN84" s="4">
        <f t="shared" si="72"/>
        <v>0</v>
      </c>
      <c r="FO84" s="4">
        <f t="shared" si="72"/>
        <v>0</v>
      </c>
      <c r="FP84" s="4">
        <f t="shared" si="72"/>
        <v>0</v>
      </c>
      <c r="FQ84" s="4">
        <f t="shared" si="72"/>
        <v>0</v>
      </c>
      <c r="FR84" s="4">
        <f t="shared" si="72"/>
        <v>0</v>
      </c>
      <c r="FS84" s="4">
        <f aca="true" t="shared" si="73" ref="FS84:GX84">FS119</f>
        <v>1273943.74</v>
      </c>
      <c r="FT84" s="4">
        <f t="shared" si="73"/>
        <v>1273943.74</v>
      </c>
      <c r="FU84" s="4">
        <f t="shared" si="73"/>
        <v>0</v>
      </c>
      <c r="FV84" s="4">
        <f t="shared" si="73"/>
        <v>0</v>
      </c>
      <c r="FW84" s="4">
        <f t="shared" si="73"/>
        <v>1147386.24</v>
      </c>
      <c r="FX84" s="4">
        <f t="shared" si="73"/>
        <v>1147386.24</v>
      </c>
      <c r="FY84" s="4">
        <f t="shared" si="73"/>
        <v>0</v>
      </c>
      <c r="FZ84" s="4">
        <f t="shared" si="73"/>
        <v>1147386.24</v>
      </c>
      <c r="GA84" s="4">
        <f t="shared" si="73"/>
        <v>0</v>
      </c>
      <c r="GB84" s="4">
        <f t="shared" si="73"/>
        <v>0</v>
      </c>
      <c r="GC84" s="4">
        <f t="shared" si="73"/>
        <v>0</v>
      </c>
      <c r="GD84" s="4">
        <f t="shared" si="73"/>
        <v>0</v>
      </c>
      <c r="GE84" s="4">
        <f t="shared" si="73"/>
        <v>0</v>
      </c>
      <c r="GF84" s="4">
        <f t="shared" si="73"/>
        <v>0</v>
      </c>
      <c r="GG84" s="4">
        <f t="shared" si="73"/>
        <v>0</v>
      </c>
      <c r="GH84" s="4">
        <f t="shared" si="73"/>
        <v>0</v>
      </c>
      <c r="GI84" s="4">
        <f t="shared" si="73"/>
        <v>0</v>
      </c>
      <c r="GJ84" s="4">
        <f t="shared" si="73"/>
        <v>0</v>
      </c>
      <c r="GK84" s="4">
        <f t="shared" si="73"/>
        <v>0</v>
      </c>
      <c r="GL84" s="4">
        <f t="shared" si="73"/>
        <v>0</v>
      </c>
      <c r="GM84" s="4">
        <f t="shared" si="73"/>
        <v>0</v>
      </c>
      <c r="GN84" s="4">
        <f t="shared" si="73"/>
        <v>0</v>
      </c>
      <c r="GO84" s="4">
        <f t="shared" si="73"/>
        <v>0</v>
      </c>
      <c r="GP84" s="4">
        <f t="shared" si="73"/>
        <v>0</v>
      </c>
      <c r="GQ84" s="4">
        <f t="shared" si="73"/>
        <v>0</v>
      </c>
      <c r="GR84" s="4">
        <f t="shared" si="73"/>
        <v>0</v>
      </c>
      <c r="GS84" s="4">
        <f t="shared" si="73"/>
        <v>0</v>
      </c>
      <c r="GT84" s="4">
        <f t="shared" si="73"/>
        <v>0</v>
      </c>
      <c r="GU84" s="4">
        <f t="shared" si="73"/>
        <v>0</v>
      </c>
      <c r="GV84" s="4">
        <f t="shared" si="73"/>
        <v>0</v>
      </c>
      <c r="GW84" s="4">
        <f t="shared" si="73"/>
        <v>0</v>
      </c>
      <c r="GX84" s="4">
        <f t="shared" si="73"/>
        <v>0</v>
      </c>
    </row>
    <row r="86" spans="1:255" ht="12.75">
      <c r="A86" s="2">
        <v>17</v>
      </c>
      <c r="B86" s="2">
        <v>1</v>
      </c>
      <c r="C86" s="2">
        <f>ROW(SmtRes!A50)</f>
        <v>50</v>
      </c>
      <c r="D86" s="2">
        <f>ROW(EtalonRes!A52)</f>
        <v>52</v>
      </c>
      <c r="E86" s="2" t="s">
        <v>142</v>
      </c>
      <c r="F86" s="2" t="s">
        <v>27</v>
      </c>
      <c r="G86" s="2" t="s">
        <v>28</v>
      </c>
      <c r="H86" s="2" t="s">
        <v>29</v>
      </c>
      <c r="I86" s="2">
        <f>ROUND(ROUND(10.46/100,2),7)</f>
        <v>0.1</v>
      </c>
      <c r="J86" s="2">
        <v>0</v>
      </c>
      <c r="K86" s="2">
        <f>ROUND(ROUND(10.46/100,2),7)</f>
        <v>0.1</v>
      </c>
      <c r="L86" s="2"/>
      <c r="M86" s="2"/>
      <c r="N86" s="2"/>
      <c r="O86" s="2">
        <f aca="true" t="shared" si="74" ref="O86:O117">ROUND(CP86,2)</f>
        <v>109.18</v>
      </c>
      <c r="P86" s="2">
        <f aca="true" t="shared" si="75" ref="P86:P117">ROUND(CQ86*I86,2)</f>
        <v>37.95</v>
      </c>
      <c r="Q86" s="2">
        <f aca="true" t="shared" si="76" ref="Q86:Q117">ROUND(CR86*I86,2)</f>
        <v>1.48</v>
      </c>
      <c r="R86" s="2">
        <f aca="true" t="shared" si="77" ref="R86:R117">ROUND(CS86*I86,2)</f>
        <v>0.26</v>
      </c>
      <c r="S86" s="2">
        <f aca="true" t="shared" si="78" ref="S86:S117">ROUND(CT86*I86,2)</f>
        <v>69.75</v>
      </c>
      <c r="T86" s="2">
        <f aca="true" t="shared" si="79" ref="T86:T117">ROUND(CU86*I86,2)</f>
        <v>0</v>
      </c>
      <c r="U86" s="2">
        <f aca="true" t="shared" si="80" ref="U86:U117">CV86*I86</f>
        <v>8.073</v>
      </c>
      <c r="V86" s="2">
        <f aca="true" t="shared" si="81" ref="V86:V117">CW86*I86</f>
        <v>0.0225</v>
      </c>
      <c r="W86" s="2">
        <f aca="true" t="shared" si="82" ref="W86:W117">ROUND(CX86*I86,2)</f>
        <v>0</v>
      </c>
      <c r="X86" s="2">
        <f aca="true" t="shared" si="83" ref="X86:X117">ROUND(CY86,2)</f>
        <v>77.01</v>
      </c>
      <c r="Y86" s="2">
        <f aca="true" t="shared" si="84" ref="Y86:Y117">ROUND(CZ86,2)</f>
        <v>47.61</v>
      </c>
      <c r="Z86" s="2"/>
      <c r="AA86" s="2">
        <v>50947576</v>
      </c>
      <c r="AB86" s="2">
        <f aca="true" t="shared" si="85" ref="AB86:AB117">ROUND((AC86+AD86+AF86),6)</f>
        <v>1091.767</v>
      </c>
      <c r="AC86" s="2">
        <f aca="true" t="shared" si="86" ref="AC86:AC91">ROUND((ES86),6)</f>
        <v>379.47</v>
      </c>
      <c r="AD86" s="2">
        <f>ROUND(((((ET86*ROUND(1.25,7)))-((EU86*ROUND(1.25,7))))+AE86),6)</f>
        <v>14.7875</v>
      </c>
      <c r="AE86" s="2">
        <f>ROUND(((EU86*ROUND(1.25,7))),6)</f>
        <v>2.6125</v>
      </c>
      <c r="AF86" s="2">
        <f>ROUND(((EV86*ROUND(1.15,7))),6)</f>
        <v>697.5095</v>
      </c>
      <c r="AG86" s="2">
        <f aca="true" t="shared" si="87" ref="AG86:AG117">ROUND((AP86),6)</f>
        <v>0</v>
      </c>
      <c r="AH86" s="2">
        <f>((EW86*ROUND(1.15,7)))</f>
        <v>80.73</v>
      </c>
      <c r="AI86" s="2">
        <f>((EX86*ROUND(1.25,7)))</f>
        <v>0.22499999999999998</v>
      </c>
      <c r="AJ86" s="2">
        <f aca="true" t="shared" si="88" ref="AJ86:AJ117">(AS86)</f>
        <v>0</v>
      </c>
      <c r="AK86" s="2">
        <v>997.83</v>
      </c>
      <c r="AL86" s="2">
        <v>379.47</v>
      </c>
      <c r="AM86" s="2">
        <v>11.83</v>
      </c>
      <c r="AN86" s="2">
        <v>2.09</v>
      </c>
      <c r="AO86" s="2">
        <v>606.53</v>
      </c>
      <c r="AP86" s="2">
        <v>0</v>
      </c>
      <c r="AQ86" s="2">
        <v>70.2</v>
      </c>
      <c r="AR86" s="2">
        <v>0.18</v>
      </c>
      <c r="AS86" s="2">
        <v>0</v>
      </c>
      <c r="AT86" s="2">
        <v>110</v>
      </c>
      <c r="AU86" s="2">
        <v>68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0</v>
      </c>
      <c r="BI86" s="2">
        <v>1</v>
      </c>
      <c r="BJ86" s="2" t="s">
        <v>30</v>
      </c>
      <c r="BK86" s="2"/>
      <c r="BL86" s="2"/>
      <c r="BM86" s="2">
        <v>8001</v>
      </c>
      <c r="BN86" s="2">
        <v>0</v>
      </c>
      <c r="BO86" s="2" t="s">
        <v>3</v>
      </c>
      <c r="BP86" s="2">
        <v>0</v>
      </c>
      <c r="BQ86" s="2">
        <v>2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122</v>
      </c>
      <c r="CA86" s="2">
        <v>80</v>
      </c>
      <c r="CB86" s="2" t="s">
        <v>3</v>
      </c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390</v>
      </c>
      <c r="CO86" s="2">
        <v>0</v>
      </c>
      <c r="CP86" s="2">
        <f aca="true" t="shared" si="89" ref="CP86:CP117">(P86+Q86+S86)</f>
        <v>109.18</v>
      </c>
      <c r="CQ86" s="2">
        <f aca="true" t="shared" si="90" ref="CQ86:CQ117">AC86*BC86</f>
        <v>379.47</v>
      </c>
      <c r="CR86" s="2">
        <f aca="true" t="shared" si="91" ref="CR86:CR117">AD86*BB86</f>
        <v>14.7875</v>
      </c>
      <c r="CS86" s="2">
        <f aca="true" t="shared" si="92" ref="CS86:CS117">AE86*BS86</f>
        <v>2.6125</v>
      </c>
      <c r="CT86" s="2">
        <f aca="true" t="shared" si="93" ref="CT86:CT117">AF86*BA86</f>
        <v>697.5095</v>
      </c>
      <c r="CU86" s="2">
        <f aca="true" t="shared" si="94" ref="CU86:CU117">AG86</f>
        <v>0</v>
      </c>
      <c r="CV86" s="2">
        <f aca="true" t="shared" si="95" ref="CV86:CV117">AH86</f>
        <v>80.73</v>
      </c>
      <c r="CW86" s="2">
        <f aca="true" t="shared" si="96" ref="CW86:CW117">AI86</f>
        <v>0.22499999999999998</v>
      </c>
      <c r="CX86" s="2">
        <f aca="true" t="shared" si="97" ref="CX86:CX117">AJ86</f>
        <v>0</v>
      </c>
      <c r="CY86" s="2">
        <f aca="true" t="shared" si="98" ref="CY86:CY117">(((S86+R86)*AT86)/100)</f>
        <v>77.01100000000001</v>
      </c>
      <c r="CZ86" s="2">
        <f aca="true" t="shared" si="99" ref="CZ86:CZ117">(((S86+R86)*AU86)/100)</f>
        <v>47.6068</v>
      </c>
      <c r="DA86" s="2"/>
      <c r="DB86" s="2"/>
      <c r="DC86" s="2" t="s">
        <v>3</v>
      </c>
      <c r="DD86" s="2" t="s">
        <v>3</v>
      </c>
      <c r="DE86" s="2" t="s">
        <v>31</v>
      </c>
      <c r="DF86" s="2" t="s">
        <v>31</v>
      </c>
      <c r="DG86" s="2" t="s">
        <v>32</v>
      </c>
      <c r="DH86" s="2" t="s">
        <v>3</v>
      </c>
      <c r="DI86" s="2" t="s">
        <v>32</v>
      </c>
      <c r="DJ86" s="2" t="s">
        <v>31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1013</v>
      </c>
      <c r="DV86" s="2" t="s">
        <v>29</v>
      </c>
      <c r="DW86" s="2" t="s">
        <v>29</v>
      </c>
      <c r="DX86" s="2">
        <v>1</v>
      </c>
      <c r="DY86" s="2"/>
      <c r="DZ86" s="2" t="s">
        <v>3</v>
      </c>
      <c r="EA86" s="2" t="s">
        <v>3</v>
      </c>
      <c r="EB86" s="2" t="s">
        <v>3</v>
      </c>
      <c r="EC86" s="2" t="s">
        <v>3</v>
      </c>
      <c r="ED86" s="2"/>
      <c r="EE86" s="2">
        <v>49315464</v>
      </c>
      <c r="EF86" s="2">
        <v>2</v>
      </c>
      <c r="EG86" s="2" t="s">
        <v>33</v>
      </c>
      <c r="EH86" s="2">
        <v>0</v>
      </c>
      <c r="EI86" s="2" t="s">
        <v>3</v>
      </c>
      <c r="EJ86" s="2">
        <v>1</v>
      </c>
      <c r="EK86" s="2">
        <v>8001</v>
      </c>
      <c r="EL86" s="2" t="s">
        <v>34</v>
      </c>
      <c r="EM86" s="2" t="s">
        <v>35</v>
      </c>
      <c r="EN86" s="2"/>
      <c r="EO86" s="2" t="s">
        <v>36</v>
      </c>
      <c r="EP86" s="2"/>
      <c r="EQ86" s="2">
        <v>0</v>
      </c>
      <c r="ER86" s="2">
        <v>997.83</v>
      </c>
      <c r="ES86" s="2">
        <v>379.47</v>
      </c>
      <c r="ET86" s="2">
        <v>11.83</v>
      </c>
      <c r="EU86" s="2">
        <v>2.09</v>
      </c>
      <c r="EV86" s="2">
        <v>606.53</v>
      </c>
      <c r="EW86" s="2">
        <v>70.2</v>
      </c>
      <c r="EX86" s="2">
        <v>0.18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aca="true" t="shared" si="100" ref="FR86:FR117">ROUND(IF(AND(BH86=3,BI86=3),P86,0),2)</f>
        <v>0</v>
      </c>
      <c r="FS86" s="2">
        <v>0</v>
      </c>
      <c r="FT86" s="2" t="s">
        <v>37</v>
      </c>
      <c r="FU86" s="2" t="s">
        <v>38</v>
      </c>
      <c r="FV86" s="2"/>
      <c r="FW86" s="2"/>
      <c r="FX86" s="2">
        <v>109.8</v>
      </c>
      <c r="FY86" s="2">
        <v>68</v>
      </c>
      <c r="FZ86" s="2"/>
      <c r="GA86" s="2" t="s">
        <v>3</v>
      </c>
      <c r="GB86" s="2"/>
      <c r="GC86" s="2"/>
      <c r="GD86" s="2">
        <v>1</v>
      </c>
      <c r="GE86" s="2"/>
      <c r="GF86" s="2">
        <v>1642729560</v>
      </c>
      <c r="GG86" s="2">
        <v>2</v>
      </c>
      <c r="GH86" s="2">
        <v>1</v>
      </c>
      <c r="GI86" s="2">
        <v>-2</v>
      </c>
      <c r="GJ86" s="2">
        <v>0</v>
      </c>
      <c r="GK86" s="2">
        <v>0</v>
      </c>
      <c r="GL86" s="2">
        <f aca="true" t="shared" si="101" ref="GL86:GL117">ROUND(IF(AND(BH86=3,BI86=3,FS86&lt;&gt;0),P86,0),2)</f>
        <v>0</v>
      </c>
      <c r="GM86" s="2">
        <f aca="true" t="shared" si="102" ref="GM86:GM117">ROUND(O86+X86+Y86,2)+GX86</f>
        <v>233.8</v>
      </c>
      <c r="GN86" s="2">
        <f aca="true" t="shared" si="103" ref="GN86:GN117">IF(OR(BI86=0,BI86=1),ROUND(O86+X86+Y86,2),0)</f>
        <v>233.8</v>
      </c>
      <c r="GO86" s="2">
        <f aca="true" t="shared" si="104" ref="GO86:GO117">IF(BI86=2,ROUND(O86+X86+Y86,2),0)</f>
        <v>0</v>
      </c>
      <c r="GP86" s="2">
        <f aca="true" t="shared" si="105" ref="GP86:GP117">IF(BI86=4,ROUND(O86+X86+Y86,2)+GX86,0)</f>
        <v>0</v>
      </c>
      <c r="GQ86" s="2"/>
      <c r="GR86" s="2">
        <v>0</v>
      </c>
      <c r="GS86" s="2">
        <v>3</v>
      </c>
      <c r="GT86" s="2">
        <v>0</v>
      </c>
      <c r="GU86" s="2" t="s">
        <v>3</v>
      </c>
      <c r="GV86" s="2">
        <f aca="true" t="shared" si="106" ref="GV86:GV117">ROUND((GT86),6)</f>
        <v>0</v>
      </c>
      <c r="GW86" s="2">
        <v>1</v>
      </c>
      <c r="GX86" s="2">
        <f aca="true" t="shared" si="107" ref="GX86:GX117">ROUND(HC86*I86,2)</f>
        <v>0</v>
      </c>
      <c r="GY86" s="2"/>
      <c r="GZ86" s="2"/>
      <c r="HA86" s="2">
        <v>0</v>
      </c>
      <c r="HB86" s="2">
        <v>0</v>
      </c>
      <c r="HC86" s="2">
        <f aca="true" t="shared" si="108" ref="HC86:HC117">GV86*GW86</f>
        <v>0</v>
      </c>
      <c r="HD86" s="2"/>
      <c r="HE86" s="2" t="s">
        <v>3</v>
      </c>
      <c r="HF86" s="2" t="s">
        <v>3</v>
      </c>
      <c r="HG86" s="2"/>
      <c r="HH86" s="2"/>
      <c r="HI86" s="2"/>
      <c r="HJ86" s="2"/>
      <c r="HK86" s="2"/>
      <c r="HL86" s="2"/>
      <c r="HM86" s="2" t="s">
        <v>3</v>
      </c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45" ht="12.75">
      <c r="A87">
        <v>17</v>
      </c>
      <c r="B87">
        <v>1</v>
      </c>
      <c r="C87">
        <f>ROW(SmtRes!A56)</f>
        <v>56</v>
      </c>
      <c r="D87">
        <f>ROW(EtalonRes!A58)</f>
        <v>58</v>
      </c>
      <c r="E87" t="s">
        <v>142</v>
      </c>
      <c r="F87" t="s">
        <v>27</v>
      </c>
      <c r="G87" t="s">
        <v>28</v>
      </c>
      <c r="H87" t="s">
        <v>29</v>
      </c>
      <c r="I87">
        <f>ROUND(ROUND(10.46/100,2),7)</f>
        <v>0.1</v>
      </c>
      <c r="J87">
        <v>0</v>
      </c>
      <c r="K87">
        <f>ROUND(ROUND(10.46/100,2),7)</f>
        <v>0.1</v>
      </c>
      <c r="O87">
        <f t="shared" si="74"/>
        <v>2736.15</v>
      </c>
      <c r="P87">
        <f t="shared" si="75"/>
        <v>346.84</v>
      </c>
      <c r="Q87">
        <f t="shared" si="76"/>
        <v>17.08</v>
      </c>
      <c r="R87">
        <f t="shared" si="77"/>
        <v>8.89</v>
      </c>
      <c r="S87">
        <f t="shared" si="78"/>
        <v>2372.23</v>
      </c>
      <c r="T87">
        <f t="shared" si="79"/>
        <v>0</v>
      </c>
      <c r="U87">
        <f t="shared" si="80"/>
        <v>8.073</v>
      </c>
      <c r="V87">
        <f t="shared" si="81"/>
        <v>0.0225</v>
      </c>
      <c r="W87">
        <f t="shared" si="82"/>
        <v>0</v>
      </c>
      <c r="X87">
        <f t="shared" si="83"/>
        <v>2619.23</v>
      </c>
      <c r="Y87">
        <f t="shared" si="84"/>
        <v>1619.16</v>
      </c>
      <c r="AA87">
        <v>50961513</v>
      </c>
      <c r="AB87">
        <f t="shared" si="85"/>
        <v>1091.767</v>
      </c>
      <c r="AC87">
        <f t="shared" si="86"/>
        <v>379.47</v>
      </c>
      <c r="AD87">
        <f>ROUND(((((ET87*ROUND(1.25,7)))-((EU87*ROUND(1.25,7))))+AE87),6)</f>
        <v>14.7875</v>
      </c>
      <c r="AE87">
        <f>ROUND(((EU87*ROUND(1.25,7))),6)</f>
        <v>2.6125</v>
      </c>
      <c r="AF87">
        <f>ROUND(((EV87*ROUND(1.15,7))),6)</f>
        <v>697.5095</v>
      </c>
      <c r="AG87">
        <f t="shared" si="87"/>
        <v>0</v>
      </c>
      <c r="AH87">
        <f>((EW87*ROUND(1.15,7)))</f>
        <v>80.73</v>
      </c>
      <c r="AI87">
        <f>((EX87*ROUND(1.25,7)))</f>
        <v>0.22499999999999998</v>
      </c>
      <c r="AJ87">
        <f t="shared" si="88"/>
        <v>0</v>
      </c>
      <c r="AK87">
        <v>997.83</v>
      </c>
      <c r="AL87">
        <v>379.47</v>
      </c>
      <c r="AM87">
        <v>11.83</v>
      </c>
      <c r="AN87">
        <v>2.09</v>
      </c>
      <c r="AO87">
        <v>606.53</v>
      </c>
      <c r="AP87">
        <v>0</v>
      </c>
      <c r="AQ87">
        <v>70.2</v>
      </c>
      <c r="AR87">
        <v>0.18</v>
      </c>
      <c r="AS87">
        <v>0</v>
      </c>
      <c r="AT87">
        <v>110</v>
      </c>
      <c r="AU87">
        <v>68</v>
      </c>
      <c r="AV87">
        <v>1</v>
      </c>
      <c r="AW87">
        <v>1</v>
      </c>
      <c r="AZ87">
        <v>1</v>
      </c>
      <c r="BA87">
        <v>34.01</v>
      </c>
      <c r="BB87">
        <v>11.55</v>
      </c>
      <c r="BC87">
        <v>9.14</v>
      </c>
      <c r="BH87">
        <v>0</v>
      </c>
      <c r="BI87">
        <v>1</v>
      </c>
      <c r="BJ87" t="s">
        <v>30</v>
      </c>
      <c r="BM87">
        <v>8001</v>
      </c>
      <c r="BN87">
        <v>0</v>
      </c>
      <c r="BO87" t="s">
        <v>27</v>
      </c>
      <c r="BP87">
        <v>1</v>
      </c>
      <c r="BQ87">
        <v>2</v>
      </c>
      <c r="BR87">
        <v>0</v>
      </c>
      <c r="BS87">
        <v>34.01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122</v>
      </c>
      <c r="CA87">
        <v>80</v>
      </c>
      <c r="CE87">
        <v>0</v>
      </c>
      <c r="CF87">
        <v>0</v>
      </c>
      <c r="CG87">
        <v>0</v>
      </c>
      <c r="CM87">
        <v>0</v>
      </c>
      <c r="CN87" t="s">
        <v>390</v>
      </c>
      <c r="CO87">
        <v>0</v>
      </c>
      <c r="CP87">
        <f t="shared" si="89"/>
        <v>2736.15</v>
      </c>
      <c r="CQ87">
        <f t="shared" si="90"/>
        <v>3468.3558000000003</v>
      </c>
      <c r="CR87">
        <f t="shared" si="91"/>
        <v>170.795625</v>
      </c>
      <c r="CS87">
        <f t="shared" si="92"/>
        <v>88.85112499999998</v>
      </c>
      <c r="CT87">
        <f t="shared" si="93"/>
        <v>23722.298095</v>
      </c>
      <c r="CU87">
        <f t="shared" si="94"/>
        <v>0</v>
      </c>
      <c r="CV87">
        <f t="shared" si="95"/>
        <v>80.73</v>
      </c>
      <c r="CW87">
        <f t="shared" si="96"/>
        <v>0.22499999999999998</v>
      </c>
      <c r="CX87">
        <f t="shared" si="97"/>
        <v>0</v>
      </c>
      <c r="CY87">
        <f t="shared" si="98"/>
        <v>2619.232</v>
      </c>
      <c r="CZ87">
        <f t="shared" si="99"/>
        <v>1619.1616000000001</v>
      </c>
      <c r="DE87" t="s">
        <v>31</v>
      </c>
      <c r="DF87" t="s">
        <v>31</v>
      </c>
      <c r="DG87" t="s">
        <v>32</v>
      </c>
      <c r="DI87" t="s">
        <v>32</v>
      </c>
      <c r="DJ87" t="s">
        <v>31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29</v>
      </c>
      <c r="DW87" t="s">
        <v>29</v>
      </c>
      <c r="DX87">
        <v>1</v>
      </c>
      <c r="EE87">
        <v>49315464</v>
      </c>
      <c r="EF87">
        <v>2</v>
      </c>
      <c r="EG87" t="s">
        <v>33</v>
      </c>
      <c r="EH87">
        <v>0</v>
      </c>
      <c r="EJ87">
        <v>1</v>
      </c>
      <c r="EK87">
        <v>8001</v>
      </c>
      <c r="EL87" t="s">
        <v>34</v>
      </c>
      <c r="EM87" t="s">
        <v>35</v>
      </c>
      <c r="EO87" t="s">
        <v>36</v>
      </c>
      <c r="EQ87">
        <v>0</v>
      </c>
      <c r="ER87">
        <v>997.83</v>
      </c>
      <c r="ES87">
        <v>379.47</v>
      </c>
      <c r="ET87">
        <v>11.83</v>
      </c>
      <c r="EU87">
        <v>2.09</v>
      </c>
      <c r="EV87">
        <v>606.53</v>
      </c>
      <c r="EW87">
        <v>70.2</v>
      </c>
      <c r="EX87">
        <v>0.18</v>
      </c>
      <c r="EY87">
        <v>0</v>
      </c>
      <c r="FQ87">
        <v>0</v>
      </c>
      <c r="FR87">
        <f t="shared" si="100"/>
        <v>0</v>
      </c>
      <c r="FS87">
        <v>0</v>
      </c>
      <c r="FT87" t="s">
        <v>37</v>
      </c>
      <c r="FU87" t="s">
        <v>38</v>
      </c>
      <c r="FX87">
        <v>109.8</v>
      </c>
      <c r="FY87">
        <v>68</v>
      </c>
      <c r="GD87">
        <v>1</v>
      </c>
      <c r="GF87">
        <v>1642729560</v>
      </c>
      <c r="GG87">
        <v>2</v>
      </c>
      <c r="GH87">
        <v>1</v>
      </c>
      <c r="GI87">
        <v>2</v>
      </c>
      <c r="GJ87">
        <v>0</v>
      </c>
      <c r="GK87">
        <v>0</v>
      </c>
      <c r="GL87">
        <f t="shared" si="101"/>
        <v>0</v>
      </c>
      <c r="GM87">
        <f t="shared" si="102"/>
        <v>6974.54</v>
      </c>
      <c r="GN87">
        <f t="shared" si="103"/>
        <v>6974.54</v>
      </c>
      <c r="GO87">
        <f t="shared" si="104"/>
        <v>0</v>
      </c>
      <c r="GP87">
        <f t="shared" si="105"/>
        <v>0</v>
      </c>
      <c r="GR87">
        <v>0</v>
      </c>
      <c r="GS87">
        <v>0</v>
      </c>
      <c r="GT87">
        <v>0</v>
      </c>
      <c r="GV87">
        <f t="shared" si="106"/>
        <v>0</v>
      </c>
      <c r="GW87">
        <v>1</v>
      </c>
      <c r="GX87">
        <f t="shared" si="107"/>
        <v>0</v>
      </c>
      <c r="HA87">
        <v>0</v>
      </c>
      <c r="HB87">
        <v>0</v>
      </c>
      <c r="HC87">
        <f t="shared" si="108"/>
        <v>0</v>
      </c>
      <c r="IK87">
        <v>0</v>
      </c>
    </row>
    <row r="88" spans="1:255" ht="12.75">
      <c r="A88" s="2">
        <v>17</v>
      </c>
      <c r="B88" s="2">
        <v>1</v>
      </c>
      <c r="C88" s="2">
        <f>ROW(SmtRes!A60)</f>
        <v>60</v>
      </c>
      <c r="D88" s="2">
        <f>ROW(EtalonRes!A62)</f>
        <v>62</v>
      </c>
      <c r="E88" s="2" t="s">
        <v>143</v>
      </c>
      <c r="F88" s="2" t="s">
        <v>40</v>
      </c>
      <c r="G88" s="2" t="s">
        <v>41</v>
      </c>
      <c r="H88" s="2" t="s">
        <v>42</v>
      </c>
      <c r="I88" s="2">
        <f>ROUND(ROUND(8.064/100,2),7)</f>
        <v>0.08</v>
      </c>
      <c r="J88" s="2">
        <v>0</v>
      </c>
      <c r="K88" s="2">
        <f>ROUND(ROUND(8.064/100,2),7)</f>
        <v>0.08</v>
      </c>
      <c r="L88" s="2"/>
      <c r="M88" s="2"/>
      <c r="N88" s="2"/>
      <c r="O88" s="2">
        <f t="shared" si="74"/>
        <v>31.91</v>
      </c>
      <c r="P88" s="2">
        <f t="shared" si="75"/>
        <v>0</v>
      </c>
      <c r="Q88" s="2">
        <f t="shared" si="76"/>
        <v>2.33</v>
      </c>
      <c r="R88" s="2">
        <f t="shared" si="77"/>
        <v>1</v>
      </c>
      <c r="S88" s="2">
        <f t="shared" si="78"/>
        <v>29.58</v>
      </c>
      <c r="T88" s="2">
        <f t="shared" si="79"/>
        <v>0</v>
      </c>
      <c r="U88" s="2">
        <f t="shared" si="80"/>
        <v>3.6888</v>
      </c>
      <c r="V88" s="2">
        <f t="shared" si="81"/>
        <v>0.07440000000000001</v>
      </c>
      <c r="W88" s="2">
        <f t="shared" si="82"/>
        <v>0</v>
      </c>
      <c r="X88" s="2">
        <f t="shared" si="83"/>
        <v>25.08</v>
      </c>
      <c r="Y88" s="2">
        <f t="shared" si="84"/>
        <v>18.96</v>
      </c>
      <c r="Z88" s="2"/>
      <c r="AA88" s="2">
        <v>50947576</v>
      </c>
      <c r="AB88" s="2">
        <f t="shared" si="85"/>
        <v>398.87</v>
      </c>
      <c r="AC88" s="2">
        <f t="shared" si="86"/>
        <v>0</v>
      </c>
      <c r="AD88" s="2">
        <f>ROUND((((ET88)-(EU88))+AE88),6)</f>
        <v>29.07</v>
      </c>
      <c r="AE88" s="2">
        <f aca="true" t="shared" si="109" ref="AE88:AF91">ROUND((EU88),6)</f>
        <v>12.56</v>
      </c>
      <c r="AF88" s="2">
        <f t="shared" si="109"/>
        <v>369.8</v>
      </c>
      <c r="AG88" s="2">
        <f t="shared" si="87"/>
        <v>0</v>
      </c>
      <c r="AH88" s="2">
        <f aca="true" t="shared" si="110" ref="AH88:AI91">(EW88)</f>
        <v>46.11</v>
      </c>
      <c r="AI88" s="2">
        <f t="shared" si="110"/>
        <v>0.93</v>
      </c>
      <c r="AJ88" s="2">
        <f t="shared" si="88"/>
        <v>0</v>
      </c>
      <c r="AK88" s="2">
        <v>398.87</v>
      </c>
      <c r="AL88" s="2">
        <v>0</v>
      </c>
      <c r="AM88" s="2">
        <v>29.07</v>
      </c>
      <c r="AN88" s="2">
        <v>12.56</v>
      </c>
      <c r="AO88" s="2">
        <v>369.8</v>
      </c>
      <c r="AP88" s="2">
        <v>0</v>
      </c>
      <c r="AQ88" s="2">
        <v>46.11</v>
      </c>
      <c r="AR88" s="2">
        <v>0.93</v>
      </c>
      <c r="AS88" s="2">
        <v>0</v>
      </c>
      <c r="AT88" s="2">
        <v>82</v>
      </c>
      <c r="AU88" s="2">
        <v>62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0</v>
      </c>
      <c r="BI88" s="2">
        <v>1</v>
      </c>
      <c r="BJ88" s="2" t="s">
        <v>43</v>
      </c>
      <c r="BK88" s="2"/>
      <c r="BL88" s="2"/>
      <c r="BM88" s="2">
        <v>56001</v>
      </c>
      <c r="BN88" s="2">
        <v>0</v>
      </c>
      <c r="BO88" s="2" t="s">
        <v>3</v>
      </c>
      <c r="BP88" s="2">
        <v>0</v>
      </c>
      <c r="BQ88" s="2">
        <v>6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82</v>
      </c>
      <c r="CA88" s="2">
        <v>62</v>
      </c>
      <c r="CB88" s="2" t="s">
        <v>3</v>
      </c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si="89"/>
        <v>31.909999999999997</v>
      </c>
      <c r="CQ88" s="2">
        <f t="shared" si="90"/>
        <v>0</v>
      </c>
      <c r="CR88" s="2">
        <f t="shared" si="91"/>
        <v>29.07</v>
      </c>
      <c r="CS88" s="2">
        <f t="shared" si="92"/>
        <v>12.56</v>
      </c>
      <c r="CT88" s="2">
        <f t="shared" si="93"/>
        <v>369.8</v>
      </c>
      <c r="CU88" s="2">
        <f t="shared" si="94"/>
        <v>0</v>
      </c>
      <c r="CV88" s="2">
        <f t="shared" si="95"/>
        <v>46.11</v>
      </c>
      <c r="CW88" s="2">
        <f t="shared" si="96"/>
        <v>0.93</v>
      </c>
      <c r="CX88" s="2">
        <f t="shared" si="97"/>
        <v>0</v>
      </c>
      <c r="CY88" s="2">
        <f t="shared" si="98"/>
        <v>25.075599999999998</v>
      </c>
      <c r="CZ88" s="2">
        <f t="shared" si="99"/>
        <v>18.9596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1005</v>
      </c>
      <c r="DV88" s="2" t="s">
        <v>42</v>
      </c>
      <c r="DW88" s="2" t="s">
        <v>42</v>
      </c>
      <c r="DX88" s="2">
        <v>100</v>
      </c>
      <c r="DY88" s="2"/>
      <c r="DZ88" s="2" t="s">
        <v>3</v>
      </c>
      <c r="EA88" s="2" t="s">
        <v>3</v>
      </c>
      <c r="EB88" s="2" t="s">
        <v>3</v>
      </c>
      <c r="EC88" s="2" t="s">
        <v>3</v>
      </c>
      <c r="ED88" s="2"/>
      <c r="EE88" s="2">
        <v>49315573</v>
      </c>
      <c r="EF88" s="2">
        <v>6</v>
      </c>
      <c r="EG88" s="2" t="s">
        <v>44</v>
      </c>
      <c r="EH88" s="2">
        <v>0</v>
      </c>
      <c r="EI88" s="2" t="s">
        <v>3</v>
      </c>
      <c r="EJ88" s="2">
        <v>1</v>
      </c>
      <c r="EK88" s="2">
        <v>56001</v>
      </c>
      <c r="EL88" s="2" t="s">
        <v>45</v>
      </c>
      <c r="EM88" s="2" t="s">
        <v>46</v>
      </c>
      <c r="EN88" s="2"/>
      <c r="EO88" s="2" t="s">
        <v>3</v>
      </c>
      <c r="EP88" s="2"/>
      <c r="EQ88" s="2">
        <v>0</v>
      </c>
      <c r="ER88" s="2">
        <v>398.87</v>
      </c>
      <c r="ES88" s="2">
        <v>0</v>
      </c>
      <c r="ET88" s="2">
        <v>29.07</v>
      </c>
      <c r="EU88" s="2">
        <v>12.56</v>
      </c>
      <c r="EV88" s="2">
        <v>369.8</v>
      </c>
      <c r="EW88" s="2">
        <v>46.11</v>
      </c>
      <c r="EX88" s="2">
        <v>0.93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si="100"/>
        <v>0</v>
      </c>
      <c r="FS88" s="2">
        <v>0</v>
      </c>
      <c r="FT88" s="2"/>
      <c r="FU88" s="2"/>
      <c r="FV88" s="2"/>
      <c r="FW88" s="2"/>
      <c r="FX88" s="2">
        <v>82</v>
      </c>
      <c r="FY88" s="2">
        <v>62</v>
      </c>
      <c r="FZ88" s="2"/>
      <c r="GA88" s="2" t="s">
        <v>3</v>
      </c>
      <c r="GB88" s="2"/>
      <c r="GC88" s="2"/>
      <c r="GD88" s="2">
        <v>1</v>
      </c>
      <c r="GE88" s="2"/>
      <c r="GF88" s="2">
        <v>-422316486</v>
      </c>
      <c r="GG88" s="2">
        <v>2</v>
      </c>
      <c r="GH88" s="2">
        <v>1</v>
      </c>
      <c r="GI88" s="2">
        <v>-2</v>
      </c>
      <c r="GJ88" s="2">
        <v>0</v>
      </c>
      <c r="GK88" s="2">
        <v>0</v>
      </c>
      <c r="GL88" s="2">
        <f t="shared" si="101"/>
        <v>0</v>
      </c>
      <c r="GM88" s="2">
        <f t="shared" si="102"/>
        <v>75.95</v>
      </c>
      <c r="GN88" s="2">
        <f t="shared" si="103"/>
        <v>75.95</v>
      </c>
      <c r="GO88" s="2">
        <f t="shared" si="104"/>
        <v>0</v>
      </c>
      <c r="GP88" s="2">
        <f t="shared" si="105"/>
        <v>0</v>
      </c>
      <c r="GQ88" s="2"/>
      <c r="GR88" s="2">
        <v>0</v>
      </c>
      <c r="GS88" s="2">
        <v>3</v>
      </c>
      <c r="GT88" s="2">
        <v>0</v>
      </c>
      <c r="GU88" s="2" t="s">
        <v>3</v>
      </c>
      <c r="GV88" s="2">
        <f t="shared" si="106"/>
        <v>0</v>
      </c>
      <c r="GW88" s="2">
        <v>1</v>
      </c>
      <c r="GX88" s="2">
        <f t="shared" si="107"/>
        <v>0</v>
      </c>
      <c r="GY88" s="2"/>
      <c r="GZ88" s="2"/>
      <c r="HA88" s="2">
        <v>0</v>
      </c>
      <c r="HB88" s="2">
        <v>0</v>
      </c>
      <c r="HC88" s="2">
        <f t="shared" si="108"/>
        <v>0</v>
      </c>
      <c r="HD88" s="2"/>
      <c r="HE88" s="2" t="s">
        <v>3</v>
      </c>
      <c r="HF88" s="2" t="s">
        <v>3</v>
      </c>
      <c r="HG88" s="2"/>
      <c r="HH88" s="2"/>
      <c r="HI88" s="2"/>
      <c r="HJ88" s="2"/>
      <c r="HK88" s="2"/>
      <c r="HL88" s="2"/>
      <c r="HM88" s="2" t="s">
        <v>3</v>
      </c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45" ht="12.75">
      <c r="A89">
        <v>17</v>
      </c>
      <c r="B89">
        <v>1</v>
      </c>
      <c r="C89">
        <f>ROW(SmtRes!A64)</f>
        <v>64</v>
      </c>
      <c r="D89">
        <f>ROW(EtalonRes!A66)</f>
        <v>66</v>
      </c>
      <c r="E89" t="s">
        <v>143</v>
      </c>
      <c r="F89" t="s">
        <v>40</v>
      </c>
      <c r="G89" t="s">
        <v>41</v>
      </c>
      <c r="H89" t="s">
        <v>42</v>
      </c>
      <c r="I89">
        <f>ROUND(ROUND(8.064/100,2),7)</f>
        <v>0.08</v>
      </c>
      <c r="J89">
        <v>0</v>
      </c>
      <c r="K89">
        <f>ROUND(ROUND(8.064/100,2),7)</f>
        <v>0.08</v>
      </c>
      <c r="O89">
        <f t="shared" si="74"/>
        <v>1041.45</v>
      </c>
      <c r="P89">
        <f t="shared" si="75"/>
        <v>0</v>
      </c>
      <c r="Q89">
        <f t="shared" si="76"/>
        <v>35.3</v>
      </c>
      <c r="R89">
        <f t="shared" si="77"/>
        <v>34.17</v>
      </c>
      <c r="S89">
        <f t="shared" si="78"/>
        <v>1006.15</v>
      </c>
      <c r="T89">
        <f t="shared" si="79"/>
        <v>0</v>
      </c>
      <c r="U89">
        <f t="shared" si="80"/>
        <v>3.6888</v>
      </c>
      <c r="V89">
        <f t="shared" si="81"/>
        <v>0.07440000000000001</v>
      </c>
      <c r="W89">
        <f t="shared" si="82"/>
        <v>0</v>
      </c>
      <c r="X89">
        <f t="shared" si="83"/>
        <v>853.06</v>
      </c>
      <c r="Y89">
        <f t="shared" si="84"/>
        <v>645</v>
      </c>
      <c r="AA89">
        <v>50961513</v>
      </c>
      <c r="AB89">
        <f t="shared" si="85"/>
        <v>398.87</v>
      </c>
      <c r="AC89">
        <f t="shared" si="86"/>
        <v>0</v>
      </c>
      <c r="AD89">
        <f>ROUND((((ET89)-(EU89))+AE89),6)</f>
        <v>29.07</v>
      </c>
      <c r="AE89">
        <f t="shared" si="109"/>
        <v>12.56</v>
      </c>
      <c r="AF89">
        <f t="shared" si="109"/>
        <v>369.8</v>
      </c>
      <c r="AG89">
        <f t="shared" si="87"/>
        <v>0</v>
      </c>
      <c r="AH89">
        <f t="shared" si="110"/>
        <v>46.11</v>
      </c>
      <c r="AI89">
        <f t="shared" si="110"/>
        <v>0.93</v>
      </c>
      <c r="AJ89">
        <f t="shared" si="88"/>
        <v>0</v>
      </c>
      <c r="AK89">
        <v>398.87</v>
      </c>
      <c r="AL89">
        <v>0</v>
      </c>
      <c r="AM89">
        <v>29.07</v>
      </c>
      <c r="AN89">
        <v>12.56</v>
      </c>
      <c r="AO89">
        <v>369.8</v>
      </c>
      <c r="AP89">
        <v>0</v>
      </c>
      <c r="AQ89">
        <v>46.11</v>
      </c>
      <c r="AR89">
        <v>0.93</v>
      </c>
      <c r="AS89">
        <v>0</v>
      </c>
      <c r="AT89">
        <v>82</v>
      </c>
      <c r="AU89">
        <v>62</v>
      </c>
      <c r="AV89">
        <v>1</v>
      </c>
      <c r="AW89">
        <v>1</v>
      </c>
      <c r="AZ89">
        <v>1</v>
      </c>
      <c r="BA89">
        <v>34.01</v>
      </c>
      <c r="BB89">
        <v>15.18</v>
      </c>
      <c r="BC89">
        <v>1</v>
      </c>
      <c r="BH89">
        <v>0</v>
      </c>
      <c r="BI89">
        <v>1</v>
      </c>
      <c r="BJ89" t="s">
        <v>43</v>
      </c>
      <c r="BM89">
        <v>56001</v>
      </c>
      <c r="BN89">
        <v>0</v>
      </c>
      <c r="BO89" t="s">
        <v>40</v>
      </c>
      <c r="BP89">
        <v>1</v>
      </c>
      <c r="BQ89">
        <v>6</v>
      </c>
      <c r="BR89">
        <v>0</v>
      </c>
      <c r="BS89">
        <v>34.01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82</v>
      </c>
      <c r="CA89">
        <v>62</v>
      </c>
      <c r="CE89">
        <v>0</v>
      </c>
      <c r="CF89">
        <v>0</v>
      </c>
      <c r="CG89">
        <v>0</v>
      </c>
      <c r="CM89">
        <v>0</v>
      </c>
      <c r="CO89">
        <v>0</v>
      </c>
      <c r="CP89">
        <f t="shared" si="89"/>
        <v>1041.45</v>
      </c>
      <c r="CQ89">
        <f t="shared" si="90"/>
        <v>0</v>
      </c>
      <c r="CR89">
        <f t="shared" si="91"/>
        <v>441.2826</v>
      </c>
      <c r="CS89">
        <f t="shared" si="92"/>
        <v>427.1656</v>
      </c>
      <c r="CT89">
        <f t="shared" si="93"/>
        <v>12576.898</v>
      </c>
      <c r="CU89">
        <f t="shared" si="94"/>
        <v>0</v>
      </c>
      <c r="CV89">
        <f t="shared" si="95"/>
        <v>46.11</v>
      </c>
      <c r="CW89">
        <f t="shared" si="96"/>
        <v>0.93</v>
      </c>
      <c r="CX89">
        <f t="shared" si="97"/>
        <v>0</v>
      </c>
      <c r="CY89">
        <f t="shared" si="98"/>
        <v>853.0623999999999</v>
      </c>
      <c r="CZ89">
        <f t="shared" si="99"/>
        <v>644.9984</v>
      </c>
      <c r="DN89">
        <v>0</v>
      </c>
      <c r="DO89">
        <v>0</v>
      </c>
      <c r="DP89">
        <v>1</v>
      </c>
      <c r="DQ89">
        <v>1</v>
      </c>
      <c r="DU89">
        <v>1005</v>
      </c>
      <c r="DV89" t="s">
        <v>42</v>
      </c>
      <c r="DW89" t="s">
        <v>42</v>
      </c>
      <c r="DX89">
        <v>100</v>
      </c>
      <c r="EE89">
        <v>49315573</v>
      </c>
      <c r="EF89">
        <v>6</v>
      </c>
      <c r="EG89" t="s">
        <v>44</v>
      </c>
      <c r="EH89">
        <v>0</v>
      </c>
      <c r="EJ89">
        <v>1</v>
      </c>
      <c r="EK89">
        <v>56001</v>
      </c>
      <c r="EL89" t="s">
        <v>45</v>
      </c>
      <c r="EM89" t="s">
        <v>46</v>
      </c>
      <c r="EQ89">
        <v>0</v>
      </c>
      <c r="ER89">
        <v>398.87</v>
      </c>
      <c r="ES89">
        <v>0</v>
      </c>
      <c r="ET89">
        <v>29.07</v>
      </c>
      <c r="EU89">
        <v>12.56</v>
      </c>
      <c r="EV89">
        <v>369.8</v>
      </c>
      <c r="EW89">
        <v>46.11</v>
      </c>
      <c r="EX89">
        <v>0.93</v>
      </c>
      <c r="EY89">
        <v>0</v>
      </c>
      <c r="FQ89">
        <v>0</v>
      </c>
      <c r="FR89">
        <f t="shared" si="100"/>
        <v>0</v>
      </c>
      <c r="FS89">
        <v>0</v>
      </c>
      <c r="FX89">
        <v>82</v>
      </c>
      <c r="FY89">
        <v>62</v>
      </c>
      <c r="GD89">
        <v>1</v>
      </c>
      <c r="GF89">
        <v>-422316486</v>
      </c>
      <c r="GG89">
        <v>2</v>
      </c>
      <c r="GH89">
        <v>1</v>
      </c>
      <c r="GI89">
        <v>2</v>
      </c>
      <c r="GJ89">
        <v>0</v>
      </c>
      <c r="GK89">
        <v>0</v>
      </c>
      <c r="GL89">
        <f t="shared" si="101"/>
        <v>0</v>
      </c>
      <c r="GM89">
        <f t="shared" si="102"/>
        <v>2539.51</v>
      </c>
      <c r="GN89">
        <f t="shared" si="103"/>
        <v>2539.51</v>
      </c>
      <c r="GO89">
        <f t="shared" si="104"/>
        <v>0</v>
      </c>
      <c r="GP89">
        <f t="shared" si="105"/>
        <v>0</v>
      </c>
      <c r="GR89">
        <v>0</v>
      </c>
      <c r="GS89">
        <v>0</v>
      </c>
      <c r="GT89">
        <v>0</v>
      </c>
      <c r="GV89">
        <f t="shared" si="106"/>
        <v>0</v>
      </c>
      <c r="GW89">
        <v>1</v>
      </c>
      <c r="GX89">
        <f t="shared" si="107"/>
        <v>0</v>
      </c>
      <c r="HA89">
        <v>0</v>
      </c>
      <c r="HB89">
        <v>0</v>
      </c>
      <c r="HC89">
        <f t="shared" si="108"/>
        <v>0</v>
      </c>
      <c r="IK89">
        <v>0</v>
      </c>
    </row>
    <row r="90" spans="1:255" ht="12.75">
      <c r="A90" s="2">
        <v>18</v>
      </c>
      <c r="B90" s="2">
        <v>1</v>
      </c>
      <c r="C90" s="2">
        <v>60</v>
      </c>
      <c r="D90" s="2"/>
      <c r="E90" s="2" t="s">
        <v>144</v>
      </c>
      <c r="F90" s="2" t="s">
        <v>48</v>
      </c>
      <c r="G90" s="2" t="s">
        <v>49</v>
      </c>
      <c r="H90" s="2" t="s">
        <v>50</v>
      </c>
      <c r="I90" s="2">
        <f>I88*J90</f>
        <v>0.2736</v>
      </c>
      <c r="J90" s="2">
        <v>3.42</v>
      </c>
      <c r="K90" s="2">
        <v>3.42</v>
      </c>
      <c r="L90" s="2"/>
      <c r="M90" s="2"/>
      <c r="N90" s="2"/>
      <c r="O90" s="2">
        <f t="shared" si="74"/>
        <v>0</v>
      </c>
      <c r="P90" s="2">
        <f t="shared" si="75"/>
        <v>0</v>
      </c>
      <c r="Q90" s="2">
        <f t="shared" si="76"/>
        <v>0</v>
      </c>
      <c r="R90" s="2">
        <f t="shared" si="77"/>
        <v>0</v>
      </c>
      <c r="S90" s="2">
        <f t="shared" si="78"/>
        <v>0</v>
      </c>
      <c r="T90" s="2">
        <f t="shared" si="79"/>
        <v>0</v>
      </c>
      <c r="U90" s="2">
        <f t="shared" si="80"/>
        <v>0</v>
      </c>
      <c r="V90" s="2">
        <f t="shared" si="81"/>
        <v>0</v>
      </c>
      <c r="W90" s="2">
        <f t="shared" si="82"/>
        <v>0</v>
      </c>
      <c r="X90" s="2">
        <f t="shared" si="83"/>
        <v>0</v>
      </c>
      <c r="Y90" s="2">
        <f t="shared" si="84"/>
        <v>0</v>
      </c>
      <c r="Z90" s="2"/>
      <c r="AA90" s="2">
        <v>50947576</v>
      </c>
      <c r="AB90" s="2">
        <f t="shared" si="85"/>
        <v>0</v>
      </c>
      <c r="AC90" s="2">
        <f t="shared" si="86"/>
        <v>0</v>
      </c>
      <c r="AD90" s="2">
        <f>ROUND((((ET90)-(EU90))+AE90),6)</f>
        <v>0</v>
      </c>
      <c r="AE90" s="2">
        <f t="shared" si="109"/>
        <v>0</v>
      </c>
      <c r="AF90" s="2">
        <f t="shared" si="109"/>
        <v>0</v>
      </c>
      <c r="AG90" s="2">
        <f t="shared" si="87"/>
        <v>0</v>
      </c>
      <c r="AH90" s="2">
        <f t="shared" si="110"/>
        <v>0</v>
      </c>
      <c r="AI90" s="2">
        <f t="shared" si="110"/>
        <v>0</v>
      </c>
      <c r="AJ90" s="2">
        <f t="shared" si="88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82</v>
      </c>
      <c r="AU90" s="2">
        <v>62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56001</v>
      </c>
      <c r="BN90" s="2">
        <v>0</v>
      </c>
      <c r="BO90" s="2" t="s">
        <v>3</v>
      </c>
      <c r="BP90" s="2">
        <v>0</v>
      </c>
      <c r="BQ90" s="2">
        <v>6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82</v>
      </c>
      <c r="CA90" s="2">
        <v>62</v>
      </c>
      <c r="CB90" s="2" t="s">
        <v>3</v>
      </c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89"/>
        <v>0</v>
      </c>
      <c r="CQ90" s="2">
        <f t="shared" si="90"/>
        <v>0</v>
      </c>
      <c r="CR90" s="2">
        <f t="shared" si="91"/>
        <v>0</v>
      </c>
      <c r="CS90" s="2">
        <f t="shared" si="92"/>
        <v>0</v>
      </c>
      <c r="CT90" s="2">
        <f t="shared" si="93"/>
        <v>0</v>
      </c>
      <c r="CU90" s="2">
        <f t="shared" si="94"/>
        <v>0</v>
      </c>
      <c r="CV90" s="2">
        <f t="shared" si="95"/>
        <v>0</v>
      </c>
      <c r="CW90" s="2">
        <f t="shared" si="96"/>
        <v>0</v>
      </c>
      <c r="CX90" s="2">
        <f t="shared" si="97"/>
        <v>0</v>
      </c>
      <c r="CY90" s="2">
        <f t="shared" si="98"/>
        <v>0</v>
      </c>
      <c r="CZ90" s="2">
        <f t="shared" si="99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50</v>
      </c>
      <c r="DW90" s="2" t="s">
        <v>50</v>
      </c>
      <c r="DX90" s="2">
        <v>1000</v>
      </c>
      <c r="DY90" s="2"/>
      <c r="DZ90" s="2" t="s">
        <v>3</v>
      </c>
      <c r="EA90" s="2" t="s">
        <v>3</v>
      </c>
      <c r="EB90" s="2" t="s">
        <v>3</v>
      </c>
      <c r="EC90" s="2" t="s">
        <v>3</v>
      </c>
      <c r="ED90" s="2"/>
      <c r="EE90" s="2">
        <v>49315573</v>
      </c>
      <c r="EF90" s="2">
        <v>6</v>
      </c>
      <c r="EG90" s="2" t="s">
        <v>44</v>
      </c>
      <c r="EH90" s="2">
        <v>0</v>
      </c>
      <c r="EI90" s="2" t="s">
        <v>3</v>
      </c>
      <c r="EJ90" s="2">
        <v>1</v>
      </c>
      <c r="EK90" s="2">
        <v>56001</v>
      </c>
      <c r="EL90" s="2" t="s">
        <v>45</v>
      </c>
      <c r="EM90" s="2" t="s">
        <v>46</v>
      </c>
      <c r="EN90" s="2"/>
      <c r="EO90" s="2" t="s">
        <v>3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00"/>
        <v>0</v>
      </c>
      <c r="FS90" s="2">
        <v>0</v>
      </c>
      <c r="FT90" s="2"/>
      <c r="FU90" s="2"/>
      <c r="FV90" s="2"/>
      <c r="FW90" s="2"/>
      <c r="FX90" s="2">
        <v>82</v>
      </c>
      <c r="FY90" s="2">
        <v>62</v>
      </c>
      <c r="FZ90" s="2"/>
      <c r="GA90" s="2" t="s">
        <v>3</v>
      </c>
      <c r="GB90" s="2"/>
      <c r="GC90" s="2"/>
      <c r="GD90" s="2">
        <v>1</v>
      </c>
      <c r="GE90" s="2"/>
      <c r="GF90" s="2">
        <v>2102561428</v>
      </c>
      <c r="GG90" s="2">
        <v>2</v>
      </c>
      <c r="GH90" s="2">
        <v>1</v>
      </c>
      <c r="GI90" s="2">
        <v>-2</v>
      </c>
      <c r="GJ90" s="2">
        <v>0</v>
      </c>
      <c r="GK90" s="2">
        <v>0</v>
      </c>
      <c r="GL90" s="2">
        <f t="shared" si="101"/>
        <v>0</v>
      </c>
      <c r="GM90" s="2">
        <f t="shared" si="102"/>
        <v>0</v>
      </c>
      <c r="GN90" s="2">
        <f t="shared" si="103"/>
        <v>0</v>
      </c>
      <c r="GO90" s="2">
        <f t="shared" si="104"/>
        <v>0</v>
      </c>
      <c r="GP90" s="2">
        <f t="shared" si="105"/>
        <v>0</v>
      </c>
      <c r="GQ90" s="2"/>
      <c r="GR90" s="2">
        <v>0</v>
      </c>
      <c r="GS90" s="2">
        <v>3</v>
      </c>
      <c r="GT90" s="2">
        <v>0</v>
      </c>
      <c r="GU90" s="2" t="s">
        <v>3</v>
      </c>
      <c r="GV90" s="2">
        <f t="shared" si="106"/>
        <v>0</v>
      </c>
      <c r="GW90" s="2">
        <v>1</v>
      </c>
      <c r="GX90" s="2">
        <f t="shared" si="107"/>
        <v>0</v>
      </c>
      <c r="GY90" s="2"/>
      <c r="GZ90" s="2"/>
      <c r="HA90" s="2">
        <v>0</v>
      </c>
      <c r="HB90" s="2">
        <v>0</v>
      </c>
      <c r="HC90" s="2">
        <f t="shared" si="108"/>
        <v>0</v>
      </c>
      <c r="HD90" s="2"/>
      <c r="HE90" s="2" t="s">
        <v>3</v>
      </c>
      <c r="HF90" s="2" t="s">
        <v>3</v>
      </c>
      <c r="HG90" s="2"/>
      <c r="HH90" s="2"/>
      <c r="HI90" s="2"/>
      <c r="HJ90" s="2"/>
      <c r="HK90" s="2"/>
      <c r="HL90" s="2"/>
      <c r="HM90" s="2" t="s">
        <v>3</v>
      </c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45" ht="12.75">
      <c r="A91">
        <v>18</v>
      </c>
      <c r="B91">
        <v>1</v>
      </c>
      <c r="C91">
        <v>64</v>
      </c>
      <c r="E91" t="s">
        <v>144</v>
      </c>
      <c r="F91" t="s">
        <v>48</v>
      </c>
      <c r="G91" t="s">
        <v>49</v>
      </c>
      <c r="H91" t="s">
        <v>50</v>
      </c>
      <c r="I91">
        <f>I89*J91</f>
        <v>0.2736</v>
      </c>
      <c r="J91">
        <v>3.42</v>
      </c>
      <c r="K91">
        <v>3.42</v>
      </c>
      <c r="O91">
        <f t="shared" si="74"/>
        <v>0</v>
      </c>
      <c r="P91">
        <f t="shared" si="75"/>
        <v>0</v>
      </c>
      <c r="Q91">
        <f t="shared" si="76"/>
        <v>0</v>
      </c>
      <c r="R91">
        <f t="shared" si="77"/>
        <v>0</v>
      </c>
      <c r="S91">
        <f t="shared" si="78"/>
        <v>0</v>
      </c>
      <c r="T91">
        <f t="shared" si="79"/>
        <v>0</v>
      </c>
      <c r="U91">
        <f t="shared" si="80"/>
        <v>0</v>
      </c>
      <c r="V91">
        <f t="shared" si="81"/>
        <v>0</v>
      </c>
      <c r="W91">
        <f t="shared" si="82"/>
        <v>0</v>
      </c>
      <c r="X91">
        <f t="shared" si="83"/>
        <v>0</v>
      </c>
      <c r="Y91">
        <f t="shared" si="84"/>
        <v>0</v>
      </c>
      <c r="AA91">
        <v>50961513</v>
      </c>
      <c r="AB91">
        <f t="shared" si="85"/>
        <v>0</v>
      </c>
      <c r="AC91">
        <f t="shared" si="86"/>
        <v>0</v>
      </c>
      <c r="AD91">
        <f>ROUND((((ET91)-(EU91))+AE91),6)</f>
        <v>0</v>
      </c>
      <c r="AE91">
        <f t="shared" si="109"/>
        <v>0</v>
      </c>
      <c r="AF91">
        <f t="shared" si="109"/>
        <v>0</v>
      </c>
      <c r="AG91">
        <f t="shared" si="87"/>
        <v>0</v>
      </c>
      <c r="AH91">
        <f t="shared" si="110"/>
        <v>0</v>
      </c>
      <c r="AI91">
        <f t="shared" si="110"/>
        <v>0</v>
      </c>
      <c r="AJ91">
        <f t="shared" si="88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82</v>
      </c>
      <c r="AU91">
        <v>62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1</v>
      </c>
      <c r="BH91">
        <v>3</v>
      </c>
      <c r="BI91">
        <v>1</v>
      </c>
      <c r="BM91">
        <v>56001</v>
      </c>
      <c r="BN91">
        <v>0</v>
      </c>
      <c r="BP91">
        <v>0</v>
      </c>
      <c r="BQ91">
        <v>6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82</v>
      </c>
      <c r="CA91">
        <v>62</v>
      </c>
      <c r="CE91">
        <v>0</v>
      </c>
      <c r="CF91">
        <v>0</v>
      </c>
      <c r="CG91">
        <v>0</v>
      </c>
      <c r="CM91">
        <v>0</v>
      </c>
      <c r="CO91">
        <v>0</v>
      </c>
      <c r="CP91">
        <f t="shared" si="89"/>
        <v>0</v>
      </c>
      <c r="CQ91">
        <f t="shared" si="90"/>
        <v>0</v>
      </c>
      <c r="CR91">
        <f t="shared" si="91"/>
        <v>0</v>
      </c>
      <c r="CS91">
        <f t="shared" si="92"/>
        <v>0</v>
      </c>
      <c r="CT91">
        <f t="shared" si="93"/>
        <v>0</v>
      </c>
      <c r="CU91">
        <f t="shared" si="94"/>
        <v>0</v>
      </c>
      <c r="CV91">
        <f t="shared" si="95"/>
        <v>0</v>
      </c>
      <c r="CW91">
        <f t="shared" si="96"/>
        <v>0</v>
      </c>
      <c r="CX91">
        <f t="shared" si="97"/>
        <v>0</v>
      </c>
      <c r="CY91">
        <f t="shared" si="98"/>
        <v>0</v>
      </c>
      <c r="CZ91">
        <f t="shared" si="99"/>
        <v>0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50</v>
      </c>
      <c r="DW91" t="s">
        <v>50</v>
      </c>
      <c r="DX91">
        <v>1000</v>
      </c>
      <c r="EE91">
        <v>49315573</v>
      </c>
      <c r="EF91">
        <v>6</v>
      </c>
      <c r="EG91" t="s">
        <v>44</v>
      </c>
      <c r="EH91">
        <v>0</v>
      </c>
      <c r="EJ91">
        <v>1</v>
      </c>
      <c r="EK91">
        <v>56001</v>
      </c>
      <c r="EL91" t="s">
        <v>45</v>
      </c>
      <c r="EM91" t="s">
        <v>46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00"/>
        <v>0</v>
      </c>
      <c r="FS91">
        <v>0</v>
      </c>
      <c r="FX91">
        <v>82</v>
      </c>
      <c r="FY91">
        <v>62</v>
      </c>
      <c r="GD91">
        <v>1</v>
      </c>
      <c r="GF91">
        <v>2102561428</v>
      </c>
      <c r="GG91">
        <v>2</v>
      </c>
      <c r="GH91">
        <v>1</v>
      </c>
      <c r="GI91">
        <v>-2</v>
      </c>
      <c r="GJ91">
        <v>0</v>
      </c>
      <c r="GK91">
        <v>0</v>
      </c>
      <c r="GL91">
        <f t="shared" si="101"/>
        <v>0</v>
      </c>
      <c r="GM91">
        <f t="shared" si="102"/>
        <v>0</v>
      </c>
      <c r="GN91">
        <f t="shared" si="103"/>
        <v>0</v>
      </c>
      <c r="GO91">
        <f t="shared" si="104"/>
        <v>0</v>
      </c>
      <c r="GP91">
        <f t="shared" si="105"/>
        <v>0</v>
      </c>
      <c r="GR91">
        <v>0</v>
      </c>
      <c r="GS91">
        <v>0</v>
      </c>
      <c r="GT91">
        <v>0</v>
      </c>
      <c r="GV91">
        <f t="shared" si="106"/>
        <v>0</v>
      </c>
      <c r="GW91">
        <v>1</v>
      </c>
      <c r="GX91">
        <f t="shared" si="107"/>
        <v>0</v>
      </c>
      <c r="HA91">
        <v>0</v>
      </c>
      <c r="HB91">
        <v>0</v>
      </c>
      <c r="HC91">
        <f t="shared" si="108"/>
        <v>0</v>
      </c>
      <c r="IK91">
        <v>0</v>
      </c>
    </row>
    <row r="92" spans="1:255" ht="12.75">
      <c r="A92" s="2">
        <v>17</v>
      </c>
      <c r="B92" s="2">
        <v>1</v>
      </c>
      <c r="C92" s="2">
        <f>ROW(SmtRes!A74)</f>
        <v>74</v>
      </c>
      <c r="D92" s="2">
        <f>ROW(EtalonRes!A77)</f>
        <v>77</v>
      </c>
      <c r="E92" s="2" t="s">
        <v>145</v>
      </c>
      <c r="F92" s="2" t="s">
        <v>146</v>
      </c>
      <c r="G92" s="2" t="s">
        <v>147</v>
      </c>
      <c r="H92" s="2" t="s">
        <v>42</v>
      </c>
      <c r="I92" s="2">
        <f>ROUND(ROUND(4.032/100,2),7)</f>
        <v>0.04</v>
      </c>
      <c r="J92" s="2">
        <v>0</v>
      </c>
      <c r="K92" s="2">
        <f>ROUND(ROUND(4.032/100,2),7)</f>
        <v>0.04</v>
      </c>
      <c r="L92" s="2"/>
      <c r="M92" s="2"/>
      <c r="N92" s="2"/>
      <c r="O92" s="2">
        <f t="shared" si="74"/>
        <v>41.7</v>
      </c>
      <c r="P92" s="2">
        <f t="shared" si="75"/>
        <v>0</v>
      </c>
      <c r="Q92" s="2">
        <f t="shared" si="76"/>
        <v>7.42</v>
      </c>
      <c r="R92" s="2">
        <f t="shared" si="77"/>
        <v>1.44</v>
      </c>
      <c r="S92" s="2">
        <f t="shared" si="78"/>
        <v>34.28</v>
      </c>
      <c r="T92" s="2">
        <f t="shared" si="79"/>
        <v>0</v>
      </c>
      <c r="U92" s="2">
        <f t="shared" si="80"/>
        <v>3.92224</v>
      </c>
      <c r="V92" s="2">
        <f t="shared" si="81"/>
        <v>0.1216</v>
      </c>
      <c r="W92" s="2">
        <f t="shared" si="82"/>
        <v>0</v>
      </c>
      <c r="X92" s="2">
        <f t="shared" si="83"/>
        <v>37.86</v>
      </c>
      <c r="Y92" s="2">
        <f t="shared" si="84"/>
        <v>19.29</v>
      </c>
      <c r="Z92" s="2"/>
      <c r="AA92" s="2">
        <v>50947576</v>
      </c>
      <c r="AB92" s="2">
        <f t="shared" si="85"/>
        <v>1042.44</v>
      </c>
      <c r="AC92" s="2">
        <f>ROUND(((ES92*ROUND(0,7))),6)</f>
        <v>0</v>
      </c>
      <c r="AD92" s="2">
        <f>ROUND(((((ET92*ROUND(0.8,7)))-((EU92*ROUND(0.8,7))))+AE92),6)</f>
        <v>185.432</v>
      </c>
      <c r="AE92" s="2">
        <f>ROUND(((EU92*ROUND(0.8,7))),6)</f>
        <v>36.056</v>
      </c>
      <c r="AF92" s="2">
        <f>ROUND(((EV92*ROUND(0.8,7))),6)</f>
        <v>857.008</v>
      </c>
      <c r="AG92" s="2">
        <f t="shared" si="87"/>
        <v>0</v>
      </c>
      <c r="AH92" s="2">
        <f>((EW92*ROUND(0.8,7)))</f>
        <v>98.056</v>
      </c>
      <c r="AI92" s="2">
        <f>((EX92*ROUND(0.8,7)))</f>
        <v>3.04</v>
      </c>
      <c r="AJ92" s="2">
        <f t="shared" si="88"/>
        <v>0</v>
      </c>
      <c r="AK92" s="2">
        <v>7069.36</v>
      </c>
      <c r="AL92" s="2">
        <v>5766.31</v>
      </c>
      <c r="AM92" s="2">
        <v>231.79</v>
      </c>
      <c r="AN92" s="2">
        <v>45.07</v>
      </c>
      <c r="AO92" s="2">
        <v>1071.26</v>
      </c>
      <c r="AP92" s="2">
        <v>0</v>
      </c>
      <c r="AQ92" s="2">
        <v>122.57</v>
      </c>
      <c r="AR92" s="2">
        <v>3.8</v>
      </c>
      <c r="AS92" s="2">
        <v>0</v>
      </c>
      <c r="AT92" s="2">
        <v>106</v>
      </c>
      <c r="AU92" s="2">
        <v>54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0</v>
      </c>
      <c r="BI92" s="2">
        <v>1</v>
      </c>
      <c r="BJ92" s="2" t="s">
        <v>148</v>
      </c>
      <c r="BK92" s="2"/>
      <c r="BL92" s="2"/>
      <c r="BM92" s="2">
        <v>10001</v>
      </c>
      <c r="BN92" s="2">
        <v>0</v>
      </c>
      <c r="BO92" s="2" t="s">
        <v>3</v>
      </c>
      <c r="BP92" s="2">
        <v>0</v>
      </c>
      <c r="BQ92" s="2">
        <v>2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118</v>
      </c>
      <c r="CA92" s="2">
        <v>63</v>
      </c>
      <c r="CB92" s="2" t="s">
        <v>3</v>
      </c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391</v>
      </c>
      <c r="CO92" s="2">
        <v>0</v>
      </c>
      <c r="CP92" s="2">
        <f t="shared" si="89"/>
        <v>41.7</v>
      </c>
      <c r="CQ92" s="2">
        <f t="shared" si="90"/>
        <v>0</v>
      </c>
      <c r="CR92" s="2">
        <f t="shared" si="91"/>
        <v>185.432</v>
      </c>
      <c r="CS92" s="2">
        <f t="shared" si="92"/>
        <v>36.056</v>
      </c>
      <c r="CT92" s="2">
        <f t="shared" si="93"/>
        <v>857.008</v>
      </c>
      <c r="CU92" s="2">
        <f t="shared" si="94"/>
        <v>0</v>
      </c>
      <c r="CV92" s="2">
        <f t="shared" si="95"/>
        <v>98.056</v>
      </c>
      <c r="CW92" s="2">
        <f t="shared" si="96"/>
        <v>3.04</v>
      </c>
      <c r="CX92" s="2">
        <f t="shared" si="97"/>
        <v>0</v>
      </c>
      <c r="CY92" s="2">
        <f t="shared" si="98"/>
        <v>37.8632</v>
      </c>
      <c r="CZ92" s="2">
        <f t="shared" si="99"/>
        <v>19.2888</v>
      </c>
      <c r="DA92" s="2"/>
      <c r="DB92" s="2"/>
      <c r="DC92" s="2" t="s">
        <v>3</v>
      </c>
      <c r="DD92" s="2" t="s">
        <v>149</v>
      </c>
      <c r="DE92" s="2" t="s">
        <v>150</v>
      </c>
      <c r="DF92" s="2" t="s">
        <v>150</v>
      </c>
      <c r="DG92" s="2" t="s">
        <v>150</v>
      </c>
      <c r="DH92" s="2" t="s">
        <v>3</v>
      </c>
      <c r="DI92" s="2" t="s">
        <v>150</v>
      </c>
      <c r="DJ92" s="2" t="s">
        <v>150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1005</v>
      </c>
      <c r="DV92" s="2" t="s">
        <v>42</v>
      </c>
      <c r="DW92" s="2" t="s">
        <v>42</v>
      </c>
      <c r="DX92" s="2">
        <v>100</v>
      </c>
      <c r="DY92" s="2"/>
      <c r="DZ92" s="2" t="s">
        <v>3</v>
      </c>
      <c r="EA92" s="2" t="s">
        <v>3</v>
      </c>
      <c r="EB92" s="2" t="s">
        <v>3</v>
      </c>
      <c r="EC92" s="2" t="s">
        <v>3</v>
      </c>
      <c r="ED92" s="2"/>
      <c r="EE92" s="2">
        <v>49315468</v>
      </c>
      <c r="EF92" s="2">
        <v>2</v>
      </c>
      <c r="EG92" s="2" t="s">
        <v>33</v>
      </c>
      <c r="EH92" s="2">
        <v>0</v>
      </c>
      <c r="EI92" s="2" t="s">
        <v>3</v>
      </c>
      <c r="EJ92" s="2">
        <v>1</v>
      </c>
      <c r="EK92" s="2">
        <v>10001</v>
      </c>
      <c r="EL92" s="2" t="s">
        <v>151</v>
      </c>
      <c r="EM92" s="2" t="s">
        <v>152</v>
      </c>
      <c r="EN92" s="2"/>
      <c r="EO92" s="2" t="s">
        <v>153</v>
      </c>
      <c r="EP92" s="2"/>
      <c r="EQ92" s="2">
        <v>0</v>
      </c>
      <c r="ER92" s="2">
        <v>7069.36</v>
      </c>
      <c r="ES92" s="2">
        <v>5766.31</v>
      </c>
      <c r="ET92" s="2">
        <v>231.79</v>
      </c>
      <c r="EU92" s="2">
        <v>45.07</v>
      </c>
      <c r="EV92" s="2">
        <v>1071.26</v>
      </c>
      <c r="EW92" s="2">
        <v>122.57</v>
      </c>
      <c r="EX92" s="2">
        <v>3.8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00"/>
        <v>0</v>
      </c>
      <c r="FS92" s="2">
        <v>0</v>
      </c>
      <c r="FT92" s="2" t="s">
        <v>37</v>
      </c>
      <c r="FU92" s="2" t="s">
        <v>38</v>
      </c>
      <c r="FV92" s="2"/>
      <c r="FW92" s="2"/>
      <c r="FX92" s="2">
        <v>106.2</v>
      </c>
      <c r="FY92" s="2">
        <v>53.55</v>
      </c>
      <c r="FZ92" s="2"/>
      <c r="GA92" s="2" t="s">
        <v>3</v>
      </c>
      <c r="GB92" s="2"/>
      <c r="GC92" s="2"/>
      <c r="GD92" s="2">
        <v>1</v>
      </c>
      <c r="GE92" s="2"/>
      <c r="GF92" s="2">
        <v>-1991369718</v>
      </c>
      <c r="GG92" s="2">
        <v>2</v>
      </c>
      <c r="GH92" s="2">
        <v>1</v>
      </c>
      <c r="GI92" s="2">
        <v>-2</v>
      </c>
      <c r="GJ92" s="2">
        <v>0</v>
      </c>
      <c r="GK92" s="2">
        <v>0</v>
      </c>
      <c r="GL92" s="2">
        <f t="shared" si="101"/>
        <v>0</v>
      </c>
      <c r="GM92" s="2">
        <f t="shared" si="102"/>
        <v>98.85</v>
      </c>
      <c r="GN92" s="2">
        <f t="shared" si="103"/>
        <v>98.85</v>
      </c>
      <c r="GO92" s="2">
        <f t="shared" si="104"/>
        <v>0</v>
      </c>
      <c r="GP92" s="2">
        <f t="shared" si="105"/>
        <v>0</v>
      </c>
      <c r="GQ92" s="2"/>
      <c r="GR92" s="2">
        <v>0</v>
      </c>
      <c r="GS92" s="2">
        <v>3</v>
      </c>
      <c r="GT92" s="2">
        <v>0</v>
      </c>
      <c r="GU92" s="2" t="s">
        <v>3</v>
      </c>
      <c r="GV92" s="2">
        <f t="shared" si="106"/>
        <v>0</v>
      </c>
      <c r="GW92" s="2">
        <v>1</v>
      </c>
      <c r="GX92" s="2">
        <f t="shared" si="107"/>
        <v>0</v>
      </c>
      <c r="GY92" s="2"/>
      <c r="GZ92" s="2"/>
      <c r="HA92" s="2">
        <v>0</v>
      </c>
      <c r="HB92" s="2">
        <v>0</v>
      </c>
      <c r="HC92" s="2">
        <f t="shared" si="108"/>
        <v>0</v>
      </c>
      <c r="HD92" s="2"/>
      <c r="HE92" s="2" t="s">
        <v>3</v>
      </c>
      <c r="HF92" s="2" t="s">
        <v>3</v>
      </c>
      <c r="HG92" s="2"/>
      <c r="HH92" s="2"/>
      <c r="HI92" s="2"/>
      <c r="HJ92" s="2"/>
      <c r="HK92" s="2"/>
      <c r="HL92" s="2"/>
      <c r="HM92" s="2" t="s">
        <v>3</v>
      </c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45" ht="12.75">
      <c r="A93">
        <v>17</v>
      </c>
      <c r="B93">
        <v>1</v>
      </c>
      <c r="C93">
        <f>ROW(SmtRes!A84)</f>
        <v>84</v>
      </c>
      <c r="D93">
        <f>ROW(EtalonRes!A88)</f>
        <v>88</v>
      </c>
      <c r="E93" t="s">
        <v>145</v>
      </c>
      <c r="F93" t="s">
        <v>146</v>
      </c>
      <c r="G93" t="s">
        <v>147</v>
      </c>
      <c r="H93" t="s">
        <v>42</v>
      </c>
      <c r="I93">
        <f>ROUND(ROUND(4.032/100,2),7)</f>
        <v>0.04</v>
      </c>
      <c r="J93">
        <v>0</v>
      </c>
      <c r="K93">
        <f>ROUND(ROUND(4.032/100,2),7)</f>
        <v>0.04</v>
      </c>
      <c r="O93">
        <f t="shared" si="74"/>
        <v>1253.47</v>
      </c>
      <c r="P93">
        <f t="shared" si="75"/>
        <v>0</v>
      </c>
      <c r="Q93">
        <f t="shared" si="76"/>
        <v>87.6</v>
      </c>
      <c r="R93">
        <f t="shared" si="77"/>
        <v>49.05</v>
      </c>
      <c r="S93">
        <f t="shared" si="78"/>
        <v>1165.87</v>
      </c>
      <c r="T93">
        <f t="shared" si="79"/>
        <v>0</v>
      </c>
      <c r="U93">
        <f t="shared" si="80"/>
        <v>3.92224</v>
      </c>
      <c r="V93">
        <f t="shared" si="81"/>
        <v>0.1216</v>
      </c>
      <c r="W93">
        <f t="shared" si="82"/>
        <v>0</v>
      </c>
      <c r="X93">
        <f t="shared" si="83"/>
        <v>1287.82</v>
      </c>
      <c r="Y93">
        <f t="shared" si="84"/>
        <v>656.06</v>
      </c>
      <c r="AA93">
        <v>50961513</v>
      </c>
      <c r="AB93">
        <f t="shared" si="85"/>
        <v>1042.44</v>
      </c>
      <c r="AC93">
        <f>ROUND(((ES93*ROUND(0,7))),6)</f>
        <v>0</v>
      </c>
      <c r="AD93">
        <f>ROUND(((((ET93*ROUND(0.8,7)))-((EU93*ROUND(0.8,7))))+AE93),6)</f>
        <v>185.432</v>
      </c>
      <c r="AE93">
        <f>ROUND(((EU93*ROUND(0.8,7))),6)</f>
        <v>36.056</v>
      </c>
      <c r="AF93">
        <f>ROUND(((EV93*ROUND(0.8,7))),6)</f>
        <v>857.008</v>
      </c>
      <c r="AG93">
        <f t="shared" si="87"/>
        <v>0</v>
      </c>
      <c r="AH93">
        <f>((EW93*ROUND(0.8,7)))</f>
        <v>98.056</v>
      </c>
      <c r="AI93">
        <f>((EX93*ROUND(0.8,7)))</f>
        <v>3.04</v>
      </c>
      <c r="AJ93">
        <f t="shared" si="88"/>
        <v>0</v>
      </c>
      <c r="AK93">
        <v>7069.36</v>
      </c>
      <c r="AL93">
        <v>5766.31</v>
      </c>
      <c r="AM93">
        <v>231.79</v>
      </c>
      <c r="AN93">
        <v>45.07</v>
      </c>
      <c r="AO93">
        <v>1071.26</v>
      </c>
      <c r="AP93">
        <v>0</v>
      </c>
      <c r="AQ93">
        <v>122.57</v>
      </c>
      <c r="AR93">
        <v>3.8</v>
      </c>
      <c r="AS93">
        <v>0</v>
      </c>
      <c r="AT93">
        <v>106</v>
      </c>
      <c r="AU93">
        <v>54</v>
      </c>
      <c r="AV93">
        <v>1</v>
      </c>
      <c r="AW93">
        <v>1</v>
      </c>
      <c r="AZ93">
        <v>1</v>
      </c>
      <c r="BA93">
        <v>34.01</v>
      </c>
      <c r="BB93">
        <v>11.81</v>
      </c>
      <c r="BC93">
        <v>3.67</v>
      </c>
      <c r="BH93">
        <v>0</v>
      </c>
      <c r="BI93">
        <v>1</v>
      </c>
      <c r="BJ93" t="s">
        <v>148</v>
      </c>
      <c r="BM93">
        <v>10001</v>
      </c>
      <c r="BN93">
        <v>0</v>
      </c>
      <c r="BO93" t="s">
        <v>146</v>
      </c>
      <c r="BP93">
        <v>1</v>
      </c>
      <c r="BQ93">
        <v>2</v>
      </c>
      <c r="BR93">
        <v>0</v>
      </c>
      <c r="BS93">
        <v>34.01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118</v>
      </c>
      <c r="CA93">
        <v>63</v>
      </c>
      <c r="CE93">
        <v>0</v>
      </c>
      <c r="CF93">
        <v>0</v>
      </c>
      <c r="CG93">
        <v>0</v>
      </c>
      <c r="CM93">
        <v>0</v>
      </c>
      <c r="CN93" t="s">
        <v>391</v>
      </c>
      <c r="CO93">
        <v>0</v>
      </c>
      <c r="CP93">
        <f t="shared" si="89"/>
        <v>1253.4699999999998</v>
      </c>
      <c r="CQ93">
        <f t="shared" si="90"/>
        <v>0</v>
      </c>
      <c r="CR93">
        <f t="shared" si="91"/>
        <v>2189.95192</v>
      </c>
      <c r="CS93">
        <f t="shared" si="92"/>
        <v>1226.2645599999998</v>
      </c>
      <c r="CT93">
        <f t="shared" si="93"/>
        <v>29146.84208</v>
      </c>
      <c r="CU93">
        <f t="shared" si="94"/>
        <v>0</v>
      </c>
      <c r="CV93">
        <f t="shared" si="95"/>
        <v>98.056</v>
      </c>
      <c r="CW93">
        <f t="shared" si="96"/>
        <v>3.04</v>
      </c>
      <c r="CX93">
        <f t="shared" si="97"/>
        <v>0</v>
      </c>
      <c r="CY93">
        <f t="shared" si="98"/>
        <v>1287.8152</v>
      </c>
      <c r="CZ93">
        <f t="shared" si="99"/>
        <v>656.0568</v>
      </c>
      <c r="DD93" t="s">
        <v>149</v>
      </c>
      <c r="DE93" t="s">
        <v>150</v>
      </c>
      <c r="DF93" t="s">
        <v>150</v>
      </c>
      <c r="DG93" t="s">
        <v>150</v>
      </c>
      <c r="DI93" t="s">
        <v>150</v>
      </c>
      <c r="DJ93" t="s">
        <v>150</v>
      </c>
      <c r="DN93">
        <v>0</v>
      </c>
      <c r="DO93">
        <v>0</v>
      </c>
      <c r="DP93">
        <v>1</v>
      </c>
      <c r="DQ93">
        <v>1</v>
      </c>
      <c r="DU93">
        <v>1005</v>
      </c>
      <c r="DV93" t="s">
        <v>42</v>
      </c>
      <c r="DW93" t="s">
        <v>42</v>
      </c>
      <c r="DX93">
        <v>100</v>
      </c>
      <c r="EE93">
        <v>49315468</v>
      </c>
      <c r="EF93">
        <v>2</v>
      </c>
      <c r="EG93" t="s">
        <v>33</v>
      </c>
      <c r="EH93">
        <v>0</v>
      </c>
      <c r="EJ93">
        <v>1</v>
      </c>
      <c r="EK93">
        <v>10001</v>
      </c>
      <c r="EL93" t="s">
        <v>151</v>
      </c>
      <c r="EM93" t="s">
        <v>152</v>
      </c>
      <c r="EO93" t="s">
        <v>153</v>
      </c>
      <c r="EQ93">
        <v>0</v>
      </c>
      <c r="ER93">
        <v>7069.36</v>
      </c>
      <c r="ES93">
        <v>5766.31</v>
      </c>
      <c r="ET93">
        <v>231.79</v>
      </c>
      <c r="EU93">
        <v>45.07</v>
      </c>
      <c r="EV93">
        <v>1071.26</v>
      </c>
      <c r="EW93">
        <v>122.57</v>
      </c>
      <c r="EX93">
        <v>3.8</v>
      </c>
      <c r="EY93">
        <v>0</v>
      </c>
      <c r="FQ93">
        <v>0</v>
      </c>
      <c r="FR93">
        <f t="shared" si="100"/>
        <v>0</v>
      </c>
      <c r="FS93">
        <v>0</v>
      </c>
      <c r="FT93" t="s">
        <v>37</v>
      </c>
      <c r="FU93" t="s">
        <v>38</v>
      </c>
      <c r="FX93">
        <v>106.2</v>
      </c>
      <c r="FY93">
        <v>53.55</v>
      </c>
      <c r="GD93">
        <v>1</v>
      </c>
      <c r="GF93">
        <v>-1991369718</v>
      </c>
      <c r="GG93">
        <v>2</v>
      </c>
      <c r="GH93">
        <v>1</v>
      </c>
      <c r="GI93">
        <v>2</v>
      </c>
      <c r="GJ93">
        <v>0</v>
      </c>
      <c r="GK93">
        <v>0</v>
      </c>
      <c r="GL93">
        <f t="shared" si="101"/>
        <v>0</v>
      </c>
      <c r="GM93">
        <f t="shared" si="102"/>
        <v>3197.35</v>
      </c>
      <c r="GN93">
        <f t="shared" si="103"/>
        <v>3197.35</v>
      </c>
      <c r="GO93">
        <f t="shared" si="104"/>
        <v>0</v>
      </c>
      <c r="GP93">
        <f t="shared" si="105"/>
        <v>0</v>
      </c>
      <c r="GR93">
        <v>0</v>
      </c>
      <c r="GS93">
        <v>0</v>
      </c>
      <c r="GT93">
        <v>0</v>
      </c>
      <c r="GV93">
        <f t="shared" si="106"/>
        <v>0</v>
      </c>
      <c r="GW93">
        <v>1</v>
      </c>
      <c r="GX93">
        <f t="shared" si="107"/>
        <v>0</v>
      </c>
      <c r="HA93">
        <v>0</v>
      </c>
      <c r="HB93">
        <v>0</v>
      </c>
      <c r="HC93">
        <f t="shared" si="108"/>
        <v>0</v>
      </c>
      <c r="IK93">
        <v>0</v>
      </c>
    </row>
    <row r="94" spans="1:255" ht="12.75">
      <c r="A94" s="2">
        <v>17</v>
      </c>
      <c r="B94" s="2">
        <v>1</v>
      </c>
      <c r="C94" s="2">
        <f>ROW(SmtRes!A96)</f>
        <v>96</v>
      </c>
      <c r="D94" s="2">
        <f>ROW(EtalonRes!A101)</f>
        <v>101</v>
      </c>
      <c r="E94" s="2" t="s">
        <v>154</v>
      </c>
      <c r="F94" s="2" t="s">
        <v>52</v>
      </c>
      <c r="G94" s="2" t="s">
        <v>53</v>
      </c>
      <c r="H94" s="2" t="s">
        <v>42</v>
      </c>
      <c r="I94" s="2">
        <f>ROUND(ROUND(34.54/100,2),7)</f>
        <v>0.35</v>
      </c>
      <c r="J94" s="2">
        <v>0</v>
      </c>
      <c r="K94" s="2">
        <f>ROUND(ROUND(34.54/100,2),7)</f>
        <v>0.35</v>
      </c>
      <c r="L94" s="2"/>
      <c r="M94" s="2"/>
      <c r="N94" s="2"/>
      <c r="O94" s="2">
        <f t="shared" si="74"/>
        <v>1554.86</v>
      </c>
      <c r="P94" s="2">
        <f t="shared" si="75"/>
        <v>96.56</v>
      </c>
      <c r="Q94" s="2">
        <f t="shared" si="76"/>
        <v>251.65</v>
      </c>
      <c r="R94" s="2">
        <f t="shared" si="77"/>
        <v>14.42</v>
      </c>
      <c r="S94" s="2">
        <f t="shared" si="78"/>
        <v>1206.65</v>
      </c>
      <c r="T94" s="2">
        <f t="shared" si="79"/>
        <v>0</v>
      </c>
      <c r="U94" s="2">
        <f t="shared" si="80"/>
        <v>119.945</v>
      </c>
      <c r="V94" s="2">
        <f t="shared" si="81"/>
        <v>1.085</v>
      </c>
      <c r="W94" s="2">
        <f t="shared" si="82"/>
        <v>0</v>
      </c>
      <c r="X94" s="2">
        <f t="shared" si="83"/>
        <v>989.07</v>
      </c>
      <c r="Y94" s="2">
        <f t="shared" si="84"/>
        <v>879.17</v>
      </c>
      <c r="Z94" s="2"/>
      <c r="AA94" s="2">
        <v>50947576</v>
      </c>
      <c r="AB94" s="2">
        <f t="shared" si="85"/>
        <v>4442.4295</v>
      </c>
      <c r="AC94" s="2">
        <f aca="true" t="shared" si="111" ref="AC94:AC117">ROUND((ES94),6)</f>
        <v>275.88</v>
      </c>
      <c r="AD94" s="2">
        <f>ROUND(((((ET94*ROUND(1.25,7)))-((EU94*ROUND(1.25,7))))+AE94),6)</f>
        <v>718.9875</v>
      </c>
      <c r="AE94" s="2">
        <f>ROUND(((EU94*ROUND(1.25,7))),6)</f>
        <v>41.1875</v>
      </c>
      <c r="AF94" s="2">
        <f>ROUND(((EV94*ROUND(1.15,7))),6)</f>
        <v>3447.562</v>
      </c>
      <c r="AG94" s="2">
        <f t="shared" si="87"/>
        <v>0</v>
      </c>
      <c r="AH94" s="2">
        <f>((EW94*ROUND(1.15,7)))</f>
        <v>342.7</v>
      </c>
      <c r="AI94" s="2">
        <f>((EX94*ROUND(1.25,7)))</f>
        <v>3.1</v>
      </c>
      <c r="AJ94" s="2">
        <f t="shared" si="88"/>
        <v>0</v>
      </c>
      <c r="AK94" s="2">
        <v>3848.95</v>
      </c>
      <c r="AL94" s="2">
        <v>275.88</v>
      </c>
      <c r="AM94" s="2">
        <v>575.19</v>
      </c>
      <c r="AN94" s="2">
        <v>32.95</v>
      </c>
      <c r="AO94" s="2">
        <v>2997.88</v>
      </c>
      <c r="AP94" s="2">
        <v>0</v>
      </c>
      <c r="AQ94" s="2">
        <v>298</v>
      </c>
      <c r="AR94" s="2">
        <v>2.48</v>
      </c>
      <c r="AS94" s="2">
        <v>0</v>
      </c>
      <c r="AT94" s="2">
        <v>81</v>
      </c>
      <c r="AU94" s="2">
        <v>72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0</v>
      </c>
      <c r="BI94" s="2">
        <v>1</v>
      </c>
      <c r="BJ94" s="2" t="s">
        <v>54</v>
      </c>
      <c r="BK94" s="2"/>
      <c r="BL94" s="2"/>
      <c r="BM94" s="2">
        <v>9001</v>
      </c>
      <c r="BN94" s="2">
        <v>0</v>
      </c>
      <c r="BO94" s="2" t="s">
        <v>3</v>
      </c>
      <c r="BP94" s="2">
        <v>0</v>
      </c>
      <c r="BQ94" s="2">
        <v>23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90</v>
      </c>
      <c r="CA94" s="2">
        <v>85</v>
      </c>
      <c r="CB94" s="2" t="s">
        <v>3</v>
      </c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390</v>
      </c>
      <c r="CO94" s="2">
        <v>0</v>
      </c>
      <c r="CP94" s="2">
        <f t="shared" si="89"/>
        <v>1554.8600000000001</v>
      </c>
      <c r="CQ94" s="2">
        <f t="shared" si="90"/>
        <v>275.88</v>
      </c>
      <c r="CR94" s="2">
        <f t="shared" si="91"/>
        <v>718.9875</v>
      </c>
      <c r="CS94" s="2">
        <f t="shared" si="92"/>
        <v>41.1875</v>
      </c>
      <c r="CT94" s="2">
        <f t="shared" si="93"/>
        <v>3447.562</v>
      </c>
      <c r="CU94" s="2">
        <f t="shared" si="94"/>
        <v>0</v>
      </c>
      <c r="CV94" s="2">
        <f t="shared" si="95"/>
        <v>342.7</v>
      </c>
      <c r="CW94" s="2">
        <f t="shared" si="96"/>
        <v>3.1</v>
      </c>
      <c r="CX94" s="2">
        <f t="shared" si="97"/>
        <v>0</v>
      </c>
      <c r="CY94" s="2">
        <f t="shared" si="98"/>
        <v>989.0667000000001</v>
      </c>
      <c r="CZ94" s="2">
        <f t="shared" si="99"/>
        <v>879.1704000000001</v>
      </c>
      <c r="DA94" s="2"/>
      <c r="DB94" s="2"/>
      <c r="DC94" s="2" t="s">
        <v>3</v>
      </c>
      <c r="DD94" s="2" t="s">
        <v>3</v>
      </c>
      <c r="DE94" s="2" t="s">
        <v>31</v>
      </c>
      <c r="DF94" s="2" t="s">
        <v>31</v>
      </c>
      <c r="DG94" s="2" t="s">
        <v>32</v>
      </c>
      <c r="DH94" s="2" t="s">
        <v>3</v>
      </c>
      <c r="DI94" s="2" t="s">
        <v>32</v>
      </c>
      <c r="DJ94" s="2" t="s">
        <v>31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1005</v>
      </c>
      <c r="DV94" s="2" t="s">
        <v>42</v>
      </c>
      <c r="DW94" s="2" t="s">
        <v>42</v>
      </c>
      <c r="DX94" s="2">
        <v>100</v>
      </c>
      <c r="DY94" s="2"/>
      <c r="DZ94" s="2" t="s">
        <v>3</v>
      </c>
      <c r="EA94" s="2" t="s">
        <v>3</v>
      </c>
      <c r="EB94" s="2" t="s">
        <v>3</v>
      </c>
      <c r="EC94" s="2" t="s">
        <v>3</v>
      </c>
      <c r="ED94" s="2"/>
      <c r="EE94" s="2">
        <v>49315466</v>
      </c>
      <c r="EF94" s="2">
        <v>23</v>
      </c>
      <c r="EG94" s="2" t="s">
        <v>55</v>
      </c>
      <c r="EH94" s="2">
        <v>0</v>
      </c>
      <c r="EI94" s="2" t="s">
        <v>3</v>
      </c>
      <c r="EJ94" s="2">
        <v>1</v>
      </c>
      <c r="EK94" s="2">
        <v>9001</v>
      </c>
      <c r="EL94" s="2" t="s">
        <v>56</v>
      </c>
      <c r="EM94" s="2" t="s">
        <v>57</v>
      </c>
      <c r="EN94" s="2"/>
      <c r="EO94" s="2" t="s">
        <v>36</v>
      </c>
      <c r="EP94" s="2"/>
      <c r="EQ94" s="2">
        <v>0</v>
      </c>
      <c r="ER94" s="2">
        <v>3848.95</v>
      </c>
      <c r="ES94" s="2">
        <v>275.88</v>
      </c>
      <c r="ET94" s="2">
        <v>575.19</v>
      </c>
      <c r="EU94" s="2">
        <v>32.95</v>
      </c>
      <c r="EV94" s="2">
        <v>2997.88</v>
      </c>
      <c r="EW94" s="2">
        <v>298</v>
      </c>
      <c r="EX94" s="2">
        <v>2.48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00"/>
        <v>0</v>
      </c>
      <c r="FS94" s="2">
        <v>0</v>
      </c>
      <c r="FT94" s="2" t="s">
        <v>37</v>
      </c>
      <c r="FU94" s="2" t="s">
        <v>38</v>
      </c>
      <c r="FV94" s="2"/>
      <c r="FW94" s="2"/>
      <c r="FX94" s="2">
        <v>81</v>
      </c>
      <c r="FY94" s="2">
        <v>72.25</v>
      </c>
      <c r="FZ94" s="2"/>
      <c r="GA94" s="2" t="s">
        <v>3</v>
      </c>
      <c r="GB94" s="2"/>
      <c r="GC94" s="2"/>
      <c r="GD94" s="2">
        <v>1</v>
      </c>
      <c r="GE94" s="2"/>
      <c r="GF94" s="2">
        <v>2062258268</v>
      </c>
      <c r="GG94" s="2">
        <v>2</v>
      </c>
      <c r="GH94" s="2">
        <v>1</v>
      </c>
      <c r="GI94" s="2">
        <v>-2</v>
      </c>
      <c r="GJ94" s="2">
        <v>0</v>
      </c>
      <c r="GK94" s="2">
        <v>0</v>
      </c>
      <c r="GL94" s="2">
        <f t="shared" si="101"/>
        <v>0</v>
      </c>
      <c r="GM94" s="2">
        <f t="shared" si="102"/>
        <v>3423.1</v>
      </c>
      <c r="GN94" s="2">
        <f t="shared" si="103"/>
        <v>3423.1</v>
      </c>
      <c r="GO94" s="2">
        <f t="shared" si="104"/>
        <v>0</v>
      </c>
      <c r="GP94" s="2">
        <f t="shared" si="105"/>
        <v>0</v>
      </c>
      <c r="GQ94" s="2"/>
      <c r="GR94" s="2">
        <v>0</v>
      </c>
      <c r="GS94" s="2">
        <v>3</v>
      </c>
      <c r="GT94" s="2">
        <v>0</v>
      </c>
      <c r="GU94" s="2" t="s">
        <v>3</v>
      </c>
      <c r="GV94" s="2">
        <f t="shared" si="106"/>
        <v>0</v>
      </c>
      <c r="GW94" s="2">
        <v>1</v>
      </c>
      <c r="GX94" s="2">
        <f t="shared" si="107"/>
        <v>0</v>
      </c>
      <c r="GY94" s="2"/>
      <c r="GZ94" s="2"/>
      <c r="HA94" s="2">
        <v>0</v>
      </c>
      <c r="HB94" s="2">
        <v>0</v>
      </c>
      <c r="HC94" s="2">
        <f t="shared" si="108"/>
        <v>0</v>
      </c>
      <c r="HD94" s="2"/>
      <c r="HE94" s="2" t="s">
        <v>3</v>
      </c>
      <c r="HF94" s="2" t="s">
        <v>3</v>
      </c>
      <c r="HG94" s="2"/>
      <c r="HH94" s="2"/>
      <c r="HI94" s="2"/>
      <c r="HJ94" s="2"/>
      <c r="HK94" s="2"/>
      <c r="HL94" s="2"/>
      <c r="HM94" s="2" t="s">
        <v>3</v>
      </c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45" ht="12.75">
      <c r="A95">
        <v>17</v>
      </c>
      <c r="B95">
        <v>1</v>
      </c>
      <c r="C95">
        <f>ROW(SmtRes!A108)</f>
        <v>108</v>
      </c>
      <c r="D95">
        <f>ROW(EtalonRes!A114)</f>
        <v>114</v>
      </c>
      <c r="E95" t="s">
        <v>154</v>
      </c>
      <c r="F95" t="s">
        <v>52</v>
      </c>
      <c r="G95" t="s">
        <v>53</v>
      </c>
      <c r="H95" t="s">
        <v>42</v>
      </c>
      <c r="I95">
        <f>ROUND(ROUND(34.54/100,2),7)</f>
        <v>0.35</v>
      </c>
      <c r="J95">
        <v>0</v>
      </c>
      <c r="K95">
        <f>ROUND(ROUND(34.54/100,2),7)</f>
        <v>0.35</v>
      </c>
      <c r="O95">
        <f t="shared" si="74"/>
        <v>43515.09</v>
      </c>
      <c r="P95">
        <f t="shared" si="75"/>
        <v>702.94</v>
      </c>
      <c r="Q95">
        <f t="shared" si="76"/>
        <v>1774.1</v>
      </c>
      <c r="R95">
        <f t="shared" si="77"/>
        <v>490.28</v>
      </c>
      <c r="S95">
        <f t="shared" si="78"/>
        <v>41038.05</v>
      </c>
      <c r="T95">
        <f t="shared" si="79"/>
        <v>0</v>
      </c>
      <c r="U95">
        <f t="shared" si="80"/>
        <v>119.945</v>
      </c>
      <c r="V95">
        <f t="shared" si="81"/>
        <v>1.085</v>
      </c>
      <c r="W95">
        <f t="shared" si="82"/>
        <v>0</v>
      </c>
      <c r="X95">
        <f t="shared" si="83"/>
        <v>33637.95</v>
      </c>
      <c r="Y95">
        <f t="shared" si="84"/>
        <v>29900.4</v>
      </c>
      <c r="AA95">
        <v>50961513</v>
      </c>
      <c r="AB95">
        <f t="shared" si="85"/>
        <v>4442.4295</v>
      </c>
      <c r="AC95">
        <f t="shared" si="111"/>
        <v>275.88</v>
      </c>
      <c r="AD95">
        <f>ROUND(((((ET95*ROUND(1.25,7)))-((EU95*ROUND(1.25,7))))+AE95),6)</f>
        <v>718.9875</v>
      </c>
      <c r="AE95">
        <f>ROUND(((EU95*ROUND(1.25,7))),6)</f>
        <v>41.1875</v>
      </c>
      <c r="AF95">
        <f>ROUND(((EV95*ROUND(1.15,7))),6)</f>
        <v>3447.562</v>
      </c>
      <c r="AG95">
        <f t="shared" si="87"/>
        <v>0</v>
      </c>
      <c r="AH95">
        <f>((EW95*ROUND(1.15,7)))</f>
        <v>342.7</v>
      </c>
      <c r="AI95">
        <f>((EX95*ROUND(1.25,7)))</f>
        <v>3.1</v>
      </c>
      <c r="AJ95">
        <f t="shared" si="88"/>
        <v>0</v>
      </c>
      <c r="AK95">
        <v>3848.95</v>
      </c>
      <c r="AL95">
        <v>275.88</v>
      </c>
      <c r="AM95">
        <v>575.19</v>
      </c>
      <c r="AN95">
        <v>32.95</v>
      </c>
      <c r="AO95">
        <v>2997.88</v>
      </c>
      <c r="AP95">
        <v>0</v>
      </c>
      <c r="AQ95">
        <v>298</v>
      </c>
      <c r="AR95">
        <v>2.48</v>
      </c>
      <c r="AS95">
        <v>0</v>
      </c>
      <c r="AT95">
        <v>81</v>
      </c>
      <c r="AU95">
        <v>72</v>
      </c>
      <c r="AV95">
        <v>1</v>
      </c>
      <c r="AW95">
        <v>1</v>
      </c>
      <c r="AZ95">
        <v>1</v>
      </c>
      <c r="BA95">
        <v>34.01</v>
      </c>
      <c r="BB95">
        <v>7.05</v>
      </c>
      <c r="BC95">
        <v>7.28</v>
      </c>
      <c r="BH95">
        <v>0</v>
      </c>
      <c r="BI95">
        <v>1</v>
      </c>
      <c r="BJ95" t="s">
        <v>54</v>
      </c>
      <c r="BM95">
        <v>9001</v>
      </c>
      <c r="BN95">
        <v>0</v>
      </c>
      <c r="BO95" t="s">
        <v>52</v>
      </c>
      <c r="BP95">
        <v>1</v>
      </c>
      <c r="BQ95">
        <v>23</v>
      </c>
      <c r="BR95">
        <v>0</v>
      </c>
      <c r="BS95">
        <v>34.01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90</v>
      </c>
      <c r="CA95">
        <v>85</v>
      </c>
      <c r="CE95">
        <v>0</v>
      </c>
      <c r="CF95">
        <v>0</v>
      </c>
      <c r="CG95">
        <v>0</v>
      </c>
      <c r="CM95">
        <v>0</v>
      </c>
      <c r="CN95" t="s">
        <v>390</v>
      </c>
      <c r="CO95">
        <v>0</v>
      </c>
      <c r="CP95">
        <f t="shared" si="89"/>
        <v>43515.090000000004</v>
      </c>
      <c r="CQ95">
        <f t="shared" si="90"/>
        <v>2008.4064</v>
      </c>
      <c r="CR95">
        <f t="shared" si="91"/>
        <v>5068.861875</v>
      </c>
      <c r="CS95">
        <f t="shared" si="92"/>
        <v>1400.786875</v>
      </c>
      <c r="CT95">
        <f t="shared" si="93"/>
        <v>117251.58361999999</v>
      </c>
      <c r="CU95">
        <f t="shared" si="94"/>
        <v>0</v>
      </c>
      <c r="CV95">
        <f t="shared" si="95"/>
        <v>342.7</v>
      </c>
      <c r="CW95">
        <f t="shared" si="96"/>
        <v>3.1</v>
      </c>
      <c r="CX95">
        <f t="shared" si="97"/>
        <v>0</v>
      </c>
      <c r="CY95">
        <f t="shared" si="98"/>
        <v>33637.9473</v>
      </c>
      <c r="CZ95">
        <f t="shared" si="99"/>
        <v>29900.397600000004</v>
      </c>
      <c r="DE95" t="s">
        <v>31</v>
      </c>
      <c r="DF95" t="s">
        <v>31</v>
      </c>
      <c r="DG95" t="s">
        <v>32</v>
      </c>
      <c r="DI95" t="s">
        <v>32</v>
      </c>
      <c r="DJ95" t="s">
        <v>31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42</v>
      </c>
      <c r="DW95" t="s">
        <v>42</v>
      </c>
      <c r="DX95">
        <v>100</v>
      </c>
      <c r="EE95">
        <v>49315466</v>
      </c>
      <c r="EF95">
        <v>23</v>
      </c>
      <c r="EG95" t="s">
        <v>55</v>
      </c>
      <c r="EH95">
        <v>0</v>
      </c>
      <c r="EJ95">
        <v>1</v>
      </c>
      <c r="EK95">
        <v>9001</v>
      </c>
      <c r="EL95" t="s">
        <v>56</v>
      </c>
      <c r="EM95" t="s">
        <v>57</v>
      </c>
      <c r="EO95" t="s">
        <v>36</v>
      </c>
      <c r="EQ95">
        <v>0</v>
      </c>
      <c r="ER95">
        <v>3848.95</v>
      </c>
      <c r="ES95">
        <v>275.88</v>
      </c>
      <c r="ET95">
        <v>575.19</v>
      </c>
      <c r="EU95">
        <v>32.95</v>
      </c>
      <c r="EV95">
        <v>2997.88</v>
      </c>
      <c r="EW95">
        <v>298</v>
      </c>
      <c r="EX95">
        <v>2.48</v>
      </c>
      <c r="EY95">
        <v>0</v>
      </c>
      <c r="FQ95">
        <v>0</v>
      </c>
      <c r="FR95">
        <f t="shared" si="100"/>
        <v>0</v>
      </c>
      <c r="FS95">
        <v>0</v>
      </c>
      <c r="FT95" t="s">
        <v>37</v>
      </c>
      <c r="FU95" t="s">
        <v>38</v>
      </c>
      <c r="FX95">
        <v>81</v>
      </c>
      <c r="FY95">
        <v>72.25</v>
      </c>
      <c r="GD95">
        <v>1</v>
      </c>
      <c r="GF95">
        <v>2062258268</v>
      </c>
      <c r="GG95">
        <v>2</v>
      </c>
      <c r="GH95">
        <v>1</v>
      </c>
      <c r="GI95">
        <v>2</v>
      </c>
      <c r="GJ95">
        <v>0</v>
      </c>
      <c r="GK95">
        <v>0</v>
      </c>
      <c r="GL95">
        <f t="shared" si="101"/>
        <v>0</v>
      </c>
      <c r="GM95">
        <f t="shared" si="102"/>
        <v>107053.44</v>
      </c>
      <c r="GN95">
        <f t="shared" si="103"/>
        <v>107053.44</v>
      </c>
      <c r="GO95">
        <f t="shared" si="104"/>
        <v>0</v>
      </c>
      <c r="GP95">
        <f t="shared" si="105"/>
        <v>0</v>
      </c>
      <c r="GR95">
        <v>0</v>
      </c>
      <c r="GS95">
        <v>3</v>
      </c>
      <c r="GT95">
        <v>0</v>
      </c>
      <c r="GV95">
        <f t="shared" si="106"/>
        <v>0</v>
      </c>
      <c r="GW95">
        <v>1</v>
      </c>
      <c r="GX95">
        <f t="shared" si="107"/>
        <v>0</v>
      </c>
      <c r="HA95">
        <v>0</v>
      </c>
      <c r="HB95">
        <v>0</v>
      </c>
      <c r="HC95">
        <f t="shared" si="108"/>
        <v>0</v>
      </c>
      <c r="IK95">
        <v>0</v>
      </c>
    </row>
    <row r="96" spans="1:255" ht="12.75">
      <c r="A96" s="2">
        <v>18</v>
      </c>
      <c r="B96" s="2">
        <v>1</v>
      </c>
      <c r="C96" s="2">
        <v>94</v>
      </c>
      <c r="D96" s="2"/>
      <c r="E96" s="2" t="s">
        <v>155</v>
      </c>
      <c r="F96" s="2" t="s">
        <v>59</v>
      </c>
      <c r="G96" s="2" t="s">
        <v>156</v>
      </c>
      <c r="H96" s="2" t="s">
        <v>61</v>
      </c>
      <c r="I96" s="2">
        <f>I94*J96</f>
        <v>2.9999999999999996</v>
      </c>
      <c r="J96" s="2">
        <v>8.571428571428571</v>
      </c>
      <c r="K96" s="2">
        <v>8.571429</v>
      </c>
      <c r="L96" s="2"/>
      <c r="M96" s="2"/>
      <c r="N96" s="2"/>
      <c r="O96" s="2">
        <f t="shared" si="74"/>
        <v>291473.49</v>
      </c>
      <c r="P96" s="2">
        <f t="shared" si="75"/>
        <v>291473.49</v>
      </c>
      <c r="Q96" s="2">
        <f t="shared" si="76"/>
        <v>0</v>
      </c>
      <c r="R96" s="2">
        <f t="shared" si="77"/>
        <v>0</v>
      </c>
      <c r="S96" s="2">
        <f t="shared" si="78"/>
        <v>0</v>
      </c>
      <c r="T96" s="2">
        <f t="shared" si="79"/>
        <v>0</v>
      </c>
      <c r="U96" s="2">
        <f t="shared" si="80"/>
        <v>0</v>
      </c>
      <c r="V96" s="2">
        <f t="shared" si="81"/>
        <v>0</v>
      </c>
      <c r="W96" s="2">
        <f t="shared" si="82"/>
        <v>0</v>
      </c>
      <c r="X96" s="2">
        <f t="shared" si="83"/>
        <v>0</v>
      </c>
      <c r="Y96" s="2">
        <f t="shared" si="84"/>
        <v>0</v>
      </c>
      <c r="Z96" s="2"/>
      <c r="AA96" s="2">
        <v>50947576</v>
      </c>
      <c r="AB96" s="2">
        <f t="shared" si="85"/>
        <v>97157.83</v>
      </c>
      <c r="AC96" s="2">
        <f t="shared" si="111"/>
        <v>97157.83</v>
      </c>
      <c r="AD96" s="2">
        <f aca="true" t="shared" si="112" ref="AD96:AD113">ROUND((((ET96)-(EU96))+AE96),6)</f>
        <v>0</v>
      </c>
      <c r="AE96" s="2">
        <f aca="true" t="shared" si="113" ref="AE96:AE113">ROUND((EU96),6)</f>
        <v>0</v>
      </c>
      <c r="AF96" s="2">
        <f aca="true" t="shared" si="114" ref="AF96:AF113">ROUND((EV96),6)</f>
        <v>0</v>
      </c>
      <c r="AG96" s="2">
        <f t="shared" si="87"/>
        <v>0</v>
      </c>
      <c r="AH96" s="2">
        <f aca="true" t="shared" si="115" ref="AH96:AH113">(EW96)</f>
        <v>0</v>
      </c>
      <c r="AI96" s="2">
        <f aca="true" t="shared" si="116" ref="AI96:AI113">(EX96)</f>
        <v>0</v>
      </c>
      <c r="AJ96" s="2">
        <f t="shared" si="88"/>
        <v>0</v>
      </c>
      <c r="AK96" s="2">
        <v>97157.83</v>
      </c>
      <c r="AL96" s="2">
        <v>97157.83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81</v>
      </c>
      <c r="AU96" s="2">
        <v>72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3</v>
      </c>
      <c r="BE96" s="2" t="s">
        <v>3</v>
      </c>
      <c r="BF96" s="2" t="s">
        <v>3</v>
      </c>
      <c r="BG96" s="2" t="s">
        <v>3</v>
      </c>
      <c r="BH96" s="2">
        <v>3</v>
      </c>
      <c r="BI96" s="2">
        <v>1</v>
      </c>
      <c r="BJ96" s="2" t="s">
        <v>3</v>
      </c>
      <c r="BK96" s="2"/>
      <c r="BL96" s="2"/>
      <c r="BM96" s="2">
        <v>9001</v>
      </c>
      <c r="BN96" s="2">
        <v>0</v>
      </c>
      <c r="BO96" s="2" t="s">
        <v>3</v>
      </c>
      <c r="BP96" s="2">
        <v>0</v>
      </c>
      <c r="BQ96" s="2">
        <v>23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3</v>
      </c>
      <c r="BZ96" s="2">
        <v>90</v>
      </c>
      <c r="CA96" s="2">
        <v>85</v>
      </c>
      <c r="CB96" s="2" t="s">
        <v>3</v>
      </c>
      <c r="CC96" s="2"/>
      <c r="CD96" s="2"/>
      <c r="CE96" s="2">
        <v>0</v>
      </c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3</v>
      </c>
      <c r="CO96" s="2">
        <v>0</v>
      </c>
      <c r="CP96" s="2">
        <f t="shared" si="89"/>
        <v>291473.49</v>
      </c>
      <c r="CQ96" s="2">
        <f t="shared" si="90"/>
        <v>97157.83</v>
      </c>
      <c r="CR96" s="2">
        <f t="shared" si="91"/>
        <v>0</v>
      </c>
      <c r="CS96" s="2">
        <f t="shared" si="92"/>
        <v>0</v>
      </c>
      <c r="CT96" s="2">
        <f t="shared" si="93"/>
        <v>0</v>
      </c>
      <c r="CU96" s="2">
        <f t="shared" si="94"/>
        <v>0</v>
      </c>
      <c r="CV96" s="2">
        <f t="shared" si="95"/>
        <v>0</v>
      </c>
      <c r="CW96" s="2">
        <f t="shared" si="96"/>
        <v>0</v>
      </c>
      <c r="CX96" s="2">
        <f t="shared" si="97"/>
        <v>0</v>
      </c>
      <c r="CY96" s="2">
        <f t="shared" si="98"/>
        <v>0</v>
      </c>
      <c r="CZ96" s="2">
        <f t="shared" si="99"/>
        <v>0</v>
      </c>
      <c r="DA96" s="2"/>
      <c r="DB96" s="2"/>
      <c r="DC96" s="2" t="s">
        <v>3</v>
      </c>
      <c r="DD96" s="2" t="s">
        <v>3</v>
      </c>
      <c r="DE96" s="2" t="s">
        <v>3</v>
      </c>
      <c r="DF96" s="2" t="s">
        <v>3</v>
      </c>
      <c r="DG96" s="2" t="s">
        <v>3</v>
      </c>
      <c r="DH96" s="2" t="s">
        <v>3</v>
      </c>
      <c r="DI96" s="2" t="s">
        <v>3</v>
      </c>
      <c r="DJ96" s="2" t="s">
        <v>3</v>
      </c>
      <c r="DK96" s="2" t="s">
        <v>3</v>
      </c>
      <c r="DL96" s="2" t="s">
        <v>3</v>
      </c>
      <c r="DM96" s="2" t="s">
        <v>3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1013</v>
      </c>
      <c r="DV96" s="2" t="s">
        <v>61</v>
      </c>
      <c r="DW96" s="2" t="s">
        <v>61</v>
      </c>
      <c r="DX96" s="2">
        <v>1</v>
      </c>
      <c r="DY96" s="2"/>
      <c r="DZ96" s="2" t="s">
        <v>3</v>
      </c>
      <c r="EA96" s="2" t="s">
        <v>3</v>
      </c>
      <c r="EB96" s="2" t="s">
        <v>3</v>
      </c>
      <c r="EC96" s="2" t="s">
        <v>3</v>
      </c>
      <c r="ED96" s="2"/>
      <c r="EE96" s="2">
        <v>49315466</v>
      </c>
      <c r="EF96" s="2">
        <v>23</v>
      </c>
      <c r="EG96" s="2" t="s">
        <v>55</v>
      </c>
      <c r="EH96" s="2">
        <v>0</v>
      </c>
      <c r="EI96" s="2" t="s">
        <v>3</v>
      </c>
      <c r="EJ96" s="2">
        <v>1</v>
      </c>
      <c r="EK96" s="2">
        <v>9001</v>
      </c>
      <c r="EL96" s="2" t="s">
        <v>56</v>
      </c>
      <c r="EM96" s="2" t="s">
        <v>57</v>
      </c>
      <c r="EN96" s="2"/>
      <c r="EO96" s="2" t="s">
        <v>3</v>
      </c>
      <c r="EP96" s="2"/>
      <c r="EQ96" s="2">
        <v>0</v>
      </c>
      <c r="ER96" s="2">
        <v>0</v>
      </c>
      <c r="ES96" s="2">
        <v>97157.83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00"/>
        <v>0</v>
      </c>
      <c r="FS96" s="2">
        <v>0</v>
      </c>
      <c r="FT96" s="2" t="s">
        <v>37</v>
      </c>
      <c r="FU96" s="2" t="s">
        <v>38</v>
      </c>
      <c r="FV96" s="2"/>
      <c r="FW96" s="2"/>
      <c r="FX96" s="2">
        <v>81</v>
      </c>
      <c r="FY96" s="2">
        <v>72.25</v>
      </c>
      <c r="FZ96" s="2"/>
      <c r="GA96" s="2" t="s">
        <v>62</v>
      </c>
      <c r="GB96" s="2"/>
      <c r="GC96" s="2"/>
      <c r="GD96" s="2">
        <v>1</v>
      </c>
      <c r="GE96" s="2"/>
      <c r="GF96" s="2">
        <v>-1045658283</v>
      </c>
      <c r="GG96" s="2">
        <v>2</v>
      </c>
      <c r="GH96" s="2">
        <v>2</v>
      </c>
      <c r="GI96" s="2">
        <v>-2</v>
      </c>
      <c r="GJ96" s="2">
        <v>0</v>
      </c>
      <c r="GK96" s="2">
        <v>0</v>
      </c>
      <c r="GL96" s="2">
        <f t="shared" si="101"/>
        <v>0</v>
      </c>
      <c r="GM96" s="2">
        <f t="shared" si="102"/>
        <v>291473.49</v>
      </c>
      <c r="GN96" s="2">
        <f t="shared" si="103"/>
        <v>291473.49</v>
      </c>
      <c r="GO96" s="2">
        <f t="shared" si="104"/>
        <v>0</v>
      </c>
      <c r="GP96" s="2">
        <f t="shared" si="105"/>
        <v>0</v>
      </c>
      <c r="GQ96" s="2"/>
      <c r="GR96" s="2">
        <v>0</v>
      </c>
      <c r="GS96" s="2">
        <v>4</v>
      </c>
      <c r="GT96" s="2">
        <v>0</v>
      </c>
      <c r="GU96" s="2" t="s">
        <v>3</v>
      </c>
      <c r="GV96" s="2">
        <f t="shared" si="106"/>
        <v>0</v>
      </c>
      <c r="GW96" s="2">
        <v>1</v>
      </c>
      <c r="GX96" s="2">
        <f t="shared" si="107"/>
        <v>0</v>
      </c>
      <c r="GY96" s="2"/>
      <c r="GZ96" s="2"/>
      <c r="HA96" s="2">
        <v>0</v>
      </c>
      <c r="HB96" s="2">
        <v>0</v>
      </c>
      <c r="HC96" s="2">
        <f t="shared" si="108"/>
        <v>0</v>
      </c>
      <c r="HD96" s="2"/>
      <c r="HE96" s="2" t="s">
        <v>3</v>
      </c>
      <c r="HF96" s="2" t="s">
        <v>3</v>
      </c>
      <c r="HG96" s="2"/>
      <c r="HH96" s="2"/>
      <c r="HI96" s="2"/>
      <c r="HJ96" s="2"/>
      <c r="HK96" s="2"/>
      <c r="HL96" s="2"/>
      <c r="HM96" s="2" t="s">
        <v>3</v>
      </c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45" ht="12.75">
      <c r="A97">
        <v>18</v>
      </c>
      <c r="B97">
        <v>1</v>
      </c>
      <c r="C97">
        <v>106</v>
      </c>
      <c r="E97" t="s">
        <v>155</v>
      </c>
      <c r="F97" t="s">
        <v>59</v>
      </c>
      <c r="G97" t="s">
        <v>156</v>
      </c>
      <c r="H97" t="s">
        <v>61</v>
      </c>
      <c r="I97">
        <f>I95*J97</f>
        <v>2.9999999999999996</v>
      </c>
      <c r="J97">
        <v>8.571428571428571</v>
      </c>
      <c r="K97">
        <v>8.571429</v>
      </c>
      <c r="O97">
        <f t="shared" si="74"/>
        <v>291473.49</v>
      </c>
      <c r="P97">
        <f t="shared" si="75"/>
        <v>291473.49</v>
      </c>
      <c r="Q97">
        <f t="shared" si="76"/>
        <v>0</v>
      </c>
      <c r="R97">
        <f t="shared" si="77"/>
        <v>0</v>
      </c>
      <c r="S97">
        <f t="shared" si="78"/>
        <v>0</v>
      </c>
      <c r="T97">
        <f t="shared" si="79"/>
        <v>0</v>
      </c>
      <c r="U97">
        <f t="shared" si="80"/>
        <v>0</v>
      </c>
      <c r="V97">
        <f t="shared" si="81"/>
        <v>0</v>
      </c>
      <c r="W97">
        <f t="shared" si="82"/>
        <v>0</v>
      </c>
      <c r="X97">
        <f t="shared" si="83"/>
        <v>0</v>
      </c>
      <c r="Y97">
        <f t="shared" si="84"/>
        <v>0</v>
      </c>
      <c r="AA97">
        <v>50961513</v>
      </c>
      <c r="AB97">
        <f t="shared" si="85"/>
        <v>97157.83</v>
      </c>
      <c r="AC97">
        <f t="shared" si="111"/>
        <v>97157.83</v>
      </c>
      <c r="AD97">
        <f t="shared" si="112"/>
        <v>0</v>
      </c>
      <c r="AE97">
        <f t="shared" si="113"/>
        <v>0</v>
      </c>
      <c r="AF97">
        <f t="shared" si="114"/>
        <v>0</v>
      </c>
      <c r="AG97">
        <f t="shared" si="87"/>
        <v>0</v>
      </c>
      <c r="AH97">
        <f t="shared" si="115"/>
        <v>0</v>
      </c>
      <c r="AI97">
        <f t="shared" si="116"/>
        <v>0</v>
      </c>
      <c r="AJ97">
        <f t="shared" si="88"/>
        <v>0</v>
      </c>
      <c r="AK97">
        <v>97157.83</v>
      </c>
      <c r="AL97">
        <v>97157.83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81</v>
      </c>
      <c r="AU97">
        <v>72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1</v>
      </c>
      <c r="BH97">
        <v>3</v>
      </c>
      <c r="BI97">
        <v>1</v>
      </c>
      <c r="BM97">
        <v>9001</v>
      </c>
      <c r="BN97">
        <v>0</v>
      </c>
      <c r="BP97">
        <v>0</v>
      </c>
      <c r="BQ97">
        <v>23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90</v>
      </c>
      <c r="CA97">
        <v>85</v>
      </c>
      <c r="CE97">
        <v>0</v>
      </c>
      <c r="CF97">
        <v>0</v>
      </c>
      <c r="CG97">
        <v>0</v>
      </c>
      <c r="CM97">
        <v>0</v>
      </c>
      <c r="CO97">
        <v>0</v>
      </c>
      <c r="CP97">
        <f t="shared" si="89"/>
        <v>291473.49</v>
      </c>
      <c r="CQ97">
        <f t="shared" si="90"/>
        <v>97157.83</v>
      </c>
      <c r="CR97">
        <f t="shared" si="91"/>
        <v>0</v>
      </c>
      <c r="CS97">
        <f t="shared" si="92"/>
        <v>0</v>
      </c>
      <c r="CT97">
        <f t="shared" si="93"/>
        <v>0</v>
      </c>
      <c r="CU97">
        <f t="shared" si="94"/>
        <v>0</v>
      </c>
      <c r="CV97">
        <f t="shared" si="95"/>
        <v>0</v>
      </c>
      <c r="CW97">
        <f t="shared" si="96"/>
        <v>0</v>
      </c>
      <c r="CX97">
        <f t="shared" si="97"/>
        <v>0</v>
      </c>
      <c r="CY97">
        <f t="shared" si="98"/>
        <v>0</v>
      </c>
      <c r="CZ97">
        <f t="shared" si="99"/>
        <v>0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61</v>
      </c>
      <c r="DW97" t="s">
        <v>61</v>
      </c>
      <c r="DX97">
        <v>1</v>
      </c>
      <c r="EE97">
        <v>49315466</v>
      </c>
      <c r="EF97">
        <v>23</v>
      </c>
      <c r="EG97" t="s">
        <v>55</v>
      </c>
      <c r="EH97">
        <v>0</v>
      </c>
      <c r="EJ97">
        <v>1</v>
      </c>
      <c r="EK97">
        <v>9001</v>
      </c>
      <c r="EL97" t="s">
        <v>56</v>
      </c>
      <c r="EM97" t="s">
        <v>57</v>
      </c>
      <c r="EQ97">
        <v>0</v>
      </c>
      <c r="ER97">
        <v>0</v>
      </c>
      <c r="ES97">
        <v>97157.83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00"/>
        <v>0</v>
      </c>
      <c r="FS97">
        <v>0</v>
      </c>
      <c r="FT97" t="s">
        <v>37</v>
      </c>
      <c r="FU97" t="s">
        <v>38</v>
      </c>
      <c r="FX97">
        <v>81</v>
      </c>
      <c r="FY97">
        <v>72.25</v>
      </c>
      <c r="GD97">
        <v>1</v>
      </c>
      <c r="GF97">
        <v>-1045658283</v>
      </c>
      <c r="GG97">
        <v>2</v>
      </c>
      <c r="GH97">
        <v>0</v>
      </c>
      <c r="GI97">
        <v>-2</v>
      </c>
      <c r="GJ97">
        <v>0</v>
      </c>
      <c r="GK97">
        <v>0</v>
      </c>
      <c r="GL97">
        <f t="shared" si="101"/>
        <v>0</v>
      </c>
      <c r="GM97">
        <f t="shared" si="102"/>
        <v>291473.49</v>
      </c>
      <c r="GN97">
        <f t="shared" si="103"/>
        <v>291473.49</v>
      </c>
      <c r="GO97">
        <f t="shared" si="104"/>
        <v>0</v>
      </c>
      <c r="GP97">
        <f t="shared" si="105"/>
        <v>0</v>
      </c>
      <c r="GR97">
        <v>0</v>
      </c>
      <c r="GS97">
        <v>0</v>
      </c>
      <c r="GT97">
        <v>0</v>
      </c>
      <c r="GV97">
        <f t="shared" si="106"/>
        <v>0</v>
      </c>
      <c r="GW97">
        <v>1</v>
      </c>
      <c r="GX97">
        <f t="shared" si="107"/>
        <v>0</v>
      </c>
      <c r="HA97">
        <v>0</v>
      </c>
      <c r="HB97">
        <v>0</v>
      </c>
      <c r="HC97">
        <f t="shared" si="108"/>
        <v>0</v>
      </c>
      <c r="IK97">
        <v>0</v>
      </c>
    </row>
    <row r="98" spans="1:255" ht="12.75">
      <c r="A98" s="2">
        <v>18</v>
      </c>
      <c r="B98" s="2">
        <v>1</v>
      </c>
      <c r="C98" s="2">
        <v>95</v>
      </c>
      <c r="D98" s="2"/>
      <c r="E98" s="2" t="s">
        <v>157</v>
      </c>
      <c r="F98" s="2" t="s">
        <v>59</v>
      </c>
      <c r="G98" s="2" t="s">
        <v>158</v>
      </c>
      <c r="H98" s="2" t="s">
        <v>61</v>
      </c>
      <c r="I98" s="2">
        <f>I94*J98</f>
        <v>1</v>
      </c>
      <c r="J98" s="2">
        <v>2.857142857142857</v>
      </c>
      <c r="K98" s="2">
        <v>2.857143</v>
      </c>
      <c r="L98" s="2"/>
      <c r="M98" s="2"/>
      <c r="N98" s="2"/>
      <c r="O98" s="2">
        <f t="shared" si="74"/>
        <v>591873.49</v>
      </c>
      <c r="P98" s="2">
        <f t="shared" si="75"/>
        <v>591873.49</v>
      </c>
      <c r="Q98" s="2">
        <f t="shared" si="76"/>
        <v>0</v>
      </c>
      <c r="R98" s="2">
        <f t="shared" si="77"/>
        <v>0</v>
      </c>
      <c r="S98" s="2">
        <f t="shared" si="78"/>
        <v>0</v>
      </c>
      <c r="T98" s="2">
        <f t="shared" si="79"/>
        <v>0</v>
      </c>
      <c r="U98" s="2">
        <f t="shared" si="80"/>
        <v>0</v>
      </c>
      <c r="V98" s="2">
        <f t="shared" si="81"/>
        <v>0</v>
      </c>
      <c r="W98" s="2">
        <f t="shared" si="82"/>
        <v>0</v>
      </c>
      <c r="X98" s="2">
        <f t="shared" si="83"/>
        <v>0</v>
      </c>
      <c r="Y98" s="2">
        <f t="shared" si="84"/>
        <v>0</v>
      </c>
      <c r="Z98" s="2"/>
      <c r="AA98" s="2">
        <v>50947576</v>
      </c>
      <c r="AB98" s="2">
        <f t="shared" si="85"/>
        <v>591873.49</v>
      </c>
      <c r="AC98" s="2">
        <f t="shared" si="111"/>
        <v>591873.49</v>
      </c>
      <c r="AD98" s="2">
        <f t="shared" si="112"/>
        <v>0</v>
      </c>
      <c r="AE98" s="2">
        <f t="shared" si="113"/>
        <v>0</v>
      </c>
      <c r="AF98" s="2">
        <f t="shared" si="114"/>
        <v>0</v>
      </c>
      <c r="AG98" s="2">
        <f t="shared" si="87"/>
        <v>0</v>
      </c>
      <c r="AH98" s="2">
        <f t="shared" si="115"/>
        <v>0</v>
      </c>
      <c r="AI98" s="2">
        <f t="shared" si="116"/>
        <v>0</v>
      </c>
      <c r="AJ98" s="2">
        <f t="shared" si="88"/>
        <v>0</v>
      </c>
      <c r="AK98" s="2">
        <v>591873.49</v>
      </c>
      <c r="AL98" s="2">
        <v>591873.49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81</v>
      </c>
      <c r="AU98" s="2">
        <v>72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3</v>
      </c>
      <c r="BE98" s="2" t="s">
        <v>3</v>
      </c>
      <c r="BF98" s="2" t="s">
        <v>3</v>
      </c>
      <c r="BG98" s="2" t="s">
        <v>3</v>
      </c>
      <c r="BH98" s="2">
        <v>3</v>
      </c>
      <c r="BI98" s="2">
        <v>1</v>
      </c>
      <c r="BJ98" s="2" t="s">
        <v>3</v>
      </c>
      <c r="BK98" s="2"/>
      <c r="BL98" s="2"/>
      <c r="BM98" s="2">
        <v>9001</v>
      </c>
      <c r="BN98" s="2">
        <v>0</v>
      </c>
      <c r="BO98" s="2" t="s">
        <v>3</v>
      </c>
      <c r="BP98" s="2">
        <v>0</v>
      </c>
      <c r="BQ98" s="2">
        <v>23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3</v>
      </c>
      <c r="BZ98" s="2">
        <v>90</v>
      </c>
      <c r="CA98" s="2">
        <v>85</v>
      </c>
      <c r="CB98" s="2" t="s">
        <v>3</v>
      </c>
      <c r="CC98" s="2"/>
      <c r="CD98" s="2"/>
      <c r="CE98" s="2">
        <v>0</v>
      </c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3</v>
      </c>
      <c r="CO98" s="2">
        <v>0</v>
      </c>
      <c r="CP98" s="2">
        <f t="shared" si="89"/>
        <v>591873.49</v>
      </c>
      <c r="CQ98" s="2">
        <f t="shared" si="90"/>
        <v>591873.49</v>
      </c>
      <c r="CR98" s="2">
        <f t="shared" si="91"/>
        <v>0</v>
      </c>
      <c r="CS98" s="2">
        <f t="shared" si="92"/>
        <v>0</v>
      </c>
      <c r="CT98" s="2">
        <f t="shared" si="93"/>
        <v>0</v>
      </c>
      <c r="CU98" s="2">
        <f t="shared" si="94"/>
        <v>0</v>
      </c>
      <c r="CV98" s="2">
        <f t="shared" si="95"/>
        <v>0</v>
      </c>
      <c r="CW98" s="2">
        <f t="shared" si="96"/>
        <v>0</v>
      </c>
      <c r="CX98" s="2">
        <f t="shared" si="97"/>
        <v>0</v>
      </c>
      <c r="CY98" s="2">
        <f t="shared" si="98"/>
        <v>0</v>
      </c>
      <c r="CZ98" s="2">
        <f t="shared" si="99"/>
        <v>0</v>
      </c>
      <c r="DA98" s="2"/>
      <c r="DB98" s="2"/>
      <c r="DC98" s="2" t="s">
        <v>3</v>
      </c>
      <c r="DD98" s="2" t="s">
        <v>3</v>
      </c>
      <c r="DE98" s="2" t="s">
        <v>3</v>
      </c>
      <c r="DF98" s="2" t="s">
        <v>3</v>
      </c>
      <c r="DG98" s="2" t="s">
        <v>3</v>
      </c>
      <c r="DH98" s="2" t="s">
        <v>3</v>
      </c>
      <c r="DI98" s="2" t="s">
        <v>3</v>
      </c>
      <c r="DJ98" s="2" t="s">
        <v>3</v>
      </c>
      <c r="DK98" s="2" t="s">
        <v>3</v>
      </c>
      <c r="DL98" s="2" t="s">
        <v>3</v>
      </c>
      <c r="DM98" s="2" t="s">
        <v>3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1013</v>
      </c>
      <c r="DV98" s="2" t="s">
        <v>61</v>
      </c>
      <c r="DW98" s="2" t="s">
        <v>61</v>
      </c>
      <c r="DX98" s="2">
        <v>1</v>
      </c>
      <c r="DY98" s="2"/>
      <c r="DZ98" s="2" t="s">
        <v>3</v>
      </c>
      <c r="EA98" s="2" t="s">
        <v>3</v>
      </c>
      <c r="EB98" s="2" t="s">
        <v>3</v>
      </c>
      <c r="EC98" s="2" t="s">
        <v>3</v>
      </c>
      <c r="ED98" s="2"/>
      <c r="EE98" s="2">
        <v>49315466</v>
      </c>
      <c r="EF98" s="2">
        <v>23</v>
      </c>
      <c r="EG98" s="2" t="s">
        <v>55</v>
      </c>
      <c r="EH98" s="2">
        <v>0</v>
      </c>
      <c r="EI98" s="2" t="s">
        <v>3</v>
      </c>
      <c r="EJ98" s="2">
        <v>1</v>
      </c>
      <c r="EK98" s="2">
        <v>9001</v>
      </c>
      <c r="EL98" s="2" t="s">
        <v>56</v>
      </c>
      <c r="EM98" s="2" t="s">
        <v>57</v>
      </c>
      <c r="EN98" s="2"/>
      <c r="EO98" s="2" t="s">
        <v>3</v>
      </c>
      <c r="EP98" s="2"/>
      <c r="EQ98" s="2">
        <v>0</v>
      </c>
      <c r="ER98" s="2">
        <v>0</v>
      </c>
      <c r="ES98" s="2">
        <v>591873.49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00"/>
        <v>0</v>
      </c>
      <c r="FS98" s="2">
        <v>0</v>
      </c>
      <c r="FT98" s="2" t="s">
        <v>37</v>
      </c>
      <c r="FU98" s="2" t="s">
        <v>38</v>
      </c>
      <c r="FV98" s="2"/>
      <c r="FW98" s="2"/>
      <c r="FX98" s="2">
        <v>81</v>
      </c>
      <c r="FY98" s="2">
        <v>72.25</v>
      </c>
      <c r="FZ98" s="2"/>
      <c r="GA98" s="2" t="s">
        <v>62</v>
      </c>
      <c r="GB98" s="2"/>
      <c r="GC98" s="2"/>
      <c r="GD98" s="2">
        <v>1</v>
      </c>
      <c r="GE98" s="2"/>
      <c r="GF98" s="2">
        <v>1874146856</v>
      </c>
      <c r="GG98" s="2">
        <v>2</v>
      </c>
      <c r="GH98" s="2">
        <v>2</v>
      </c>
      <c r="GI98" s="2">
        <v>-2</v>
      </c>
      <c r="GJ98" s="2">
        <v>0</v>
      </c>
      <c r="GK98" s="2">
        <v>0</v>
      </c>
      <c r="GL98" s="2">
        <f t="shared" si="101"/>
        <v>0</v>
      </c>
      <c r="GM98" s="2">
        <f t="shared" si="102"/>
        <v>591873.49</v>
      </c>
      <c r="GN98" s="2">
        <f t="shared" si="103"/>
        <v>591873.49</v>
      </c>
      <c r="GO98" s="2">
        <f t="shared" si="104"/>
        <v>0</v>
      </c>
      <c r="GP98" s="2">
        <f t="shared" si="105"/>
        <v>0</v>
      </c>
      <c r="GQ98" s="2"/>
      <c r="GR98" s="2">
        <v>0</v>
      </c>
      <c r="GS98" s="2">
        <v>4</v>
      </c>
      <c r="GT98" s="2">
        <v>0</v>
      </c>
      <c r="GU98" s="2" t="s">
        <v>3</v>
      </c>
      <c r="GV98" s="2">
        <f t="shared" si="106"/>
        <v>0</v>
      </c>
      <c r="GW98" s="2">
        <v>1</v>
      </c>
      <c r="GX98" s="2">
        <f t="shared" si="107"/>
        <v>0</v>
      </c>
      <c r="GY98" s="2"/>
      <c r="GZ98" s="2"/>
      <c r="HA98" s="2">
        <v>0</v>
      </c>
      <c r="HB98" s="2">
        <v>0</v>
      </c>
      <c r="HC98" s="2">
        <f t="shared" si="108"/>
        <v>0</v>
      </c>
      <c r="HD98" s="2"/>
      <c r="HE98" s="2" t="s">
        <v>3</v>
      </c>
      <c r="HF98" s="2" t="s">
        <v>3</v>
      </c>
      <c r="HG98" s="2"/>
      <c r="HH98" s="2"/>
      <c r="HI98" s="2"/>
      <c r="HJ98" s="2"/>
      <c r="HK98" s="2"/>
      <c r="HL98" s="2"/>
      <c r="HM98" s="2" t="s">
        <v>3</v>
      </c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45" ht="12.75">
      <c r="A99">
        <v>18</v>
      </c>
      <c r="B99">
        <v>1</v>
      </c>
      <c r="C99">
        <v>107</v>
      </c>
      <c r="E99" t="s">
        <v>157</v>
      </c>
      <c r="F99" t="s">
        <v>59</v>
      </c>
      <c r="G99" t="s">
        <v>158</v>
      </c>
      <c r="H99" t="s">
        <v>61</v>
      </c>
      <c r="I99">
        <f>I95*J99</f>
        <v>1</v>
      </c>
      <c r="J99">
        <v>2.857142857142857</v>
      </c>
      <c r="K99">
        <v>2.857143</v>
      </c>
      <c r="O99">
        <f t="shared" si="74"/>
        <v>591873.49</v>
      </c>
      <c r="P99">
        <f t="shared" si="75"/>
        <v>591873.49</v>
      </c>
      <c r="Q99">
        <f t="shared" si="76"/>
        <v>0</v>
      </c>
      <c r="R99">
        <f t="shared" si="77"/>
        <v>0</v>
      </c>
      <c r="S99">
        <f t="shared" si="78"/>
        <v>0</v>
      </c>
      <c r="T99">
        <f t="shared" si="79"/>
        <v>0</v>
      </c>
      <c r="U99">
        <f t="shared" si="80"/>
        <v>0</v>
      </c>
      <c r="V99">
        <f t="shared" si="81"/>
        <v>0</v>
      </c>
      <c r="W99">
        <f t="shared" si="82"/>
        <v>0</v>
      </c>
      <c r="X99">
        <f t="shared" si="83"/>
        <v>0</v>
      </c>
      <c r="Y99">
        <f t="shared" si="84"/>
        <v>0</v>
      </c>
      <c r="AA99">
        <v>50961513</v>
      </c>
      <c r="AB99">
        <f t="shared" si="85"/>
        <v>591873.49</v>
      </c>
      <c r="AC99">
        <f t="shared" si="111"/>
        <v>591873.49</v>
      </c>
      <c r="AD99">
        <f t="shared" si="112"/>
        <v>0</v>
      </c>
      <c r="AE99">
        <f t="shared" si="113"/>
        <v>0</v>
      </c>
      <c r="AF99">
        <f t="shared" si="114"/>
        <v>0</v>
      </c>
      <c r="AG99">
        <f t="shared" si="87"/>
        <v>0</v>
      </c>
      <c r="AH99">
        <f t="shared" si="115"/>
        <v>0</v>
      </c>
      <c r="AI99">
        <f t="shared" si="116"/>
        <v>0</v>
      </c>
      <c r="AJ99">
        <f t="shared" si="88"/>
        <v>0</v>
      </c>
      <c r="AK99">
        <v>591873.49</v>
      </c>
      <c r="AL99">
        <v>591873.49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81</v>
      </c>
      <c r="AU99">
        <v>72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1</v>
      </c>
      <c r="BH99">
        <v>3</v>
      </c>
      <c r="BI99">
        <v>1</v>
      </c>
      <c r="BM99">
        <v>9001</v>
      </c>
      <c r="BN99">
        <v>0</v>
      </c>
      <c r="BP99">
        <v>0</v>
      </c>
      <c r="BQ99">
        <v>23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90</v>
      </c>
      <c r="CA99">
        <v>85</v>
      </c>
      <c r="CE99">
        <v>0</v>
      </c>
      <c r="CF99">
        <v>0</v>
      </c>
      <c r="CG99">
        <v>0</v>
      </c>
      <c r="CM99">
        <v>0</v>
      </c>
      <c r="CO99">
        <v>0</v>
      </c>
      <c r="CP99">
        <f t="shared" si="89"/>
        <v>591873.49</v>
      </c>
      <c r="CQ99">
        <f t="shared" si="90"/>
        <v>591873.49</v>
      </c>
      <c r="CR99">
        <f t="shared" si="91"/>
        <v>0</v>
      </c>
      <c r="CS99">
        <f t="shared" si="92"/>
        <v>0</v>
      </c>
      <c r="CT99">
        <f t="shared" si="93"/>
        <v>0</v>
      </c>
      <c r="CU99">
        <f t="shared" si="94"/>
        <v>0</v>
      </c>
      <c r="CV99">
        <f t="shared" si="95"/>
        <v>0</v>
      </c>
      <c r="CW99">
        <f t="shared" si="96"/>
        <v>0</v>
      </c>
      <c r="CX99">
        <f t="shared" si="97"/>
        <v>0</v>
      </c>
      <c r="CY99">
        <f t="shared" si="98"/>
        <v>0</v>
      </c>
      <c r="CZ99">
        <f t="shared" si="99"/>
        <v>0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61</v>
      </c>
      <c r="DW99" t="s">
        <v>61</v>
      </c>
      <c r="DX99">
        <v>1</v>
      </c>
      <c r="EE99">
        <v>49315466</v>
      </c>
      <c r="EF99">
        <v>23</v>
      </c>
      <c r="EG99" t="s">
        <v>55</v>
      </c>
      <c r="EH99">
        <v>0</v>
      </c>
      <c r="EJ99">
        <v>1</v>
      </c>
      <c r="EK99">
        <v>9001</v>
      </c>
      <c r="EL99" t="s">
        <v>56</v>
      </c>
      <c r="EM99" t="s">
        <v>57</v>
      </c>
      <c r="EQ99">
        <v>0</v>
      </c>
      <c r="ER99">
        <v>0</v>
      </c>
      <c r="ES99">
        <v>591873.49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00"/>
        <v>0</v>
      </c>
      <c r="FS99">
        <v>0</v>
      </c>
      <c r="FT99" t="s">
        <v>37</v>
      </c>
      <c r="FU99" t="s">
        <v>38</v>
      </c>
      <c r="FX99">
        <v>81</v>
      </c>
      <c r="FY99">
        <v>72.25</v>
      </c>
      <c r="GD99">
        <v>1</v>
      </c>
      <c r="GF99">
        <v>1874146856</v>
      </c>
      <c r="GG99">
        <v>2</v>
      </c>
      <c r="GH99">
        <v>0</v>
      </c>
      <c r="GI99">
        <v>-2</v>
      </c>
      <c r="GJ99">
        <v>0</v>
      </c>
      <c r="GK99">
        <v>0</v>
      </c>
      <c r="GL99">
        <f t="shared" si="101"/>
        <v>0</v>
      </c>
      <c r="GM99">
        <f t="shared" si="102"/>
        <v>591873.49</v>
      </c>
      <c r="GN99">
        <f t="shared" si="103"/>
        <v>591873.49</v>
      </c>
      <c r="GO99">
        <f t="shared" si="104"/>
        <v>0</v>
      </c>
      <c r="GP99">
        <f t="shared" si="105"/>
        <v>0</v>
      </c>
      <c r="GR99">
        <v>0</v>
      </c>
      <c r="GS99">
        <v>0</v>
      </c>
      <c r="GT99">
        <v>0</v>
      </c>
      <c r="GV99">
        <f t="shared" si="106"/>
        <v>0</v>
      </c>
      <c r="GW99">
        <v>1</v>
      </c>
      <c r="GX99">
        <f t="shared" si="107"/>
        <v>0</v>
      </c>
      <c r="HA99">
        <v>0</v>
      </c>
      <c r="HB99">
        <v>0</v>
      </c>
      <c r="HC99">
        <f t="shared" si="108"/>
        <v>0</v>
      </c>
      <c r="IK99">
        <v>0</v>
      </c>
    </row>
    <row r="100" spans="1:255" ht="12.75">
      <c r="A100" s="2">
        <v>18</v>
      </c>
      <c r="B100" s="2">
        <v>1</v>
      </c>
      <c r="C100" s="2">
        <v>96</v>
      </c>
      <c r="D100" s="2"/>
      <c r="E100" s="2" t="s">
        <v>159</v>
      </c>
      <c r="F100" s="2" t="s">
        <v>59</v>
      </c>
      <c r="G100" s="2" t="s">
        <v>160</v>
      </c>
      <c r="H100" s="2" t="s">
        <v>61</v>
      </c>
      <c r="I100" s="2">
        <f>I94*J100</f>
        <v>1</v>
      </c>
      <c r="J100" s="2">
        <v>2.857142857142857</v>
      </c>
      <c r="K100" s="2">
        <v>2.857143</v>
      </c>
      <c r="L100" s="2"/>
      <c r="M100" s="2"/>
      <c r="N100" s="2"/>
      <c r="O100" s="2">
        <f t="shared" si="74"/>
        <v>191854.09</v>
      </c>
      <c r="P100" s="2">
        <f t="shared" si="75"/>
        <v>191854.09</v>
      </c>
      <c r="Q100" s="2">
        <f t="shared" si="76"/>
        <v>0</v>
      </c>
      <c r="R100" s="2">
        <f t="shared" si="77"/>
        <v>0</v>
      </c>
      <c r="S100" s="2">
        <f t="shared" si="78"/>
        <v>0</v>
      </c>
      <c r="T100" s="2">
        <f t="shared" si="79"/>
        <v>0</v>
      </c>
      <c r="U100" s="2">
        <f t="shared" si="80"/>
        <v>0</v>
      </c>
      <c r="V100" s="2">
        <f t="shared" si="81"/>
        <v>0</v>
      </c>
      <c r="W100" s="2">
        <f t="shared" si="82"/>
        <v>0</v>
      </c>
      <c r="X100" s="2">
        <f t="shared" si="83"/>
        <v>0</v>
      </c>
      <c r="Y100" s="2">
        <f t="shared" si="84"/>
        <v>0</v>
      </c>
      <c r="Z100" s="2"/>
      <c r="AA100" s="2">
        <v>50947576</v>
      </c>
      <c r="AB100" s="2">
        <f t="shared" si="85"/>
        <v>191854.09</v>
      </c>
      <c r="AC100" s="2">
        <f t="shared" si="111"/>
        <v>191854.09</v>
      </c>
      <c r="AD100" s="2">
        <f t="shared" si="112"/>
        <v>0</v>
      </c>
      <c r="AE100" s="2">
        <f t="shared" si="113"/>
        <v>0</v>
      </c>
      <c r="AF100" s="2">
        <f t="shared" si="114"/>
        <v>0</v>
      </c>
      <c r="AG100" s="2">
        <f t="shared" si="87"/>
        <v>0</v>
      </c>
      <c r="AH100" s="2">
        <f t="shared" si="115"/>
        <v>0</v>
      </c>
      <c r="AI100" s="2">
        <f t="shared" si="116"/>
        <v>0</v>
      </c>
      <c r="AJ100" s="2">
        <f t="shared" si="88"/>
        <v>0</v>
      </c>
      <c r="AK100" s="2">
        <v>191854.09</v>
      </c>
      <c r="AL100" s="2">
        <v>191854.09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81</v>
      </c>
      <c r="AU100" s="2">
        <v>72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3</v>
      </c>
      <c r="BE100" s="2" t="s">
        <v>3</v>
      </c>
      <c r="BF100" s="2" t="s">
        <v>3</v>
      </c>
      <c r="BG100" s="2" t="s">
        <v>3</v>
      </c>
      <c r="BH100" s="2">
        <v>3</v>
      </c>
      <c r="BI100" s="2">
        <v>1</v>
      </c>
      <c r="BJ100" s="2" t="s">
        <v>3</v>
      </c>
      <c r="BK100" s="2"/>
      <c r="BL100" s="2"/>
      <c r="BM100" s="2">
        <v>9001</v>
      </c>
      <c r="BN100" s="2">
        <v>0</v>
      </c>
      <c r="BO100" s="2" t="s">
        <v>3</v>
      </c>
      <c r="BP100" s="2">
        <v>0</v>
      </c>
      <c r="BQ100" s="2">
        <v>23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3</v>
      </c>
      <c r="BZ100" s="2">
        <v>90</v>
      </c>
      <c r="CA100" s="2">
        <v>85</v>
      </c>
      <c r="CB100" s="2" t="s">
        <v>3</v>
      </c>
      <c r="CC100" s="2"/>
      <c r="CD100" s="2"/>
      <c r="CE100" s="2">
        <v>0</v>
      </c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3</v>
      </c>
      <c r="CO100" s="2">
        <v>0</v>
      </c>
      <c r="CP100" s="2">
        <f t="shared" si="89"/>
        <v>191854.09</v>
      </c>
      <c r="CQ100" s="2">
        <f t="shared" si="90"/>
        <v>191854.09</v>
      </c>
      <c r="CR100" s="2">
        <f t="shared" si="91"/>
        <v>0</v>
      </c>
      <c r="CS100" s="2">
        <f t="shared" si="92"/>
        <v>0</v>
      </c>
      <c r="CT100" s="2">
        <f t="shared" si="93"/>
        <v>0</v>
      </c>
      <c r="CU100" s="2">
        <f t="shared" si="94"/>
        <v>0</v>
      </c>
      <c r="CV100" s="2">
        <f t="shared" si="95"/>
        <v>0</v>
      </c>
      <c r="CW100" s="2">
        <f t="shared" si="96"/>
        <v>0</v>
      </c>
      <c r="CX100" s="2">
        <f t="shared" si="97"/>
        <v>0</v>
      </c>
      <c r="CY100" s="2">
        <f t="shared" si="98"/>
        <v>0</v>
      </c>
      <c r="CZ100" s="2">
        <f t="shared" si="99"/>
        <v>0</v>
      </c>
      <c r="DA100" s="2"/>
      <c r="DB100" s="2"/>
      <c r="DC100" s="2" t="s">
        <v>3</v>
      </c>
      <c r="DD100" s="2" t="s">
        <v>3</v>
      </c>
      <c r="DE100" s="2" t="s">
        <v>3</v>
      </c>
      <c r="DF100" s="2" t="s">
        <v>3</v>
      </c>
      <c r="DG100" s="2" t="s">
        <v>3</v>
      </c>
      <c r="DH100" s="2" t="s">
        <v>3</v>
      </c>
      <c r="DI100" s="2" t="s">
        <v>3</v>
      </c>
      <c r="DJ100" s="2" t="s">
        <v>3</v>
      </c>
      <c r="DK100" s="2" t="s">
        <v>3</v>
      </c>
      <c r="DL100" s="2" t="s">
        <v>3</v>
      </c>
      <c r="DM100" s="2" t="s">
        <v>3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61</v>
      </c>
      <c r="DW100" s="2" t="s">
        <v>61</v>
      </c>
      <c r="DX100" s="2">
        <v>1</v>
      </c>
      <c r="DY100" s="2"/>
      <c r="DZ100" s="2" t="s">
        <v>3</v>
      </c>
      <c r="EA100" s="2" t="s">
        <v>3</v>
      </c>
      <c r="EB100" s="2" t="s">
        <v>3</v>
      </c>
      <c r="EC100" s="2" t="s">
        <v>3</v>
      </c>
      <c r="ED100" s="2"/>
      <c r="EE100" s="2">
        <v>49315466</v>
      </c>
      <c r="EF100" s="2">
        <v>23</v>
      </c>
      <c r="EG100" s="2" t="s">
        <v>55</v>
      </c>
      <c r="EH100" s="2">
        <v>0</v>
      </c>
      <c r="EI100" s="2" t="s">
        <v>3</v>
      </c>
      <c r="EJ100" s="2">
        <v>1</v>
      </c>
      <c r="EK100" s="2">
        <v>9001</v>
      </c>
      <c r="EL100" s="2" t="s">
        <v>56</v>
      </c>
      <c r="EM100" s="2" t="s">
        <v>57</v>
      </c>
      <c r="EN100" s="2"/>
      <c r="EO100" s="2" t="s">
        <v>3</v>
      </c>
      <c r="EP100" s="2"/>
      <c r="EQ100" s="2">
        <v>0</v>
      </c>
      <c r="ER100" s="2">
        <v>0</v>
      </c>
      <c r="ES100" s="2">
        <v>191854.09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00"/>
        <v>0</v>
      </c>
      <c r="FS100" s="2">
        <v>0</v>
      </c>
      <c r="FT100" s="2" t="s">
        <v>37</v>
      </c>
      <c r="FU100" s="2" t="s">
        <v>38</v>
      </c>
      <c r="FV100" s="2"/>
      <c r="FW100" s="2"/>
      <c r="FX100" s="2">
        <v>81</v>
      </c>
      <c r="FY100" s="2">
        <v>72.25</v>
      </c>
      <c r="FZ100" s="2"/>
      <c r="GA100" s="2" t="s">
        <v>62</v>
      </c>
      <c r="GB100" s="2"/>
      <c r="GC100" s="2"/>
      <c r="GD100" s="2">
        <v>1</v>
      </c>
      <c r="GE100" s="2"/>
      <c r="GF100" s="2">
        <v>-1222242704</v>
      </c>
      <c r="GG100" s="2">
        <v>2</v>
      </c>
      <c r="GH100" s="2">
        <v>2</v>
      </c>
      <c r="GI100" s="2">
        <v>-2</v>
      </c>
      <c r="GJ100" s="2">
        <v>0</v>
      </c>
      <c r="GK100" s="2">
        <v>0</v>
      </c>
      <c r="GL100" s="2">
        <f t="shared" si="101"/>
        <v>0</v>
      </c>
      <c r="GM100" s="2">
        <f t="shared" si="102"/>
        <v>191854.09</v>
      </c>
      <c r="GN100" s="2">
        <f t="shared" si="103"/>
        <v>191854.09</v>
      </c>
      <c r="GO100" s="2">
        <f t="shared" si="104"/>
        <v>0</v>
      </c>
      <c r="GP100" s="2">
        <f t="shared" si="105"/>
        <v>0</v>
      </c>
      <c r="GQ100" s="2"/>
      <c r="GR100" s="2">
        <v>0</v>
      </c>
      <c r="GS100" s="2">
        <v>4</v>
      </c>
      <c r="GT100" s="2">
        <v>0</v>
      </c>
      <c r="GU100" s="2" t="s">
        <v>3</v>
      </c>
      <c r="GV100" s="2">
        <f t="shared" si="106"/>
        <v>0</v>
      </c>
      <c r="GW100" s="2">
        <v>1</v>
      </c>
      <c r="GX100" s="2">
        <f t="shared" si="107"/>
        <v>0</v>
      </c>
      <c r="GY100" s="2"/>
      <c r="GZ100" s="2"/>
      <c r="HA100" s="2">
        <v>0</v>
      </c>
      <c r="HB100" s="2">
        <v>0</v>
      </c>
      <c r="HC100" s="2">
        <f t="shared" si="108"/>
        <v>0</v>
      </c>
      <c r="HD100" s="2"/>
      <c r="HE100" s="2" t="s">
        <v>3</v>
      </c>
      <c r="HF100" s="2" t="s">
        <v>3</v>
      </c>
      <c r="HG100" s="2"/>
      <c r="HH100" s="2"/>
      <c r="HI100" s="2"/>
      <c r="HJ100" s="2"/>
      <c r="HK100" s="2"/>
      <c r="HL100" s="2"/>
      <c r="HM100" s="2" t="s">
        <v>3</v>
      </c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45" ht="12.75">
      <c r="A101">
        <v>18</v>
      </c>
      <c r="B101">
        <v>1</v>
      </c>
      <c r="C101">
        <v>108</v>
      </c>
      <c r="E101" t="s">
        <v>159</v>
      </c>
      <c r="F101" t="s">
        <v>59</v>
      </c>
      <c r="G101" t="s">
        <v>160</v>
      </c>
      <c r="H101" t="s">
        <v>61</v>
      </c>
      <c r="I101">
        <f>I95*J101</f>
        <v>1</v>
      </c>
      <c r="J101">
        <v>2.857142857142857</v>
      </c>
      <c r="K101">
        <v>2.857143</v>
      </c>
      <c r="O101">
        <f t="shared" si="74"/>
        <v>191854.09</v>
      </c>
      <c r="P101">
        <f t="shared" si="75"/>
        <v>191854.09</v>
      </c>
      <c r="Q101">
        <f t="shared" si="76"/>
        <v>0</v>
      </c>
      <c r="R101">
        <f t="shared" si="77"/>
        <v>0</v>
      </c>
      <c r="S101">
        <f t="shared" si="78"/>
        <v>0</v>
      </c>
      <c r="T101">
        <f t="shared" si="79"/>
        <v>0</v>
      </c>
      <c r="U101">
        <f t="shared" si="80"/>
        <v>0</v>
      </c>
      <c r="V101">
        <f t="shared" si="81"/>
        <v>0</v>
      </c>
      <c r="W101">
        <f t="shared" si="82"/>
        <v>0</v>
      </c>
      <c r="X101">
        <f t="shared" si="83"/>
        <v>0</v>
      </c>
      <c r="Y101">
        <f t="shared" si="84"/>
        <v>0</v>
      </c>
      <c r="AA101">
        <v>50961513</v>
      </c>
      <c r="AB101">
        <f t="shared" si="85"/>
        <v>191854.09</v>
      </c>
      <c r="AC101">
        <f t="shared" si="111"/>
        <v>191854.09</v>
      </c>
      <c r="AD101">
        <f t="shared" si="112"/>
        <v>0</v>
      </c>
      <c r="AE101">
        <f t="shared" si="113"/>
        <v>0</v>
      </c>
      <c r="AF101">
        <f t="shared" si="114"/>
        <v>0</v>
      </c>
      <c r="AG101">
        <f t="shared" si="87"/>
        <v>0</v>
      </c>
      <c r="AH101">
        <f t="shared" si="115"/>
        <v>0</v>
      </c>
      <c r="AI101">
        <f t="shared" si="116"/>
        <v>0</v>
      </c>
      <c r="AJ101">
        <f t="shared" si="88"/>
        <v>0</v>
      </c>
      <c r="AK101">
        <v>191854.09</v>
      </c>
      <c r="AL101">
        <v>191854.09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81</v>
      </c>
      <c r="AU101">
        <v>72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1</v>
      </c>
      <c r="BH101">
        <v>3</v>
      </c>
      <c r="BI101">
        <v>1</v>
      </c>
      <c r="BM101">
        <v>9001</v>
      </c>
      <c r="BN101">
        <v>0</v>
      </c>
      <c r="BP101">
        <v>0</v>
      </c>
      <c r="BQ101">
        <v>23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90</v>
      </c>
      <c r="CA101">
        <v>85</v>
      </c>
      <c r="CE101">
        <v>0</v>
      </c>
      <c r="CF101">
        <v>0</v>
      </c>
      <c r="CG101">
        <v>0</v>
      </c>
      <c r="CM101">
        <v>0</v>
      </c>
      <c r="CO101">
        <v>0</v>
      </c>
      <c r="CP101">
        <f t="shared" si="89"/>
        <v>191854.09</v>
      </c>
      <c r="CQ101">
        <f t="shared" si="90"/>
        <v>191854.09</v>
      </c>
      <c r="CR101">
        <f t="shared" si="91"/>
        <v>0</v>
      </c>
      <c r="CS101">
        <f t="shared" si="92"/>
        <v>0</v>
      </c>
      <c r="CT101">
        <f t="shared" si="93"/>
        <v>0</v>
      </c>
      <c r="CU101">
        <f t="shared" si="94"/>
        <v>0</v>
      </c>
      <c r="CV101">
        <f t="shared" si="95"/>
        <v>0</v>
      </c>
      <c r="CW101">
        <f t="shared" si="96"/>
        <v>0</v>
      </c>
      <c r="CX101">
        <f t="shared" si="97"/>
        <v>0</v>
      </c>
      <c r="CY101">
        <f t="shared" si="98"/>
        <v>0</v>
      </c>
      <c r="CZ101">
        <f t="shared" si="99"/>
        <v>0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61</v>
      </c>
      <c r="DW101" t="s">
        <v>61</v>
      </c>
      <c r="DX101">
        <v>1</v>
      </c>
      <c r="EE101">
        <v>49315466</v>
      </c>
      <c r="EF101">
        <v>23</v>
      </c>
      <c r="EG101" t="s">
        <v>55</v>
      </c>
      <c r="EH101">
        <v>0</v>
      </c>
      <c r="EJ101">
        <v>1</v>
      </c>
      <c r="EK101">
        <v>9001</v>
      </c>
      <c r="EL101" t="s">
        <v>56</v>
      </c>
      <c r="EM101" t="s">
        <v>57</v>
      </c>
      <c r="EQ101">
        <v>0</v>
      </c>
      <c r="ER101">
        <v>0</v>
      </c>
      <c r="ES101">
        <v>191854.09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 t="shared" si="100"/>
        <v>0</v>
      </c>
      <c r="FS101">
        <v>0</v>
      </c>
      <c r="FT101" t="s">
        <v>37</v>
      </c>
      <c r="FU101" t="s">
        <v>38</v>
      </c>
      <c r="FX101">
        <v>81</v>
      </c>
      <c r="FY101">
        <v>72.25</v>
      </c>
      <c r="GD101">
        <v>1</v>
      </c>
      <c r="GF101">
        <v>-1222242704</v>
      </c>
      <c r="GG101">
        <v>2</v>
      </c>
      <c r="GH101">
        <v>0</v>
      </c>
      <c r="GI101">
        <v>-2</v>
      </c>
      <c r="GJ101">
        <v>0</v>
      </c>
      <c r="GK101">
        <v>0</v>
      </c>
      <c r="GL101">
        <f t="shared" si="101"/>
        <v>0</v>
      </c>
      <c r="GM101">
        <f t="shared" si="102"/>
        <v>191854.09</v>
      </c>
      <c r="GN101">
        <f t="shared" si="103"/>
        <v>191854.09</v>
      </c>
      <c r="GO101">
        <f t="shared" si="104"/>
        <v>0</v>
      </c>
      <c r="GP101">
        <f t="shared" si="105"/>
        <v>0</v>
      </c>
      <c r="GR101">
        <v>0</v>
      </c>
      <c r="GS101">
        <v>0</v>
      </c>
      <c r="GT101">
        <v>0</v>
      </c>
      <c r="GV101">
        <f t="shared" si="106"/>
        <v>0</v>
      </c>
      <c r="GW101">
        <v>1</v>
      </c>
      <c r="GX101">
        <f t="shared" si="107"/>
        <v>0</v>
      </c>
      <c r="HA101">
        <v>0</v>
      </c>
      <c r="HB101">
        <v>0</v>
      </c>
      <c r="HC101">
        <f t="shared" si="108"/>
        <v>0</v>
      </c>
      <c r="IK101">
        <v>0</v>
      </c>
    </row>
    <row r="102" spans="1:255" ht="12.75">
      <c r="A102" s="2">
        <v>18</v>
      </c>
      <c r="B102" s="2">
        <v>1</v>
      </c>
      <c r="C102" s="2">
        <v>91</v>
      </c>
      <c r="D102" s="2"/>
      <c r="E102" s="2" t="s">
        <v>161</v>
      </c>
      <c r="F102" s="2" t="s">
        <v>78</v>
      </c>
      <c r="G102" s="2" t="s">
        <v>79</v>
      </c>
      <c r="H102" s="2" t="s">
        <v>50</v>
      </c>
      <c r="I102" s="2">
        <f>I94*J102</f>
        <v>-0.006999999999999999</v>
      </c>
      <c r="J102" s="2">
        <v>-0.02</v>
      </c>
      <c r="K102" s="2">
        <v>-0.02</v>
      </c>
      <c r="L102" s="2"/>
      <c r="M102" s="2"/>
      <c r="N102" s="2"/>
      <c r="O102" s="2">
        <f t="shared" si="74"/>
        <v>-53.98</v>
      </c>
      <c r="P102" s="2">
        <f t="shared" si="75"/>
        <v>-53.98</v>
      </c>
      <c r="Q102" s="2">
        <f t="shared" si="76"/>
        <v>0</v>
      </c>
      <c r="R102" s="2">
        <f t="shared" si="77"/>
        <v>0</v>
      </c>
      <c r="S102" s="2">
        <f t="shared" si="78"/>
        <v>0</v>
      </c>
      <c r="T102" s="2">
        <f t="shared" si="79"/>
        <v>0</v>
      </c>
      <c r="U102" s="2">
        <f t="shared" si="80"/>
        <v>0</v>
      </c>
      <c r="V102" s="2">
        <f t="shared" si="81"/>
        <v>0</v>
      </c>
      <c r="W102" s="2">
        <f t="shared" si="82"/>
        <v>0</v>
      </c>
      <c r="X102" s="2">
        <f t="shared" si="83"/>
        <v>0</v>
      </c>
      <c r="Y102" s="2">
        <f t="shared" si="84"/>
        <v>0</v>
      </c>
      <c r="Z102" s="2"/>
      <c r="AA102" s="2">
        <v>50947576</v>
      </c>
      <c r="AB102" s="2">
        <f t="shared" si="85"/>
        <v>7712</v>
      </c>
      <c r="AC102" s="2">
        <f t="shared" si="111"/>
        <v>7712</v>
      </c>
      <c r="AD102" s="2">
        <f t="shared" si="112"/>
        <v>0</v>
      </c>
      <c r="AE102" s="2">
        <f t="shared" si="113"/>
        <v>0</v>
      </c>
      <c r="AF102" s="2">
        <f t="shared" si="114"/>
        <v>0</v>
      </c>
      <c r="AG102" s="2">
        <f t="shared" si="87"/>
        <v>0</v>
      </c>
      <c r="AH102" s="2">
        <f t="shared" si="115"/>
        <v>0</v>
      </c>
      <c r="AI102" s="2">
        <f t="shared" si="116"/>
        <v>0</v>
      </c>
      <c r="AJ102" s="2">
        <f t="shared" si="88"/>
        <v>0</v>
      </c>
      <c r="AK102" s="2">
        <v>7712</v>
      </c>
      <c r="AL102" s="2">
        <v>7712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81</v>
      </c>
      <c r="AU102" s="2">
        <v>72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3</v>
      </c>
      <c r="BE102" s="2" t="s">
        <v>3</v>
      </c>
      <c r="BF102" s="2" t="s">
        <v>3</v>
      </c>
      <c r="BG102" s="2" t="s">
        <v>3</v>
      </c>
      <c r="BH102" s="2">
        <v>3</v>
      </c>
      <c r="BI102" s="2">
        <v>1</v>
      </c>
      <c r="BJ102" s="2" t="s">
        <v>80</v>
      </c>
      <c r="BK102" s="2"/>
      <c r="BL102" s="2"/>
      <c r="BM102" s="2">
        <v>9001</v>
      </c>
      <c r="BN102" s="2">
        <v>0</v>
      </c>
      <c r="BO102" s="2" t="s">
        <v>3</v>
      </c>
      <c r="BP102" s="2">
        <v>0</v>
      </c>
      <c r="BQ102" s="2">
        <v>23</v>
      </c>
      <c r="BR102" s="2">
        <v>1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3</v>
      </c>
      <c r="BZ102" s="2">
        <v>90</v>
      </c>
      <c r="CA102" s="2">
        <v>85</v>
      </c>
      <c r="CB102" s="2" t="s">
        <v>3</v>
      </c>
      <c r="CC102" s="2"/>
      <c r="CD102" s="2"/>
      <c r="CE102" s="2">
        <v>0</v>
      </c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3</v>
      </c>
      <c r="CO102" s="2">
        <v>0</v>
      </c>
      <c r="CP102" s="2">
        <f t="shared" si="89"/>
        <v>-53.98</v>
      </c>
      <c r="CQ102" s="2">
        <f t="shared" si="90"/>
        <v>7712</v>
      </c>
      <c r="CR102" s="2">
        <f t="shared" si="91"/>
        <v>0</v>
      </c>
      <c r="CS102" s="2">
        <f t="shared" si="92"/>
        <v>0</v>
      </c>
      <c r="CT102" s="2">
        <f t="shared" si="93"/>
        <v>0</v>
      </c>
      <c r="CU102" s="2">
        <f t="shared" si="94"/>
        <v>0</v>
      </c>
      <c r="CV102" s="2">
        <f t="shared" si="95"/>
        <v>0</v>
      </c>
      <c r="CW102" s="2">
        <f t="shared" si="96"/>
        <v>0</v>
      </c>
      <c r="CX102" s="2">
        <f t="shared" si="97"/>
        <v>0</v>
      </c>
      <c r="CY102" s="2">
        <f t="shared" si="98"/>
        <v>0</v>
      </c>
      <c r="CZ102" s="2">
        <f t="shared" si="99"/>
        <v>0</v>
      </c>
      <c r="DA102" s="2"/>
      <c r="DB102" s="2"/>
      <c r="DC102" s="2" t="s">
        <v>3</v>
      </c>
      <c r="DD102" s="2" t="s">
        <v>3</v>
      </c>
      <c r="DE102" s="2" t="s">
        <v>3</v>
      </c>
      <c r="DF102" s="2" t="s">
        <v>3</v>
      </c>
      <c r="DG102" s="2" t="s">
        <v>3</v>
      </c>
      <c r="DH102" s="2" t="s">
        <v>3</v>
      </c>
      <c r="DI102" s="2" t="s">
        <v>3</v>
      </c>
      <c r="DJ102" s="2" t="s">
        <v>3</v>
      </c>
      <c r="DK102" s="2" t="s">
        <v>3</v>
      </c>
      <c r="DL102" s="2" t="s">
        <v>3</v>
      </c>
      <c r="DM102" s="2" t="s">
        <v>3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1009</v>
      </c>
      <c r="DV102" s="2" t="s">
        <v>50</v>
      </c>
      <c r="DW102" s="2" t="s">
        <v>50</v>
      </c>
      <c r="DX102" s="2">
        <v>1000</v>
      </c>
      <c r="DY102" s="2"/>
      <c r="DZ102" s="2" t="s">
        <v>3</v>
      </c>
      <c r="EA102" s="2" t="s">
        <v>3</v>
      </c>
      <c r="EB102" s="2" t="s">
        <v>3</v>
      </c>
      <c r="EC102" s="2" t="s">
        <v>3</v>
      </c>
      <c r="ED102" s="2"/>
      <c r="EE102" s="2">
        <v>49315466</v>
      </c>
      <c r="EF102" s="2">
        <v>23</v>
      </c>
      <c r="EG102" s="2" t="s">
        <v>55</v>
      </c>
      <c r="EH102" s="2">
        <v>0</v>
      </c>
      <c r="EI102" s="2" t="s">
        <v>3</v>
      </c>
      <c r="EJ102" s="2">
        <v>1</v>
      </c>
      <c r="EK102" s="2">
        <v>9001</v>
      </c>
      <c r="EL102" s="2" t="s">
        <v>56</v>
      </c>
      <c r="EM102" s="2" t="s">
        <v>57</v>
      </c>
      <c r="EN102" s="2"/>
      <c r="EO102" s="2" t="s">
        <v>3</v>
      </c>
      <c r="EP102" s="2"/>
      <c r="EQ102" s="2">
        <v>0</v>
      </c>
      <c r="ER102" s="2">
        <v>7712</v>
      </c>
      <c r="ES102" s="2">
        <v>7712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00"/>
        <v>0</v>
      </c>
      <c r="FS102" s="2">
        <v>0</v>
      </c>
      <c r="FT102" s="2" t="s">
        <v>37</v>
      </c>
      <c r="FU102" s="2" t="s">
        <v>38</v>
      </c>
      <c r="FV102" s="2"/>
      <c r="FW102" s="2"/>
      <c r="FX102" s="2">
        <v>81</v>
      </c>
      <c r="FY102" s="2">
        <v>72.25</v>
      </c>
      <c r="FZ102" s="2"/>
      <c r="GA102" s="2" t="s">
        <v>3</v>
      </c>
      <c r="GB102" s="2"/>
      <c r="GC102" s="2"/>
      <c r="GD102" s="2">
        <v>1</v>
      </c>
      <c r="GE102" s="2"/>
      <c r="GF102" s="2">
        <v>1195780435</v>
      </c>
      <c r="GG102" s="2">
        <v>2</v>
      </c>
      <c r="GH102" s="2">
        <v>1</v>
      </c>
      <c r="GI102" s="2">
        <v>-2</v>
      </c>
      <c r="GJ102" s="2">
        <v>0</v>
      </c>
      <c r="GK102" s="2">
        <v>0</v>
      </c>
      <c r="GL102" s="2">
        <f t="shared" si="101"/>
        <v>0</v>
      </c>
      <c r="GM102" s="2">
        <f t="shared" si="102"/>
        <v>-53.98</v>
      </c>
      <c r="GN102" s="2">
        <f t="shared" si="103"/>
        <v>-53.98</v>
      </c>
      <c r="GO102" s="2">
        <f t="shared" si="104"/>
        <v>0</v>
      </c>
      <c r="GP102" s="2">
        <f t="shared" si="105"/>
        <v>0</v>
      </c>
      <c r="GQ102" s="2"/>
      <c r="GR102" s="2">
        <v>0</v>
      </c>
      <c r="GS102" s="2">
        <v>3</v>
      </c>
      <c r="GT102" s="2">
        <v>0</v>
      </c>
      <c r="GU102" s="2" t="s">
        <v>3</v>
      </c>
      <c r="GV102" s="2">
        <f t="shared" si="106"/>
        <v>0</v>
      </c>
      <c r="GW102" s="2">
        <v>1</v>
      </c>
      <c r="GX102" s="2">
        <f t="shared" si="107"/>
        <v>0</v>
      </c>
      <c r="GY102" s="2"/>
      <c r="GZ102" s="2"/>
      <c r="HA102" s="2">
        <v>0</v>
      </c>
      <c r="HB102" s="2">
        <v>0</v>
      </c>
      <c r="HC102" s="2">
        <f t="shared" si="108"/>
        <v>0</v>
      </c>
      <c r="HD102" s="2"/>
      <c r="HE102" s="2" t="s">
        <v>3</v>
      </c>
      <c r="HF102" s="2" t="s">
        <v>3</v>
      </c>
      <c r="HG102" s="2"/>
      <c r="HH102" s="2"/>
      <c r="HI102" s="2"/>
      <c r="HJ102" s="2"/>
      <c r="HK102" s="2"/>
      <c r="HL102" s="2"/>
      <c r="HM102" s="2" t="s">
        <v>3</v>
      </c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45" ht="12.75">
      <c r="A103">
        <v>18</v>
      </c>
      <c r="B103">
        <v>1</v>
      </c>
      <c r="C103">
        <v>103</v>
      </c>
      <c r="E103" t="s">
        <v>161</v>
      </c>
      <c r="F103" t="s">
        <v>78</v>
      </c>
      <c r="G103" t="s">
        <v>79</v>
      </c>
      <c r="H103" t="s">
        <v>50</v>
      </c>
      <c r="I103">
        <f>I95*J103</f>
        <v>-0.006999999999999999</v>
      </c>
      <c r="J103">
        <v>-0.02</v>
      </c>
      <c r="K103">
        <v>-0.02</v>
      </c>
      <c r="O103">
        <f t="shared" si="74"/>
        <v>-478.84</v>
      </c>
      <c r="P103">
        <f t="shared" si="75"/>
        <v>-478.84</v>
      </c>
      <c r="Q103">
        <f t="shared" si="76"/>
        <v>0</v>
      </c>
      <c r="R103">
        <f t="shared" si="77"/>
        <v>0</v>
      </c>
      <c r="S103">
        <f t="shared" si="78"/>
        <v>0</v>
      </c>
      <c r="T103">
        <f t="shared" si="79"/>
        <v>0</v>
      </c>
      <c r="U103">
        <f t="shared" si="80"/>
        <v>0</v>
      </c>
      <c r="V103">
        <f t="shared" si="81"/>
        <v>0</v>
      </c>
      <c r="W103">
        <f t="shared" si="82"/>
        <v>0</v>
      </c>
      <c r="X103">
        <f t="shared" si="83"/>
        <v>0</v>
      </c>
      <c r="Y103">
        <f t="shared" si="84"/>
        <v>0</v>
      </c>
      <c r="AA103">
        <v>50961513</v>
      </c>
      <c r="AB103">
        <f t="shared" si="85"/>
        <v>7712</v>
      </c>
      <c r="AC103">
        <f t="shared" si="111"/>
        <v>7712</v>
      </c>
      <c r="AD103">
        <f t="shared" si="112"/>
        <v>0</v>
      </c>
      <c r="AE103">
        <f t="shared" si="113"/>
        <v>0</v>
      </c>
      <c r="AF103">
        <f t="shared" si="114"/>
        <v>0</v>
      </c>
      <c r="AG103">
        <f t="shared" si="87"/>
        <v>0</v>
      </c>
      <c r="AH103">
        <f t="shared" si="115"/>
        <v>0</v>
      </c>
      <c r="AI103">
        <f t="shared" si="116"/>
        <v>0</v>
      </c>
      <c r="AJ103">
        <f t="shared" si="88"/>
        <v>0</v>
      </c>
      <c r="AK103">
        <v>7712</v>
      </c>
      <c r="AL103">
        <v>7712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81</v>
      </c>
      <c r="AU103">
        <v>72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8.87</v>
      </c>
      <c r="BH103">
        <v>3</v>
      </c>
      <c r="BI103">
        <v>1</v>
      </c>
      <c r="BJ103" t="s">
        <v>80</v>
      </c>
      <c r="BM103">
        <v>9001</v>
      </c>
      <c r="BN103">
        <v>0</v>
      </c>
      <c r="BO103" t="s">
        <v>78</v>
      </c>
      <c r="BP103">
        <v>1</v>
      </c>
      <c r="BQ103">
        <v>23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90</v>
      </c>
      <c r="CA103">
        <v>85</v>
      </c>
      <c r="CE103">
        <v>0</v>
      </c>
      <c r="CF103">
        <v>0</v>
      </c>
      <c r="CG103">
        <v>0</v>
      </c>
      <c r="CM103">
        <v>0</v>
      </c>
      <c r="CO103">
        <v>0</v>
      </c>
      <c r="CP103">
        <f t="shared" si="89"/>
        <v>-478.84</v>
      </c>
      <c r="CQ103">
        <f t="shared" si="90"/>
        <v>68405.43999999999</v>
      </c>
      <c r="CR103">
        <f t="shared" si="91"/>
        <v>0</v>
      </c>
      <c r="CS103">
        <f t="shared" si="92"/>
        <v>0</v>
      </c>
      <c r="CT103">
        <f t="shared" si="93"/>
        <v>0</v>
      </c>
      <c r="CU103">
        <f t="shared" si="94"/>
        <v>0</v>
      </c>
      <c r="CV103">
        <f t="shared" si="95"/>
        <v>0</v>
      </c>
      <c r="CW103">
        <f t="shared" si="96"/>
        <v>0</v>
      </c>
      <c r="CX103">
        <f t="shared" si="97"/>
        <v>0</v>
      </c>
      <c r="CY103">
        <f t="shared" si="98"/>
        <v>0</v>
      </c>
      <c r="CZ103">
        <f t="shared" si="99"/>
        <v>0</v>
      </c>
      <c r="DN103">
        <v>0</v>
      </c>
      <c r="DO103">
        <v>0</v>
      </c>
      <c r="DP103">
        <v>1</v>
      </c>
      <c r="DQ103">
        <v>1</v>
      </c>
      <c r="DU103">
        <v>1009</v>
      </c>
      <c r="DV103" t="s">
        <v>50</v>
      </c>
      <c r="DW103" t="s">
        <v>50</v>
      </c>
      <c r="DX103">
        <v>1000</v>
      </c>
      <c r="EE103">
        <v>49315466</v>
      </c>
      <c r="EF103">
        <v>23</v>
      </c>
      <c r="EG103" t="s">
        <v>55</v>
      </c>
      <c r="EH103">
        <v>0</v>
      </c>
      <c r="EJ103">
        <v>1</v>
      </c>
      <c r="EK103">
        <v>9001</v>
      </c>
      <c r="EL103" t="s">
        <v>56</v>
      </c>
      <c r="EM103" t="s">
        <v>57</v>
      </c>
      <c r="EQ103">
        <v>0</v>
      </c>
      <c r="ER103">
        <v>7712</v>
      </c>
      <c r="ES103">
        <v>7712</v>
      </c>
      <c r="ET103">
        <v>0</v>
      </c>
      <c r="EU103">
        <v>0</v>
      </c>
      <c r="EV103">
        <v>0</v>
      </c>
      <c r="EW103">
        <v>0</v>
      </c>
      <c r="EX103">
        <v>0</v>
      </c>
      <c r="FQ103">
        <v>0</v>
      </c>
      <c r="FR103">
        <f t="shared" si="100"/>
        <v>0</v>
      </c>
      <c r="FS103">
        <v>0</v>
      </c>
      <c r="FT103" t="s">
        <v>37</v>
      </c>
      <c r="FU103" t="s">
        <v>38</v>
      </c>
      <c r="FX103">
        <v>81</v>
      </c>
      <c r="FY103">
        <v>72.25</v>
      </c>
      <c r="GD103">
        <v>1</v>
      </c>
      <c r="GF103">
        <v>1195780435</v>
      </c>
      <c r="GG103">
        <v>2</v>
      </c>
      <c r="GH103">
        <v>1</v>
      </c>
      <c r="GI103">
        <v>2</v>
      </c>
      <c r="GJ103">
        <v>0</v>
      </c>
      <c r="GK103">
        <v>0</v>
      </c>
      <c r="GL103">
        <f t="shared" si="101"/>
        <v>0</v>
      </c>
      <c r="GM103">
        <f t="shared" si="102"/>
        <v>-478.84</v>
      </c>
      <c r="GN103">
        <f t="shared" si="103"/>
        <v>-478.84</v>
      </c>
      <c r="GO103">
        <f t="shared" si="104"/>
        <v>0</v>
      </c>
      <c r="GP103">
        <f t="shared" si="105"/>
        <v>0</v>
      </c>
      <c r="GR103">
        <v>0</v>
      </c>
      <c r="GS103">
        <v>3</v>
      </c>
      <c r="GT103">
        <v>0</v>
      </c>
      <c r="GV103">
        <f t="shared" si="106"/>
        <v>0</v>
      </c>
      <c r="GW103">
        <v>1</v>
      </c>
      <c r="GX103">
        <f t="shared" si="107"/>
        <v>0</v>
      </c>
      <c r="HA103">
        <v>0</v>
      </c>
      <c r="HB103">
        <v>0</v>
      </c>
      <c r="HC103">
        <f t="shared" si="108"/>
        <v>0</v>
      </c>
      <c r="IK103">
        <v>0</v>
      </c>
    </row>
    <row r="104" spans="1:255" ht="12.75">
      <c r="A104" s="2">
        <v>18</v>
      </c>
      <c r="B104" s="2">
        <v>1</v>
      </c>
      <c r="C104" s="2">
        <v>92</v>
      </c>
      <c r="D104" s="2"/>
      <c r="E104" s="2" t="s">
        <v>162</v>
      </c>
      <c r="F104" s="2" t="s">
        <v>73</v>
      </c>
      <c r="G104" s="2" t="s">
        <v>74</v>
      </c>
      <c r="H104" s="2" t="s">
        <v>75</v>
      </c>
      <c r="I104" s="2">
        <f>I94*J104</f>
        <v>-0.07</v>
      </c>
      <c r="J104" s="2">
        <v>-0.20000000000000004</v>
      </c>
      <c r="K104" s="2">
        <v>-0.2</v>
      </c>
      <c r="L104" s="2"/>
      <c r="M104" s="2"/>
      <c r="N104" s="2"/>
      <c r="O104" s="2">
        <f t="shared" si="74"/>
        <v>-3.52</v>
      </c>
      <c r="P104" s="2">
        <f t="shared" si="75"/>
        <v>-3.52</v>
      </c>
      <c r="Q104" s="2">
        <f t="shared" si="76"/>
        <v>0</v>
      </c>
      <c r="R104" s="2">
        <f t="shared" si="77"/>
        <v>0</v>
      </c>
      <c r="S104" s="2">
        <f t="shared" si="78"/>
        <v>0</v>
      </c>
      <c r="T104" s="2">
        <f t="shared" si="79"/>
        <v>0</v>
      </c>
      <c r="U104" s="2">
        <f t="shared" si="80"/>
        <v>0</v>
      </c>
      <c r="V104" s="2">
        <f t="shared" si="81"/>
        <v>0</v>
      </c>
      <c r="W104" s="2">
        <f t="shared" si="82"/>
        <v>0</v>
      </c>
      <c r="X104" s="2">
        <f t="shared" si="83"/>
        <v>0</v>
      </c>
      <c r="Y104" s="2">
        <f t="shared" si="84"/>
        <v>0</v>
      </c>
      <c r="Z104" s="2"/>
      <c r="AA104" s="2">
        <v>50947576</v>
      </c>
      <c r="AB104" s="2">
        <f t="shared" si="85"/>
        <v>50.24</v>
      </c>
      <c r="AC104" s="2">
        <f t="shared" si="111"/>
        <v>50.24</v>
      </c>
      <c r="AD104" s="2">
        <f t="shared" si="112"/>
        <v>0</v>
      </c>
      <c r="AE104" s="2">
        <f t="shared" si="113"/>
        <v>0</v>
      </c>
      <c r="AF104" s="2">
        <f t="shared" si="114"/>
        <v>0</v>
      </c>
      <c r="AG104" s="2">
        <f t="shared" si="87"/>
        <v>0</v>
      </c>
      <c r="AH104" s="2">
        <f t="shared" si="115"/>
        <v>0</v>
      </c>
      <c r="AI104" s="2">
        <f t="shared" si="116"/>
        <v>0</v>
      </c>
      <c r="AJ104" s="2">
        <f t="shared" si="88"/>
        <v>0</v>
      </c>
      <c r="AK104" s="2">
        <v>50.24</v>
      </c>
      <c r="AL104" s="2">
        <v>50.24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81</v>
      </c>
      <c r="AU104" s="2">
        <v>72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3</v>
      </c>
      <c r="BE104" s="2" t="s">
        <v>3</v>
      </c>
      <c r="BF104" s="2" t="s">
        <v>3</v>
      </c>
      <c r="BG104" s="2" t="s">
        <v>3</v>
      </c>
      <c r="BH104" s="2">
        <v>3</v>
      </c>
      <c r="BI104" s="2">
        <v>1</v>
      </c>
      <c r="BJ104" s="2" t="s">
        <v>76</v>
      </c>
      <c r="BK104" s="2"/>
      <c r="BL104" s="2"/>
      <c r="BM104" s="2">
        <v>9001</v>
      </c>
      <c r="BN104" s="2">
        <v>0</v>
      </c>
      <c r="BO104" s="2" t="s">
        <v>3</v>
      </c>
      <c r="BP104" s="2">
        <v>0</v>
      </c>
      <c r="BQ104" s="2">
        <v>23</v>
      </c>
      <c r="BR104" s="2">
        <v>1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3</v>
      </c>
      <c r="BZ104" s="2">
        <v>90</v>
      </c>
      <c r="CA104" s="2">
        <v>85</v>
      </c>
      <c r="CB104" s="2" t="s">
        <v>3</v>
      </c>
      <c r="CC104" s="2"/>
      <c r="CD104" s="2"/>
      <c r="CE104" s="2">
        <v>0</v>
      </c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3</v>
      </c>
      <c r="CO104" s="2">
        <v>0</v>
      </c>
      <c r="CP104" s="2">
        <f t="shared" si="89"/>
        <v>-3.52</v>
      </c>
      <c r="CQ104" s="2">
        <f t="shared" si="90"/>
        <v>50.24</v>
      </c>
      <c r="CR104" s="2">
        <f t="shared" si="91"/>
        <v>0</v>
      </c>
      <c r="CS104" s="2">
        <f t="shared" si="92"/>
        <v>0</v>
      </c>
      <c r="CT104" s="2">
        <f t="shared" si="93"/>
        <v>0</v>
      </c>
      <c r="CU104" s="2">
        <f t="shared" si="94"/>
        <v>0</v>
      </c>
      <c r="CV104" s="2">
        <f t="shared" si="95"/>
        <v>0</v>
      </c>
      <c r="CW104" s="2">
        <f t="shared" si="96"/>
        <v>0</v>
      </c>
      <c r="CX104" s="2">
        <f t="shared" si="97"/>
        <v>0</v>
      </c>
      <c r="CY104" s="2">
        <f t="shared" si="98"/>
        <v>0</v>
      </c>
      <c r="CZ104" s="2">
        <f t="shared" si="99"/>
        <v>0</v>
      </c>
      <c r="DA104" s="2"/>
      <c r="DB104" s="2"/>
      <c r="DC104" s="2" t="s">
        <v>3</v>
      </c>
      <c r="DD104" s="2" t="s">
        <v>3</v>
      </c>
      <c r="DE104" s="2" t="s">
        <v>3</v>
      </c>
      <c r="DF104" s="2" t="s">
        <v>3</v>
      </c>
      <c r="DG104" s="2" t="s">
        <v>3</v>
      </c>
      <c r="DH104" s="2" t="s">
        <v>3</v>
      </c>
      <c r="DI104" s="2" t="s">
        <v>3</v>
      </c>
      <c r="DJ104" s="2" t="s">
        <v>3</v>
      </c>
      <c r="DK104" s="2" t="s">
        <v>3</v>
      </c>
      <c r="DL104" s="2" t="s">
        <v>3</v>
      </c>
      <c r="DM104" s="2" t="s">
        <v>3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1003</v>
      </c>
      <c r="DV104" s="2" t="s">
        <v>75</v>
      </c>
      <c r="DW104" s="2" t="s">
        <v>75</v>
      </c>
      <c r="DX104" s="2">
        <v>10</v>
      </c>
      <c r="DY104" s="2"/>
      <c r="DZ104" s="2" t="s">
        <v>3</v>
      </c>
      <c r="EA104" s="2" t="s">
        <v>3</v>
      </c>
      <c r="EB104" s="2" t="s">
        <v>3</v>
      </c>
      <c r="EC104" s="2" t="s">
        <v>3</v>
      </c>
      <c r="ED104" s="2"/>
      <c r="EE104" s="2">
        <v>49315466</v>
      </c>
      <c r="EF104" s="2">
        <v>23</v>
      </c>
      <c r="EG104" s="2" t="s">
        <v>55</v>
      </c>
      <c r="EH104" s="2">
        <v>0</v>
      </c>
      <c r="EI104" s="2" t="s">
        <v>3</v>
      </c>
      <c r="EJ104" s="2">
        <v>1</v>
      </c>
      <c r="EK104" s="2">
        <v>9001</v>
      </c>
      <c r="EL104" s="2" t="s">
        <v>56</v>
      </c>
      <c r="EM104" s="2" t="s">
        <v>57</v>
      </c>
      <c r="EN104" s="2"/>
      <c r="EO104" s="2" t="s">
        <v>3</v>
      </c>
      <c r="EP104" s="2"/>
      <c r="EQ104" s="2">
        <v>0</v>
      </c>
      <c r="ER104" s="2">
        <v>50.24</v>
      </c>
      <c r="ES104" s="2">
        <v>50.24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00"/>
        <v>0</v>
      </c>
      <c r="FS104" s="2">
        <v>0</v>
      </c>
      <c r="FT104" s="2" t="s">
        <v>37</v>
      </c>
      <c r="FU104" s="2" t="s">
        <v>38</v>
      </c>
      <c r="FV104" s="2"/>
      <c r="FW104" s="2"/>
      <c r="FX104" s="2">
        <v>81</v>
      </c>
      <c r="FY104" s="2">
        <v>72.25</v>
      </c>
      <c r="FZ104" s="2"/>
      <c r="GA104" s="2" t="s">
        <v>3</v>
      </c>
      <c r="GB104" s="2"/>
      <c r="GC104" s="2"/>
      <c r="GD104" s="2">
        <v>1</v>
      </c>
      <c r="GE104" s="2"/>
      <c r="GF104" s="2">
        <v>660380256</v>
      </c>
      <c r="GG104" s="2">
        <v>2</v>
      </c>
      <c r="GH104" s="2">
        <v>1</v>
      </c>
      <c r="GI104" s="2">
        <v>-2</v>
      </c>
      <c r="GJ104" s="2">
        <v>0</v>
      </c>
      <c r="GK104" s="2">
        <v>0</v>
      </c>
      <c r="GL104" s="2">
        <f t="shared" si="101"/>
        <v>0</v>
      </c>
      <c r="GM104" s="2">
        <f t="shared" si="102"/>
        <v>-3.52</v>
      </c>
      <c r="GN104" s="2">
        <f t="shared" si="103"/>
        <v>-3.52</v>
      </c>
      <c r="GO104" s="2">
        <f t="shared" si="104"/>
        <v>0</v>
      </c>
      <c r="GP104" s="2">
        <f t="shared" si="105"/>
        <v>0</v>
      </c>
      <c r="GQ104" s="2"/>
      <c r="GR104" s="2">
        <v>0</v>
      </c>
      <c r="GS104" s="2">
        <v>3</v>
      </c>
      <c r="GT104" s="2">
        <v>0</v>
      </c>
      <c r="GU104" s="2" t="s">
        <v>3</v>
      </c>
      <c r="GV104" s="2">
        <f t="shared" si="106"/>
        <v>0</v>
      </c>
      <c r="GW104" s="2">
        <v>1</v>
      </c>
      <c r="GX104" s="2">
        <f t="shared" si="107"/>
        <v>0</v>
      </c>
      <c r="GY104" s="2"/>
      <c r="GZ104" s="2"/>
      <c r="HA104" s="2">
        <v>0</v>
      </c>
      <c r="HB104" s="2">
        <v>0</v>
      </c>
      <c r="HC104" s="2">
        <f t="shared" si="108"/>
        <v>0</v>
      </c>
      <c r="HD104" s="2"/>
      <c r="HE104" s="2" t="s">
        <v>3</v>
      </c>
      <c r="HF104" s="2" t="s">
        <v>3</v>
      </c>
      <c r="HG104" s="2"/>
      <c r="HH104" s="2"/>
      <c r="HI104" s="2"/>
      <c r="HJ104" s="2"/>
      <c r="HK104" s="2"/>
      <c r="HL104" s="2"/>
      <c r="HM104" s="2" t="s">
        <v>3</v>
      </c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45" ht="12.75">
      <c r="A105">
        <v>18</v>
      </c>
      <c r="B105">
        <v>1</v>
      </c>
      <c r="C105">
        <v>104</v>
      </c>
      <c r="E105" t="s">
        <v>162</v>
      </c>
      <c r="F105" t="s">
        <v>73</v>
      </c>
      <c r="G105" t="s">
        <v>74</v>
      </c>
      <c r="H105" t="s">
        <v>75</v>
      </c>
      <c r="I105">
        <f>I95*J105</f>
        <v>-0.07</v>
      </c>
      <c r="J105">
        <v>-0.20000000000000004</v>
      </c>
      <c r="K105">
        <v>-0.2</v>
      </c>
      <c r="O105">
        <f t="shared" si="74"/>
        <v>-21.42</v>
      </c>
      <c r="P105">
        <f t="shared" si="75"/>
        <v>-21.42</v>
      </c>
      <c r="Q105">
        <f t="shared" si="76"/>
        <v>0</v>
      </c>
      <c r="R105">
        <f t="shared" si="77"/>
        <v>0</v>
      </c>
      <c r="S105">
        <f t="shared" si="78"/>
        <v>0</v>
      </c>
      <c r="T105">
        <f t="shared" si="79"/>
        <v>0</v>
      </c>
      <c r="U105">
        <f t="shared" si="80"/>
        <v>0</v>
      </c>
      <c r="V105">
        <f t="shared" si="81"/>
        <v>0</v>
      </c>
      <c r="W105">
        <f t="shared" si="82"/>
        <v>0</v>
      </c>
      <c r="X105">
        <f t="shared" si="83"/>
        <v>0</v>
      </c>
      <c r="Y105">
        <f t="shared" si="84"/>
        <v>0</v>
      </c>
      <c r="AA105">
        <v>50961513</v>
      </c>
      <c r="AB105">
        <f t="shared" si="85"/>
        <v>50.24</v>
      </c>
      <c r="AC105">
        <f t="shared" si="111"/>
        <v>50.24</v>
      </c>
      <c r="AD105">
        <f t="shared" si="112"/>
        <v>0</v>
      </c>
      <c r="AE105">
        <f t="shared" si="113"/>
        <v>0</v>
      </c>
      <c r="AF105">
        <f t="shared" si="114"/>
        <v>0</v>
      </c>
      <c r="AG105">
        <f t="shared" si="87"/>
        <v>0</v>
      </c>
      <c r="AH105">
        <f t="shared" si="115"/>
        <v>0</v>
      </c>
      <c r="AI105">
        <f t="shared" si="116"/>
        <v>0</v>
      </c>
      <c r="AJ105">
        <f t="shared" si="88"/>
        <v>0</v>
      </c>
      <c r="AK105">
        <v>50.24</v>
      </c>
      <c r="AL105">
        <v>50.24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81</v>
      </c>
      <c r="AU105">
        <v>72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6.09</v>
      </c>
      <c r="BH105">
        <v>3</v>
      </c>
      <c r="BI105">
        <v>1</v>
      </c>
      <c r="BJ105" t="s">
        <v>76</v>
      </c>
      <c r="BM105">
        <v>9001</v>
      </c>
      <c r="BN105">
        <v>0</v>
      </c>
      <c r="BO105" t="s">
        <v>73</v>
      </c>
      <c r="BP105">
        <v>1</v>
      </c>
      <c r="BQ105">
        <v>23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90</v>
      </c>
      <c r="CA105">
        <v>85</v>
      </c>
      <c r="CE105">
        <v>0</v>
      </c>
      <c r="CF105">
        <v>0</v>
      </c>
      <c r="CG105">
        <v>0</v>
      </c>
      <c r="CM105">
        <v>0</v>
      </c>
      <c r="CO105">
        <v>0</v>
      </c>
      <c r="CP105">
        <f t="shared" si="89"/>
        <v>-21.42</v>
      </c>
      <c r="CQ105">
        <f t="shared" si="90"/>
        <v>305.96160000000003</v>
      </c>
      <c r="CR105">
        <f t="shared" si="91"/>
        <v>0</v>
      </c>
      <c r="CS105">
        <f t="shared" si="92"/>
        <v>0</v>
      </c>
      <c r="CT105">
        <f t="shared" si="93"/>
        <v>0</v>
      </c>
      <c r="CU105">
        <f t="shared" si="94"/>
        <v>0</v>
      </c>
      <c r="CV105">
        <f t="shared" si="95"/>
        <v>0</v>
      </c>
      <c r="CW105">
        <f t="shared" si="96"/>
        <v>0</v>
      </c>
      <c r="CX105">
        <f t="shared" si="97"/>
        <v>0</v>
      </c>
      <c r="CY105">
        <f t="shared" si="98"/>
        <v>0</v>
      </c>
      <c r="CZ105">
        <f t="shared" si="99"/>
        <v>0</v>
      </c>
      <c r="DN105">
        <v>0</v>
      </c>
      <c r="DO105">
        <v>0</v>
      </c>
      <c r="DP105">
        <v>1</v>
      </c>
      <c r="DQ105">
        <v>1</v>
      </c>
      <c r="DU105">
        <v>1003</v>
      </c>
      <c r="DV105" t="s">
        <v>75</v>
      </c>
      <c r="DW105" t="s">
        <v>75</v>
      </c>
      <c r="DX105">
        <v>10</v>
      </c>
      <c r="EE105">
        <v>49315466</v>
      </c>
      <c r="EF105">
        <v>23</v>
      </c>
      <c r="EG105" t="s">
        <v>55</v>
      </c>
      <c r="EH105">
        <v>0</v>
      </c>
      <c r="EJ105">
        <v>1</v>
      </c>
      <c r="EK105">
        <v>9001</v>
      </c>
      <c r="EL105" t="s">
        <v>56</v>
      </c>
      <c r="EM105" t="s">
        <v>57</v>
      </c>
      <c r="EQ105">
        <v>0</v>
      </c>
      <c r="ER105">
        <v>50.24</v>
      </c>
      <c r="ES105">
        <v>50.24</v>
      </c>
      <c r="ET105">
        <v>0</v>
      </c>
      <c r="EU105">
        <v>0</v>
      </c>
      <c r="EV105">
        <v>0</v>
      </c>
      <c r="EW105">
        <v>0</v>
      </c>
      <c r="EX105">
        <v>0</v>
      </c>
      <c r="FQ105">
        <v>0</v>
      </c>
      <c r="FR105">
        <f t="shared" si="100"/>
        <v>0</v>
      </c>
      <c r="FS105">
        <v>0</v>
      </c>
      <c r="FT105" t="s">
        <v>37</v>
      </c>
      <c r="FU105" t="s">
        <v>38</v>
      </c>
      <c r="FX105">
        <v>81</v>
      </c>
      <c r="FY105">
        <v>72.25</v>
      </c>
      <c r="GD105">
        <v>1</v>
      </c>
      <c r="GF105">
        <v>660380256</v>
      </c>
      <c r="GG105">
        <v>2</v>
      </c>
      <c r="GH105">
        <v>1</v>
      </c>
      <c r="GI105">
        <v>2</v>
      </c>
      <c r="GJ105">
        <v>0</v>
      </c>
      <c r="GK105">
        <v>0</v>
      </c>
      <c r="GL105">
        <f t="shared" si="101"/>
        <v>0</v>
      </c>
      <c r="GM105">
        <f t="shared" si="102"/>
        <v>-21.42</v>
      </c>
      <c r="GN105">
        <f t="shared" si="103"/>
        <v>-21.42</v>
      </c>
      <c r="GO105">
        <f t="shared" si="104"/>
        <v>0</v>
      </c>
      <c r="GP105">
        <f t="shared" si="105"/>
        <v>0</v>
      </c>
      <c r="GR105">
        <v>0</v>
      </c>
      <c r="GS105">
        <v>3</v>
      </c>
      <c r="GT105">
        <v>0</v>
      </c>
      <c r="GV105">
        <f t="shared" si="106"/>
        <v>0</v>
      </c>
      <c r="GW105">
        <v>1</v>
      </c>
      <c r="GX105">
        <f t="shared" si="107"/>
        <v>0</v>
      </c>
      <c r="HA105">
        <v>0</v>
      </c>
      <c r="HB105">
        <v>0</v>
      </c>
      <c r="HC105">
        <f t="shared" si="108"/>
        <v>0</v>
      </c>
      <c r="IK105">
        <v>0</v>
      </c>
    </row>
    <row r="106" spans="1:255" ht="12.75">
      <c r="A106" s="2">
        <v>18</v>
      </c>
      <c r="B106" s="2">
        <v>1</v>
      </c>
      <c r="C106" s="2">
        <v>93</v>
      </c>
      <c r="D106" s="2"/>
      <c r="E106" s="2" t="s">
        <v>163</v>
      </c>
      <c r="F106" s="2" t="s">
        <v>68</v>
      </c>
      <c r="G106" s="2" t="s">
        <v>69</v>
      </c>
      <c r="H106" s="2" t="s">
        <v>70</v>
      </c>
      <c r="I106" s="2">
        <f>I94*J106</f>
        <v>-0.013999999999999999</v>
      </c>
      <c r="J106" s="2">
        <v>-0.04</v>
      </c>
      <c r="K106" s="2">
        <v>-0.04</v>
      </c>
      <c r="L106" s="2"/>
      <c r="M106" s="2"/>
      <c r="N106" s="2"/>
      <c r="O106" s="2">
        <f t="shared" si="74"/>
        <v>-23.8</v>
      </c>
      <c r="P106" s="2">
        <f t="shared" si="75"/>
        <v>-23.8</v>
      </c>
      <c r="Q106" s="2">
        <f t="shared" si="76"/>
        <v>0</v>
      </c>
      <c r="R106" s="2">
        <f t="shared" si="77"/>
        <v>0</v>
      </c>
      <c r="S106" s="2">
        <f t="shared" si="78"/>
        <v>0</v>
      </c>
      <c r="T106" s="2">
        <f t="shared" si="79"/>
        <v>0</v>
      </c>
      <c r="U106" s="2">
        <f t="shared" si="80"/>
        <v>0</v>
      </c>
      <c r="V106" s="2">
        <f t="shared" si="81"/>
        <v>0</v>
      </c>
      <c r="W106" s="2">
        <f t="shared" si="82"/>
        <v>0</v>
      </c>
      <c r="X106" s="2">
        <f t="shared" si="83"/>
        <v>0</v>
      </c>
      <c r="Y106" s="2">
        <f t="shared" si="84"/>
        <v>0</v>
      </c>
      <c r="Z106" s="2"/>
      <c r="AA106" s="2">
        <v>50947576</v>
      </c>
      <c r="AB106" s="2">
        <f t="shared" si="85"/>
        <v>1700</v>
      </c>
      <c r="AC106" s="2">
        <f t="shared" si="111"/>
        <v>1700</v>
      </c>
      <c r="AD106" s="2">
        <f t="shared" si="112"/>
        <v>0</v>
      </c>
      <c r="AE106" s="2">
        <f t="shared" si="113"/>
        <v>0</v>
      </c>
      <c r="AF106" s="2">
        <f t="shared" si="114"/>
        <v>0</v>
      </c>
      <c r="AG106" s="2">
        <f t="shared" si="87"/>
        <v>0</v>
      </c>
      <c r="AH106" s="2">
        <f t="shared" si="115"/>
        <v>0</v>
      </c>
      <c r="AI106" s="2">
        <f t="shared" si="116"/>
        <v>0</v>
      </c>
      <c r="AJ106" s="2">
        <f t="shared" si="88"/>
        <v>0</v>
      </c>
      <c r="AK106" s="2">
        <v>1700</v>
      </c>
      <c r="AL106" s="2">
        <v>1700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81</v>
      </c>
      <c r="AU106" s="2">
        <v>72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3</v>
      </c>
      <c r="BE106" s="2" t="s">
        <v>3</v>
      </c>
      <c r="BF106" s="2" t="s">
        <v>3</v>
      </c>
      <c r="BG106" s="2" t="s">
        <v>3</v>
      </c>
      <c r="BH106" s="2">
        <v>3</v>
      </c>
      <c r="BI106" s="2">
        <v>1</v>
      </c>
      <c r="BJ106" s="2" t="s">
        <v>71</v>
      </c>
      <c r="BK106" s="2"/>
      <c r="BL106" s="2"/>
      <c r="BM106" s="2">
        <v>9001</v>
      </c>
      <c r="BN106" s="2">
        <v>0</v>
      </c>
      <c r="BO106" s="2" t="s">
        <v>3</v>
      </c>
      <c r="BP106" s="2">
        <v>0</v>
      </c>
      <c r="BQ106" s="2">
        <v>23</v>
      </c>
      <c r="BR106" s="2">
        <v>1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3</v>
      </c>
      <c r="BZ106" s="2">
        <v>90</v>
      </c>
      <c r="CA106" s="2">
        <v>85</v>
      </c>
      <c r="CB106" s="2" t="s">
        <v>3</v>
      </c>
      <c r="CC106" s="2"/>
      <c r="CD106" s="2"/>
      <c r="CE106" s="2">
        <v>0</v>
      </c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3</v>
      </c>
      <c r="CO106" s="2">
        <v>0</v>
      </c>
      <c r="CP106" s="2">
        <f t="shared" si="89"/>
        <v>-23.8</v>
      </c>
      <c r="CQ106" s="2">
        <f t="shared" si="90"/>
        <v>1700</v>
      </c>
      <c r="CR106" s="2">
        <f t="shared" si="91"/>
        <v>0</v>
      </c>
      <c r="CS106" s="2">
        <f t="shared" si="92"/>
        <v>0</v>
      </c>
      <c r="CT106" s="2">
        <f t="shared" si="93"/>
        <v>0</v>
      </c>
      <c r="CU106" s="2">
        <f t="shared" si="94"/>
        <v>0</v>
      </c>
      <c r="CV106" s="2">
        <f t="shared" si="95"/>
        <v>0</v>
      </c>
      <c r="CW106" s="2">
        <f t="shared" si="96"/>
        <v>0</v>
      </c>
      <c r="CX106" s="2">
        <f t="shared" si="97"/>
        <v>0</v>
      </c>
      <c r="CY106" s="2">
        <f t="shared" si="98"/>
        <v>0</v>
      </c>
      <c r="CZ106" s="2">
        <f t="shared" si="99"/>
        <v>0</v>
      </c>
      <c r="DA106" s="2"/>
      <c r="DB106" s="2"/>
      <c r="DC106" s="2" t="s">
        <v>3</v>
      </c>
      <c r="DD106" s="2" t="s">
        <v>3</v>
      </c>
      <c r="DE106" s="2" t="s">
        <v>3</v>
      </c>
      <c r="DF106" s="2" t="s">
        <v>3</v>
      </c>
      <c r="DG106" s="2" t="s">
        <v>3</v>
      </c>
      <c r="DH106" s="2" t="s">
        <v>3</v>
      </c>
      <c r="DI106" s="2" t="s">
        <v>3</v>
      </c>
      <c r="DJ106" s="2" t="s">
        <v>3</v>
      </c>
      <c r="DK106" s="2" t="s">
        <v>3</v>
      </c>
      <c r="DL106" s="2" t="s">
        <v>3</v>
      </c>
      <c r="DM106" s="2" t="s">
        <v>3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1007</v>
      </c>
      <c r="DV106" s="2" t="s">
        <v>70</v>
      </c>
      <c r="DW106" s="2" t="s">
        <v>70</v>
      </c>
      <c r="DX106" s="2">
        <v>1</v>
      </c>
      <c r="DY106" s="2"/>
      <c r="DZ106" s="2" t="s">
        <v>3</v>
      </c>
      <c r="EA106" s="2" t="s">
        <v>3</v>
      </c>
      <c r="EB106" s="2" t="s">
        <v>3</v>
      </c>
      <c r="EC106" s="2" t="s">
        <v>3</v>
      </c>
      <c r="ED106" s="2"/>
      <c r="EE106" s="2">
        <v>49315466</v>
      </c>
      <c r="EF106" s="2">
        <v>23</v>
      </c>
      <c r="EG106" s="2" t="s">
        <v>55</v>
      </c>
      <c r="EH106" s="2">
        <v>0</v>
      </c>
      <c r="EI106" s="2" t="s">
        <v>3</v>
      </c>
      <c r="EJ106" s="2">
        <v>1</v>
      </c>
      <c r="EK106" s="2">
        <v>9001</v>
      </c>
      <c r="EL106" s="2" t="s">
        <v>56</v>
      </c>
      <c r="EM106" s="2" t="s">
        <v>57</v>
      </c>
      <c r="EN106" s="2"/>
      <c r="EO106" s="2" t="s">
        <v>3</v>
      </c>
      <c r="EP106" s="2"/>
      <c r="EQ106" s="2">
        <v>0</v>
      </c>
      <c r="ER106" s="2">
        <v>1700</v>
      </c>
      <c r="ES106" s="2">
        <v>1700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00"/>
        <v>0</v>
      </c>
      <c r="FS106" s="2">
        <v>0</v>
      </c>
      <c r="FT106" s="2" t="s">
        <v>37</v>
      </c>
      <c r="FU106" s="2" t="s">
        <v>38</v>
      </c>
      <c r="FV106" s="2"/>
      <c r="FW106" s="2"/>
      <c r="FX106" s="2">
        <v>81</v>
      </c>
      <c r="FY106" s="2">
        <v>72.25</v>
      </c>
      <c r="FZ106" s="2"/>
      <c r="GA106" s="2" t="s">
        <v>3</v>
      </c>
      <c r="GB106" s="2"/>
      <c r="GC106" s="2"/>
      <c r="GD106" s="2">
        <v>1</v>
      </c>
      <c r="GE106" s="2"/>
      <c r="GF106" s="2">
        <v>-130131740</v>
      </c>
      <c r="GG106" s="2">
        <v>2</v>
      </c>
      <c r="GH106" s="2">
        <v>1</v>
      </c>
      <c r="GI106" s="2">
        <v>-2</v>
      </c>
      <c r="GJ106" s="2">
        <v>0</v>
      </c>
      <c r="GK106" s="2">
        <v>0</v>
      </c>
      <c r="GL106" s="2">
        <f t="shared" si="101"/>
        <v>0</v>
      </c>
      <c r="GM106" s="2">
        <f t="shared" si="102"/>
        <v>-23.8</v>
      </c>
      <c r="GN106" s="2">
        <f t="shared" si="103"/>
        <v>-23.8</v>
      </c>
      <c r="GO106" s="2">
        <f t="shared" si="104"/>
        <v>0</v>
      </c>
      <c r="GP106" s="2">
        <f t="shared" si="105"/>
        <v>0</v>
      </c>
      <c r="GQ106" s="2"/>
      <c r="GR106" s="2">
        <v>0</v>
      </c>
      <c r="GS106" s="2">
        <v>3</v>
      </c>
      <c r="GT106" s="2">
        <v>0</v>
      </c>
      <c r="GU106" s="2" t="s">
        <v>3</v>
      </c>
      <c r="GV106" s="2">
        <f t="shared" si="106"/>
        <v>0</v>
      </c>
      <c r="GW106" s="2">
        <v>1</v>
      </c>
      <c r="GX106" s="2">
        <f t="shared" si="107"/>
        <v>0</v>
      </c>
      <c r="GY106" s="2"/>
      <c r="GZ106" s="2"/>
      <c r="HA106" s="2">
        <v>0</v>
      </c>
      <c r="HB106" s="2">
        <v>0</v>
      </c>
      <c r="HC106" s="2">
        <f t="shared" si="108"/>
        <v>0</v>
      </c>
      <c r="HD106" s="2"/>
      <c r="HE106" s="2" t="s">
        <v>3</v>
      </c>
      <c r="HF106" s="2" t="s">
        <v>3</v>
      </c>
      <c r="HG106" s="2"/>
      <c r="HH106" s="2"/>
      <c r="HI106" s="2"/>
      <c r="HJ106" s="2"/>
      <c r="HK106" s="2"/>
      <c r="HL106" s="2"/>
      <c r="HM106" s="2" t="s">
        <v>3</v>
      </c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45" ht="12.75">
      <c r="A107">
        <v>18</v>
      </c>
      <c r="B107">
        <v>1</v>
      </c>
      <c r="C107">
        <v>105</v>
      </c>
      <c r="E107" t="s">
        <v>163</v>
      </c>
      <c r="F107" t="s">
        <v>68</v>
      </c>
      <c r="G107" t="s">
        <v>69</v>
      </c>
      <c r="H107" t="s">
        <v>70</v>
      </c>
      <c r="I107">
        <f>I95*J107</f>
        <v>-0.013999999999999999</v>
      </c>
      <c r="J107">
        <v>-0.04</v>
      </c>
      <c r="K107">
        <v>-0.04</v>
      </c>
      <c r="O107">
        <f t="shared" si="74"/>
        <v>-132.09</v>
      </c>
      <c r="P107">
        <f t="shared" si="75"/>
        <v>-132.09</v>
      </c>
      <c r="Q107">
        <f t="shared" si="76"/>
        <v>0</v>
      </c>
      <c r="R107">
        <f t="shared" si="77"/>
        <v>0</v>
      </c>
      <c r="S107">
        <f t="shared" si="78"/>
        <v>0</v>
      </c>
      <c r="T107">
        <f t="shared" si="79"/>
        <v>0</v>
      </c>
      <c r="U107">
        <f t="shared" si="80"/>
        <v>0</v>
      </c>
      <c r="V107">
        <f t="shared" si="81"/>
        <v>0</v>
      </c>
      <c r="W107">
        <f t="shared" si="82"/>
        <v>0</v>
      </c>
      <c r="X107">
        <f t="shared" si="83"/>
        <v>0</v>
      </c>
      <c r="Y107">
        <f t="shared" si="84"/>
        <v>0</v>
      </c>
      <c r="AA107">
        <v>50961513</v>
      </c>
      <c r="AB107">
        <f t="shared" si="85"/>
        <v>1700</v>
      </c>
      <c r="AC107">
        <f t="shared" si="111"/>
        <v>1700</v>
      </c>
      <c r="AD107">
        <f t="shared" si="112"/>
        <v>0</v>
      </c>
      <c r="AE107">
        <f t="shared" si="113"/>
        <v>0</v>
      </c>
      <c r="AF107">
        <f t="shared" si="114"/>
        <v>0</v>
      </c>
      <c r="AG107">
        <f t="shared" si="87"/>
        <v>0</v>
      </c>
      <c r="AH107">
        <f t="shared" si="115"/>
        <v>0</v>
      </c>
      <c r="AI107">
        <f t="shared" si="116"/>
        <v>0</v>
      </c>
      <c r="AJ107">
        <f t="shared" si="88"/>
        <v>0</v>
      </c>
      <c r="AK107">
        <v>1700</v>
      </c>
      <c r="AL107">
        <v>1700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81</v>
      </c>
      <c r="AU107">
        <v>72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5.55</v>
      </c>
      <c r="BH107">
        <v>3</v>
      </c>
      <c r="BI107">
        <v>1</v>
      </c>
      <c r="BJ107" t="s">
        <v>71</v>
      </c>
      <c r="BM107">
        <v>9001</v>
      </c>
      <c r="BN107">
        <v>0</v>
      </c>
      <c r="BO107" t="s">
        <v>68</v>
      </c>
      <c r="BP107">
        <v>1</v>
      </c>
      <c r="BQ107">
        <v>23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Z107">
        <v>90</v>
      </c>
      <c r="CA107">
        <v>85</v>
      </c>
      <c r="CE107">
        <v>0</v>
      </c>
      <c r="CF107">
        <v>0</v>
      </c>
      <c r="CG107">
        <v>0</v>
      </c>
      <c r="CM107">
        <v>0</v>
      </c>
      <c r="CO107">
        <v>0</v>
      </c>
      <c r="CP107">
        <f t="shared" si="89"/>
        <v>-132.09</v>
      </c>
      <c r="CQ107">
        <f t="shared" si="90"/>
        <v>9435</v>
      </c>
      <c r="CR107">
        <f t="shared" si="91"/>
        <v>0</v>
      </c>
      <c r="CS107">
        <f t="shared" si="92"/>
        <v>0</v>
      </c>
      <c r="CT107">
        <f t="shared" si="93"/>
        <v>0</v>
      </c>
      <c r="CU107">
        <f t="shared" si="94"/>
        <v>0</v>
      </c>
      <c r="CV107">
        <f t="shared" si="95"/>
        <v>0</v>
      </c>
      <c r="CW107">
        <f t="shared" si="96"/>
        <v>0</v>
      </c>
      <c r="CX107">
        <f t="shared" si="97"/>
        <v>0</v>
      </c>
      <c r="CY107">
        <f t="shared" si="98"/>
        <v>0</v>
      </c>
      <c r="CZ107">
        <f t="shared" si="99"/>
        <v>0</v>
      </c>
      <c r="DN107">
        <v>0</v>
      </c>
      <c r="DO107">
        <v>0</v>
      </c>
      <c r="DP107">
        <v>1</v>
      </c>
      <c r="DQ107">
        <v>1</v>
      </c>
      <c r="DU107">
        <v>1007</v>
      </c>
      <c r="DV107" t="s">
        <v>70</v>
      </c>
      <c r="DW107" t="s">
        <v>70</v>
      </c>
      <c r="DX107">
        <v>1</v>
      </c>
      <c r="EE107">
        <v>49315466</v>
      </c>
      <c r="EF107">
        <v>23</v>
      </c>
      <c r="EG107" t="s">
        <v>55</v>
      </c>
      <c r="EH107">
        <v>0</v>
      </c>
      <c r="EJ107">
        <v>1</v>
      </c>
      <c r="EK107">
        <v>9001</v>
      </c>
      <c r="EL107" t="s">
        <v>56</v>
      </c>
      <c r="EM107" t="s">
        <v>57</v>
      </c>
      <c r="EQ107">
        <v>0</v>
      </c>
      <c r="ER107">
        <v>1700</v>
      </c>
      <c r="ES107">
        <v>1700</v>
      </c>
      <c r="ET107">
        <v>0</v>
      </c>
      <c r="EU107">
        <v>0</v>
      </c>
      <c r="EV107">
        <v>0</v>
      </c>
      <c r="EW107">
        <v>0</v>
      </c>
      <c r="EX107">
        <v>0</v>
      </c>
      <c r="FQ107">
        <v>0</v>
      </c>
      <c r="FR107">
        <f t="shared" si="100"/>
        <v>0</v>
      </c>
      <c r="FS107">
        <v>0</v>
      </c>
      <c r="FT107" t="s">
        <v>37</v>
      </c>
      <c r="FU107" t="s">
        <v>38</v>
      </c>
      <c r="FX107">
        <v>81</v>
      </c>
      <c r="FY107">
        <v>72.25</v>
      </c>
      <c r="GD107">
        <v>1</v>
      </c>
      <c r="GF107">
        <v>-130131740</v>
      </c>
      <c r="GG107">
        <v>2</v>
      </c>
      <c r="GH107">
        <v>1</v>
      </c>
      <c r="GI107">
        <v>2</v>
      </c>
      <c r="GJ107">
        <v>0</v>
      </c>
      <c r="GK107">
        <v>0</v>
      </c>
      <c r="GL107">
        <f t="shared" si="101"/>
        <v>0</v>
      </c>
      <c r="GM107">
        <f t="shared" si="102"/>
        <v>-132.09</v>
      </c>
      <c r="GN107">
        <f t="shared" si="103"/>
        <v>-132.09</v>
      </c>
      <c r="GO107">
        <f t="shared" si="104"/>
        <v>0</v>
      </c>
      <c r="GP107">
        <f t="shared" si="105"/>
        <v>0</v>
      </c>
      <c r="GR107">
        <v>0</v>
      </c>
      <c r="GS107">
        <v>3</v>
      </c>
      <c r="GT107">
        <v>0</v>
      </c>
      <c r="GV107">
        <f t="shared" si="106"/>
        <v>0</v>
      </c>
      <c r="GW107">
        <v>1</v>
      </c>
      <c r="GX107">
        <f t="shared" si="107"/>
        <v>0</v>
      </c>
      <c r="HA107">
        <v>0</v>
      </c>
      <c r="HB107">
        <v>0</v>
      </c>
      <c r="HC107">
        <f t="shared" si="108"/>
        <v>0</v>
      </c>
      <c r="IK107">
        <v>0</v>
      </c>
    </row>
    <row r="108" spans="1:255" ht="12.75">
      <c r="A108" s="2">
        <v>18</v>
      </c>
      <c r="B108" s="2">
        <v>1</v>
      </c>
      <c r="C108" s="2">
        <v>90</v>
      </c>
      <c r="D108" s="2"/>
      <c r="E108" s="2" t="s">
        <v>164</v>
      </c>
      <c r="F108" s="2" t="s">
        <v>82</v>
      </c>
      <c r="G108" s="2" t="s">
        <v>83</v>
      </c>
      <c r="H108" s="2" t="s">
        <v>50</v>
      </c>
      <c r="I108" s="2">
        <f>I94*J108</f>
        <v>-0.000403</v>
      </c>
      <c r="J108" s="2">
        <v>-0.0011514285714285715</v>
      </c>
      <c r="K108" s="2">
        <v>-0.00115</v>
      </c>
      <c r="L108" s="2"/>
      <c r="M108" s="2"/>
      <c r="N108" s="2"/>
      <c r="O108" s="2">
        <f t="shared" si="74"/>
        <v>-15.27</v>
      </c>
      <c r="P108" s="2">
        <f t="shared" si="75"/>
        <v>-15.27</v>
      </c>
      <c r="Q108" s="2">
        <f t="shared" si="76"/>
        <v>0</v>
      </c>
      <c r="R108" s="2">
        <f t="shared" si="77"/>
        <v>0</v>
      </c>
      <c r="S108" s="2">
        <f t="shared" si="78"/>
        <v>0</v>
      </c>
      <c r="T108" s="2">
        <f t="shared" si="79"/>
        <v>0</v>
      </c>
      <c r="U108" s="2">
        <f t="shared" si="80"/>
        <v>0</v>
      </c>
      <c r="V108" s="2">
        <f t="shared" si="81"/>
        <v>0</v>
      </c>
      <c r="W108" s="2">
        <f t="shared" si="82"/>
        <v>0</v>
      </c>
      <c r="X108" s="2">
        <f t="shared" si="83"/>
        <v>0</v>
      </c>
      <c r="Y108" s="2">
        <f t="shared" si="84"/>
        <v>0</v>
      </c>
      <c r="Z108" s="2"/>
      <c r="AA108" s="2">
        <v>50947576</v>
      </c>
      <c r="AB108" s="2">
        <f t="shared" si="85"/>
        <v>37900</v>
      </c>
      <c r="AC108" s="2">
        <f t="shared" si="111"/>
        <v>37900</v>
      </c>
      <c r="AD108" s="2">
        <f t="shared" si="112"/>
        <v>0</v>
      </c>
      <c r="AE108" s="2">
        <f t="shared" si="113"/>
        <v>0</v>
      </c>
      <c r="AF108" s="2">
        <f t="shared" si="114"/>
        <v>0</v>
      </c>
      <c r="AG108" s="2">
        <f t="shared" si="87"/>
        <v>0</v>
      </c>
      <c r="AH108" s="2">
        <f t="shared" si="115"/>
        <v>0</v>
      </c>
      <c r="AI108" s="2">
        <f t="shared" si="116"/>
        <v>0</v>
      </c>
      <c r="AJ108" s="2">
        <f t="shared" si="88"/>
        <v>0</v>
      </c>
      <c r="AK108" s="2">
        <v>37900</v>
      </c>
      <c r="AL108" s="2">
        <v>37900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81</v>
      </c>
      <c r="AU108" s="2">
        <v>72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3</v>
      </c>
      <c r="BE108" s="2" t="s">
        <v>3</v>
      </c>
      <c r="BF108" s="2" t="s">
        <v>3</v>
      </c>
      <c r="BG108" s="2" t="s">
        <v>3</v>
      </c>
      <c r="BH108" s="2">
        <v>3</v>
      </c>
      <c r="BI108" s="2">
        <v>1</v>
      </c>
      <c r="BJ108" s="2" t="s">
        <v>84</v>
      </c>
      <c r="BK108" s="2"/>
      <c r="BL108" s="2"/>
      <c r="BM108" s="2">
        <v>9001</v>
      </c>
      <c r="BN108" s="2">
        <v>0</v>
      </c>
      <c r="BO108" s="2" t="s">
        <v>3</v>
      </c>
      <c r="BP108" s="2">
        <v>0</v>
      </c>
      <c r="BQ108" s="2">
        <v>23</v>
      </c>
      <c r="BR108" s="2">
        <v>1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3</v>
      </c>
      <c r="BZ108" s="2">
        <v>90</v>
      </c>
      <c r="CA108" s="2">
        <v>85</v>
      </c>
      <c r="CB108" s="2" t="s">
        <v>3</v>
      </c>
      <c r="CC108" s="2"/>
      <c r="CD108" s="2"/>
      <c r="CE108" s="2">
        <v>0</v>
      </c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3</v>
      </c>
      <c r="CO108" s="2">
        <v>0</v>
      </c>
      <c r="CP108" s="2">
        <f t="shared" si="89"/>
        <v>-15.27</v>
      </c>
      <c r="CQ108" s="2">
        <f t="shared" si="90"/>
        <v>37900</v>
      </c>
      <c r="CR108" s="2">
        <f t="shared" si="91"/>
        <v>0</v>
      </c>
      <c r="CS108" s="2">
        <f t="shared" si="92"/>
        <v>0</v>
      </c>
      <c r="CT108" s="2">
        <f t="shared" si="93"/>
        <v>0</v>
      </c>
      <c r="CU108" s="2">
        <f t="shared" si="94"/>
        <v>0</v>
      </c>
      <c r="CV108" s="2">
        <f t="shared" si="95"/>
        <v>0</v>
      </c>
      <c r="CW108" s="2">
        <f t="shared" si="96"/>
        <v>0</v>
      </c>
      <c r="CX108" s="2">
        <f t="shared" si="97"/>
        <v>0</v>
      </c>
      <c r="CY108" s="2">
        <f t="shared" si="98"/>
        <v>0</v>
      </c>
      <c r="CZ108" s="2">
        <f t="shared" si="99"/>
        <v>0</v>
      </c>
      <c r="DA108" s="2"/>
      <c r="DB108" s="2"/>
      <c r="DC108" s="2" t="s">
        <v>3</v>
      </c>
      <c r="DD108" s="2" t="s">
        <v>3</v>
      </c>
      <c r="DE108" s="2" t="s">
        <v>3</v>
      </c>
      <c r="DF108" s="2" t="s">
        <v>3</v>
      </c>
      <c r="DG108" s="2" t="s">
        <v>3</v>
      </c>
      <c r="DH108" s="2" t="s">
        <v>3</v>
      </c>
      <c r="DI108" s="2" t="s">
        <v>3</v>
      </c>
      <c r="DJ108" s="2" t="s">
        <v>3</v>
      </c>
      <c r="DK108" s="2" t="s">
        <v>3</v>
      </c>
      <c r="DL108" s="2" t="s">
        <v>3</v>
      </c>
      <c r="DM108" s="2" t="s">
        <v>3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1009</v>
      </c>
      <c r="DV108" s="2" t="s">
        <v>50</v>
      </c>
      <c r="DW108" s="2" t="s">
        <v>50</v>
      </c>
      <c r="DX108" s="2">
        <v>1000</v>
      </c>
      <c r="DY108" s="2"/>
      <c r="DZ108" s="2" t="s">
        <v>3</v>
      </c>
      <c r="EA108" s="2" t="s">
        <v>3</v>
      </c>
      <c r="EB108" s="2" t="s">
        <v>3</v>
      </c>
      <c r="EC108" s="2" t="s">
        <v>3</v>
      </c>
      <c r="ED108" s="2"/>
      <c r="EE108" s="2">
        <v>49315466</v>
      </c>
      <c r="EF108" s="2">
        <v>23</v>
      </c>
      <c r="EG108" s="2" t="s">
        <v>55</v>
      </c>
      <c r="EH108" s="2">
        <v>0</v>
      </c>
      <c r="EI108" s="2" t="s">
        <v>3</v>
      </c>
      <c r="EJ108" s="2">
        <v>1</v>
      </c>
      <c r="EK108" s="2">
        <v>9001</v>
      </c>
      <c r="EL108" s="2" t="s">
        <v>56</v>
      </c>
      <c r="EM108" s="2" t="s">
        <v>57</v>
      </c>
      <c r="EN108" s="2"/>
      <c r="EO108" s="2" t="s">
        <v>3</v>
      </c>
      <c r="EP108" s="2"/>
      <c r="EQ108" s="2">
        <v>0</v>
      </c>
      <c r="ER108" s="2">
        <v>37900</v>
      </c>
      <c r="ES108" s="2">
        <v>37900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00"/>
        <v>0</v>
      </c>
      <c r="FS108" s="2">
        <v>0</v>
      </c>
      <c r="FT108" s="2" t="s">
        <v>37</v>
      </c>
      <c r="FU108" s="2" t="s">
        <v>38</v>
      </c>
      <c r="FV108" s="2"/>
      <c r="FW108" s="2"/>
      <c r="FX108" s="2">
        <v>81</v>
      </c>
      <c r="FY108" s="2">
        <v>72.25</v>
      </c>
      <c r="FZ108" s="2"/>
      <c r="GA108" s="2" t="s">
        <v>3</v>
      </c>
      <c r="GB108" s="2"/>
      <c r="GC108" s="2"/>
      <c r="GD108" s="2">
        <v>1</v>
      </c>
      <c r="GE108" s="2"/>
      <c r="GF108" s="2">
        <v>-1908218251</v>
      </c>
      <c r="GG108" s="2">
        <v>2</v>
      </c>
      <c r="GH108" s="2">
        <v>1</v>
      </c>
      <c r="GI108" s="2">
        <v>-2</v>
      </c>
      <c r="GJ108" s="2">
        <v>0</v>
      </c>
      <c r="GK108" s="2">
        <v>0</v>
      </c>
      <c r="GL108" s="2">
        <f t="shared" si="101"/>
        <v>0</v>
      </c>
      <c r="GM108" s="2">
        <f t="shared" si="102"/>
        <v>-15.27</v>
      </c>
      <c r="GN108" s="2">
        <f t="shared" si="103"/>
        <v>-15.27</v>
      </c>
      <c r="GO108" s="2">
        <f t="shared" si="104"/>
        <v>0</v>
      </c>
      <c r="GP108" s="2">
        <f t="shared" si="105"/>
        <v>0</v>
      </c>
      <c r="GQ108" s="2"/>
      <c r="GR108" s="2">
        <v>0</v>
      </c>
      <c r="GS108" s="2">
        <v>3</v>
      </c>
      <c r="GT108" s="2">
        <v>0</v>
      </c>
      <c r="GU108" s="2" t="s">
        <v>3</v>
      </c>
      <c r="GV108" s="2">
        <f t="shared" si="106"/>
        <v>0</v>
      </c>
      <c r="GW108" s="2">
        <v>1</v>
      </c>
      <c r="GX108" s="2">
        <f t="shared" si="107"/>
        <v>0</v>
      </c>
      <c r="GY108" s="2"/>
      <c r="GZ108" s="2"/>
      <c r="HA108" s="2">
        <v>0</v>
      </c>
      <c r="HB108" s="2">
        <v>0</v>
      </c>
      <c r="HC108" s="2">
        <f t="shared" si="108"/>
        <v>0</v>
      </c>
      <c r="HD108" s="2"/>
      <c r="HE108" s="2" t="s">
        <v>3</v>
      </c>
      <c r="HF108" s="2" t="s">
        <v>3</v>
      </c>
      <c r="HG108" s="2"/>
      <c r="HH108" s="2"/>
      <c r="HI108" s="2"/>
      <c r="HJ108" s="2"/>
      <c r="HK108" s="2"/>
      <c r="HL108" s="2"/>
      <c r="HM108" s="2" t="s">
        <v>3</v>
      </c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45" ht="12.75">
      <c r="A109">
        <v>18</v>
      </c>
      <c r="B109">
        <v>1</v>
      </c>
      <c r="C109">
        <v>102</v>
      </c>
      <c r="E109" t="s">
        <v>164</v>
      </c>
      <c r="F109" t="s">
        <v>82</v>
      </c>
      <c r="G109" t="s">
        <v>83</v>
      </c>
      <c r="H109" t="s">
        <v>50</v>
      </c>
      <c r="I109">
        <f>I95*J109</f>
        <v>-0.000403</v>
      </c>
      <c r="J109">
        <v>-0.0011514285714285715</v>
      </c>
      <c r="K109">
        <v>-0.00115</v>
      </c>
      <c r="O109">
        <f t="shared" si="74"/>
        <v>-70.11</v>
      </c>
      <c r="P109">
        <f t="shared" si="75"/>
        <v>-70.11</v>
      </c>
      <c r="Q109">
        <f t="shared" si="76"/>
        <v>0</v>
      </c>
      <c r="R109">
        <f t="shared" si="77"/>
        <v>0</v>
      </c>
      <c r="S109">
        <f t="shared" si="78"/>
        <v>0</v>
      </c>
      <c r="T109">
        <f t="shared" si="79"/>
        <v>0</v>
      </c>
      <c r="U109">
        <f t="shared" si="80"/>
        <v>0</v>
      </c>
      <c r="V109">
        <f t="shared" si="81"/>
        <v>0</v>
      </c>
      <c r="W109">
        <f t="shared" si="82"/>
        <v>0</v>
      </c>
      <c r="X109">
        <f t="shared" si="83"/>
        <v>0</v>
      </c>
      <c r="Y109">
        <f t="shared" si="84"/>
        <v>0</v>
      </c>
      <c r="AA109">
        <v>50961513</v>
      </c>
      <c r="AB109">
        <f t="shared" si="85"/>
        <v>37900</v>
      </c>
      <c r="AC109">
        <f t="shared" si="111"/>
        <v>37900</v>
      </c>
      <c r="AD109">
        <f t="shared" si="112"/>
        <v>0</v>
      </c>
      <c r="AE109">
        <f t="shared" si="113"/>
        <v>0</v>
      </c>
      <c r="AF109">
        <f t="shared" si="114"/>
        <v>0</v>
      </c>
      <c r="AG109">
        <f t="shared" si="87"/>
        <v>0</v>
      </c>
      <c r="AH109">
        <f t="shared" si="115"/>
        <v>0</v>
      </c>
      <c r="AI109">
        <f t="shared" si="116"/>
        <v>0</v>
      </c>
      <c r="AJ109">
        <f t="shared" si="88"/>
        <v>0</v>
      </c>
      <c r="AK109">
        <v>37900</v>
      </c>
      <c r="AL109">
        <v>37900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81</v>
      </c>
      <c r="AU109">
        <v>72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4.59</v>
      </c>
      <c r="BH109">
        <v>3</v>
      </c>
      <c r="BI109">
        <v>1</v>
      </c>
      <c r="BJ109" t="s">
        <v>84</v>
      </c>
      <c r="BM109">
        <v>9001</v>
      </c>
      <c r="BN109">
        <v>0</v>
      </c>
      <c r="BO109" t="s">
        <v>82</v>
      </c>
      <c r="BP109">
        <v>1</v>
      </c>
      <c r="BQ109">
        <v>23</v>
      </c>
      <c r="BR109">
        <v>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90</v>
      </c>
      <c r="CA109">
        <v>85</v>
      </c>
      <c r="CE109">
        <v>0</v>
      </c>
      <c r="CF109">
        <v>0</v>
      </c>
      <c r="CG109">
        <v>0</v>
      </c>
      <c r="CM109">
        <v>0</v>
      </c>
      <c r="CO109">
        <v>0</v>
      </c>
      <c r="CP109">
        <f t="shared" si="89"/>
        <v>-70.11</v>
      </c>
      <c r="CQ109">
        <f t="shared" si="90"/>
        <v>173961</v>
      </c>
      <c r="CR109">
        <f t="shared" si="91"/>
        <v>0</v>
      </c>
      <c r="CS109">
        <f t="shared" si="92"/>
        <v>0</v>
      </c>
      <c r="CT109">
        <f t="shared" si="93"/>
        <v>0</v>
      </c>
      <c r="CU109">
        <f t="shared" si="94"/>
        <v>0</v>
      </c>
      <c r="CV109">
        <f t="shared" si="95"/>
        <v>0</v>
      </c>
      <c r="CW109">
        <f t="shared" si="96"/>
        <v>0</v>
      </c>
      <c r="CX109">
        <f t="shared" si="97"/>
        <v>0</v>
      </c>
      <c r="CY109">
        <f t="shared" si="98"/>
        <v>0</v>
      </c>
      <c r="CZ109">
        <f t="shared" si="99"/>
        <v>0</v>
      </c>
      <c r="DN109">
        <v>0</v>
      </c>
      <c r="DO109">
        <v>0</v>
      </c>
      <c r="DP109">
        <v>1</v>
      </c>
      <c r="DQ109">
        <v>1</v>
      </c>
      <c r="DU109">
        <v>1009</v>
      </c>
      <c r="DV109" t="s">
        <v>50</v>
      </c>
      <c r="DW109" t="s">
        <v>50</v>
      </c>
      <c r="DX109">
        <v>1000</v>
      </c>
      <c r="EE109">
        <v>49315466</v>
      </c>
      <c r="EF109">
        <v>23</v>
      </c>
      <c r="EG109" t="s">
        <v>55</v>
      </c>
      <c r="EH109">
        <v>0</v>
      </c>
      <c r="EJ109">
        <v>1</v>
      </c>
      <c r="EK109">
        <v>9001</v>
      </c>
      <c r="EL109" t="s">
        <v>56</v>
      </c>
      <c r="EM109" t="s">
        <v>57</v>
      </c>
      <c r="EQ109">
        <v>0</v>
      </c>
      <c r="ER109">
        <v>37900</v>
      </c>
      <c r="ES109">
        <v>37900</v>
      </c>
      <c r="ET109">
        <v>0</v>
      </c>
      <c r="EU109">
        <v>0</v>
      </c>
      <c r="EV109">
        <v>0</v>
      </c>
      <c r="EW109">
        <v>0</v>
      </c>
      <c r="EX109">
        <v>0</v>
      </c>
      <c r="FQ109">
        <v>0</v>
      </c>
      <c r="FR109">
        <f t="shared" si="100"/>
        <v>0</v>
      </c>
      <c r="FS109">
        <v>0</v>
      </c>
      <c r="FT109" t="s">
        <v>37</v>
      </c>
      <c r="FU109" t="s">
        <v>38</v>
      </c>
      <c r="FX109">
        <v>81</v>
      </c>
      <c r="FY109">
        <v>72.25</v>
      </c>
      <c r="GD109">
        <v>1</v>
      </c>
      <c r="GF109">
        <v>-1908218251</v>
      </c>
      <c r="GG109">
        <v>2</v>
      </c>
      <c r="GH109">
        <v>1</v>
      </c>
      <c r="GI109">
        <v>2</v>
      </c>
      <c r="GJ109">
        <v>0</v>
      </c>
      <c r="GK109">
        <v>0</v>
      </c>
      <c r="GL109">
        <f t="shared" si="101"/>
        <v>0</v>
      </c>
      <c r="GM109">
        <f t="shared" si="102"/>
        <v>-70.11</v>
      </c>
      <c r="GN109">
        <f t="shared" si="103"/>
        <v>-70.11</v>
      </c>
      <c r="GO109">
        <f t="shared" si="104"/>
        <v>0</v>
      </c>
      <c r="GP109">
        <f t="shared" si="105"/>
        <v>0</v>
      </c>
      <c r="GR109">
        <v>0</v>
      </c>
      <c r="GS109">
        <v>3</v>
      </c>
      <c r="GT109">
        <v>0</v>
      </c>
      <c r="GV109">
        <f t="shared" si="106"/>
        <v>0</v>
      </c>
      <c r="GW109">
        <v>1</v>
      </c>
      <c r="GX109">
        <f t="shared" si="107"/>
        <v>0</v>
      </c>
      <c r="HA109">
        <v>0</v>
      </c>
      <c r="HB109">
        <v>0</v>
      </c>
      <c r="HC109">
        <f t="shared" si="108"/>
        <v>0</v>
      </c>
      <c r="IK109">
        <v>0</v>
      </c>
    </row>
    <row r="110" spans="1:255" ht="12.75">
      <c r="A110" s="2">
        <v>17</v>
      </c>
      <c r="B110" s="2">
        <v>1</v>
      </c>
      <c r="C110" s="2">
        <f>ROW(SmtRes!A112)</f>
        <v>112</v>
      </c>
      <c r="D110" s="2">
        <f>ROW(EtalonRes!A118)</f>
        <v>118</v>
      </c>
      <c r="E110" s="2" t="s">
        <v>165</v>
      </c>
      <c r="F110" s="2" t="s">
        <v>166</v>
      </c>
      <c r="G110" s="2" t="s">
        <v>167</v>
      </c>
      <c r="H110" s="2" t="s">
        <v>168</v>
      </c>
      <c r="I110" s="2">
        <f>ROUND(1/100,7)</f>
        <v>0.01</v>
      </c>
      <c r="J110" s="2">
        <v>0</v>
      </c>
      <c r="K110" s="2">
        <f>ROUND(1/100,7)</f>
        <v>0.01</v>
      </c>
      <c r="L110" s="2"/>
      <c r="M110" s="2"/>
      <c r="N110" s="2"/>
      <c r="O110" s="2">
        <f t="shared" si="74"/>
        <v>16.44</v>
      </c>
      <c r="P110" s="2">
        <f t="shared" si="75"/>
        <v>0</v>
      </c>
      <c r="Q110" s="2">
        <f t="shared" si="76"/>
        <v>2.06</v>
      </c>
      <c r="R110" s="2">
        <f t="shared" si="77"/>
        <v>0</v>
      </c>
      <c r="S110" s="2">
        <f t="shared" si="78"/>
        <v>14.38</v>
      </c>
      <c r="T110" s="2">
        <f t="shared" si="79"/>
        <v>0</v>
      </c>
      <c r="U110" s="2">
        <f t="shared" si="80"/>
        <v>1.7930000000000001</v>
      </c>
      <c r="V110" s="2">
        <f t="shared" si="81"/>
        <v>0</v>
      </c>
      <c r="W110" s="2">
        <f t="shared" si="82"/>
        <v>0</v>
      </c>
      <c r="X110" s="2">
        <f t="shared" si="83"/>
        <v>11.79</v>
      </c>
      <c r="Y110" s="2">
        <f t="shared" si="84"/>
        <v>8.92</v>
      </c>
      <c r="Z110" s="2"/>
      <c r="AA110" s="2">
        <v>50947576</v>
      </c>
      <c r="AB110" s="2">
        <f t="shared" si="85"/>
        <v>1643.9</v>
      </c>
      <c r="AC110" s="2">
        <f t="shared" si="111"/>
        <v>0</v>
      </c>
      <c r="AD110" s="2">
        <f t="shared" si="112"/>
        <v>205.91</v>
      </c>
      <c r="AE110" s="2">
        <f t="shared" si="113"/>
        <v>0</v>
      </c>
      <c r="AF110" s="2">
        <f t="shared" si="114"/>
        <v>1437.99</v>
      </c>
      <c r="AG110" s="2">
        <f t="shared" si="87"/>
        <v>0</v>
      </c>
      <c r="AH110" s="2">
        <f t="shared" si="115"/>
        <v>179.3</v>
      </c>
      <c r="AI110" s="2">
        <f t="shared" si="116"/>
        <v>0</v>
      </c>
      <c r="AJ110" s="2">
        <f t="shared" si="88"/>
        <v>0</v>
      </c>
      <c r="AK110" s="2">
        <v>1643.9</v>
      </c>
      <c r="AL110" s="2">
        <v>0</v>
      </c>
      <c r="AM110" s="2">
        <v>205.91</v>
      </c>
      <c r="AN110" s="2">
        <v>0</v>
      </c>
      <c r="AO110" s="2">
        <v>1437.99</v>
      </c>
      <c r="AP110" s="2">
        <v>0</v>
      </c>
      <c r="AQ110" s="2">
        <v>179.3</v>
      </c>
      <c r="AR110" s="2">
        <v>0</v>
      </c>
      <c r="AS110" s="2">
        <v>0</v>
      </c>
      <c r="AT110" s="2">
        <v>82</v>
      </c>
      <c r="AU110" s="2">
        <v>62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3</v>
      </c>
      <c r="BE110" s="2" t="s">
        <v>3</v>
      </c>
      <c r="BF110" s="2" t="s">
        <v>3</v>
      </c>
      <c r="BG110" s="2" t="s">
        <v>3</v>
      </c>
      <c r="BH110" s="2">
        <v>0</v>
      </c>
      <c r="BI110" s="2">
        <v>1</v>
      </c>
      <c r="BJ110" s="2" t="s">
        <v>169</v>
      </c>
      <c r="BK110" s="2"/>
      <c r="BL110" s="2"/>
      <c r="BM110" s="2">
        <v>56001</v>
      </c>
      <c r="BN110" s="2">
        <v>0</v>
      </c>
      <c r="BO110" s="2" t="s">
        <v>3</v>
      </c>
      <c r="BP110" s="2">
        <v>0</v>
      </c>
      <c r="BQ110" s="2">
        <v>6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3</v>
      </c>
      <c r="BZ110" s="2">
        <v>82</v>
      </c>
      <c r="CA110" s="2">
        <v>62</v>
      </c>
      <c r="CB110" s="2" t="s">
        <v>3</v>
      </c>
      <c r="CC110" s="2"/>
      <c r="CD110" s="2"/>
      <c r="CE110" s="2">
        <v>0</v>
      </c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3</v>
      </c>
      <c r="CO110" s="2">
        <v>0</v>
      </c>
      <c r="CP110" s="2">
        <f t="shared" si="89"/>
        <v>16.44</v>
      </c>
      <c r="CQ110" s="2">
        <f t="shared" si="90"/>
        <v>0</v>
      </c>
      <c r="CR110" s="2">
        <f t="shared" si="91"/>
        <v>205.91</v>
      </c>
      <c r="CS110" s="2">
        <f t="shared" si="92"/>
        <v>0</v>
      </c>
      <c r="CT110" s="2">
        <f t="shared" si="93"/>
        <v>1437.99</v>
      </c>
      <c r="CU110" s="2">
        <f t="shared" si="94"/>
        <v>0</v>
      </c>
      <c r="CV110" s="2">
        <f t="shared" si="95"/>
        <v>179.3</v>
      </c>
      <c r="CW110" s="2">
        <f t="shared" si="96"/>
        <v>0</v>
      </c>
      <c r="CX110" s="2">
        <f t="shared" si="97"/>
        <v>0</v>
      </c>
      <c r="CY110" s="2">
        <f t="shared" si="98"/>
        <v>11.7916</v>
      </c>
      <c r="CZ110" s="2">
        <f t="shared" si="99"/>
        <v>8.915600000000001</v>
      </c>
      <c r="DA110" s="2"/>
      <c r="DB110" s="2"/>
      <c r="DC110" s="2" t="s">
        <v>3</v>
      </c>
      <c r="DD110" s="2" t="s">
        <v>3</v>
      </c>
      <c r="DE110" s="2" t="s">
        <v>3</v>
      </c>
      <c r="DF110" s="2" t="s">
        <v>3</v>
      </c>
      <c r="DG110" s="2" t="s">
        <v>3</v>
      </c>
      <c r="DH110" s="2" t="s">
        <v>3</v>
      </c>
      <c r="DI110" s="2" t="s">
        <v>3</v>
      </c>
      <c r="DJ110" s="2" t="s">
        <v>3</v>
      </c>
      <c r="DK110" s="2" t="s">
        <v>3</v>
      </c>
      <c r="DL110" s="2" t="s">
        <v>3</v>
      </c>
      <c r="DM110" s="2" t="s">
        <v>3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1013</v>
      </c>
      <c r="DV110" s="2" t="s">
        <v>168</v>
      </c>
      <c r="DW110" s="2" t="s">
        <v>168</v>
      </c>
      <c r="DX110" s="2">
        <v>1</v>
      </c>
      <c r="DY110" s="2"/>
      <c r="DZ110" s="2" t="s">
        <v>3</v>
      </c>
      <c r="EA110" s="2" t="s">
        <v>3</v>
      </c>
      <c r="EB110" s="2" t="s">
        <v>3</v>
      </c>
      <c r="EC110" s="2" t="s">
        <v>3</v>
      </c>
      <c r="ED110" s="2"/>
      <c r="EE110" s="2">
        <v>49315573</v>
      </c>
      <c r="EF110" s="2">
        <v>6</v>
      </c>
      <c r="EG110" s="2" t="s">
        <v>44</v>
      </c>
      <c r="EH110" s="2">
        <v>0</v>
      </c>
      <c r="EI110" s="2" t="s">
        <v>3</v>
      </c>
      <c r="EJ110" s="2">
        <v>1</v>
      </c>
      <c r="EK110" s="2">
        <v>56001</v>
      </c>
      <c r="EL110" s="2" t="s">
        <v>45</v>
      </c>
      <c r="EM110" s="2" t="s">
        <v>46</v>
      </c>
      <c r="EN110" s="2"/>
      <c r="EO110" s="2" t="s">
        <v>3</v>
      </c>
      <c r="EP110" s="2"/>
      <c r="EQ110" s="2">
        <v>0</v>
      </c>
      <c r="ER110" s="2">
        <v>1643.9</v>
      </c>
      <c r="ES110" s="2">
        <v>0</v>
      </c>
      <c r="ET110" s="2">
        <v>205.91</v>
      </c>
      <c r="EU110" s="2">
        <v>0</v>
      </c>
      <c r="EV110" s="2">
        <v>1437.99</v>
      </c>
      <c r="EW110" s="2">
        <v>179.3</v>
      </c>
      <c r="EX110" s="2">
        <v>0</v>
      </c>
      <c r="EY110" s="2">
        <v>0</v>
      </c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00"/>
        <v>0</v>
      </c>
      <c r="FS110" s="2">
        <v>0</v>
      </c>
      <c r="FT110" s="2"/>
      <c r="FU110" s="2"/>
      <c r="FV110" s="2"/>
      <c r="FW110" s="2"/>
      <c r="FX110" s="2">
        <v>82</v>
      </c>
      <c r="FY110" s="2">
        <v>62</v>
      </c>
      <c r="FZ110" s="2"/>
      <c r="GA110" s="2" t="s">
        <v>3</v>
      </c>
      <c r="GB110" s="2"/>
      <c r="GC110" s="2"/>
      <c r="GD110" s="2">
        <v>1</v>
      </c>
      <c r="GE110" s="2"/>
      <c r="GF110" s="2">
        <v>843842896</v>
      </c>
      <c r="GG110" s="2">
        <v>2</v>
      </c>
      <c r="GH110" s="2">
        <v>1</v>
      </c>
      <c r="GI110" s="2">
        <v>-2</v>
      </c>
      <c r="GJ110" s="2">
        <v>0</v>
      </c>
      <c r="GK110" s="2">
        <v>0</v>
      </c>
      <c r="GL110" s="2">
        <f t="shared" si="101"/>
        <v>0</v>
      </c>
      <c r="GM110" s="2">
        <f t="shared" si="102"/>
        <v>37.15</v>
      </c>
      <c r="GN110" s="2">
        <f t="shared" si="103"/>
        <v>37.15</v>
      </c>
      <c r="GO110" s="2">
        <f t="shared" si="104"/>
        <v>0</v>
      </c>
      <c r="GP110" s="2">
        <f t="shared" si="105"/>
        <v>0</v>
      </c>
      <c r="GQ110" s="2"/>
      <c r="GR110" s="2">
        <v>0</v>
      </c>
      <c r="GS110" s="2">
        <v>3</v>
      </c>
      <c r="GT110" s="2">
        <v>0</v>
      </c>
      <c r="GU110" s="2" t="s">
        <v>3</v>
      </c>
      <c r="GV110" s="2">
        <f t="shared" si="106"/>
        <v>0</v>
      </c>
      <c r="GW110" s="2">
        <v>1</v>
      </c>
      <c r="GX110" s="2">
        <f t="shared" si="107"/>
        <v>0</v>
      </c>
      <c r="GY110" s="2"/>
      <c r="GZ110" s="2"/>
      <c r="HA110" s="2">
        <v>0</v>
      </c>
      <c r="HB110" s="2">
        <v>0</v>
      </c>
      <c r="HC110" s="2">
        <f t="shared" si="108"/>
        <v>0</v>
      </c>
      <c r="HD110" s="2"/>
      <c r="HE110" s="2" t="s">
        <v>3</v>
      </c>
      <c r="HF110" s="2" t="s">
        <v>3</v>
      </c>
      <c r="HG110" s="2"/>
      <c r="HH110" s="2"/>
      <c r="HI110" s="2"/>
      <c r="HJ110" s="2"/>
      <c r="HK110" s="2"/>
      <c r="HL110" s="2"/>
      <c r="HM110" s="2" t="s">
        <v>3</v>
      </c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45" ht="12.75">
      <c r="A111">
        <v>17</v>
      </c>
      <c r="B111">
        <v>1</v>
      </c>
      <c r="C111">
        <f>ROW(SmtRes!A116)</f>
        <v>116</v>
      </c>
      <c r="D111">
        <f>ROW(EtalonRes!A122)</f>
        <v>122</v>
      </c>
      <c r="E111" t="s">
        <v>165</v>
      </c>
      <c r="F111" t="s">
        <v>166</v>
      </c>
      <c r="G111" t="s">
        <v>167</v>
      </c>
      <c r="H111" t="s">
        <v>168</v>
      </c>
      <c r="I111">
        <f>ROUND(1/100,7)</f>
        <v>0.01</v>
      </c>
      <c r="J111">
        <v>0</v>
      </c>
      <c r="K111">
        <f>ROUND(1/100,7)</f>
        <v>0.01</v>
      </c>
      <c r="O111">
        <f t="shared" si="74"/>
        <v>495.01</v>
      </c>
      <c r="P111">
        <f t="shared" si="75"/>
        <v>0</v>
      </c>
      <c r="Q111">
        <f t="shared" si="76"/>
        <v>5.95</v>
      </c>
      <c r="R111">
        <f t="shared" si="77"/>
        <v>0</v>
      </c>
      <c r="S111">
        <f t="shared" si="78"/>
        <v>489.06</v>
      </c>
      <c r="T111">
        <f t="shared" si="79"/>
        <v>0</v>
      </c>
      <c r="U111">
        <f t="shared" si="80"/>
        <v>1.7930000000000001</v>
      </c>
      <c r="V111">
        <f t="shared" si="81"/>
        <v>0</v>
      </c>
      <c r="W111">
        <f t="shared" si="82"/>
        <v>0</v>
      </c>
      <c r="X111">
        <f t="shared" si="83"/>
        <v>401.03</v>
      </c>
      <c r="Y111">
        <f t="shared" si="84"/>
        <v>303.22</v>
      </c>
      <c r="AA111">
        <v>50961513</v>
      </c>
      <c r="AB111">
        <f t="shared" si="85"/>
        <v>1643.9</v>
      </c>
      <c r="AC111">
        <f t="shared" si="111"/>
        <v>0</v>
      </c>
      <c r="AD111">
        <f t="shared" si="112"/>
        <v>205.91</v>
      </c>
      <c r="AE111">
        <f t="shared" si="113"/>
        <v>0</v>
      </c>
      <c r="AF111">
        <f t="shared" si="114"/>
        <v>1437.99</v>
      </c>
      <c r="AG111">
        <f t="shared" si="87"/>
        <v>0</v>
      </c>
      <c r="AH111">
        <f t="shared" si="115"/>
        <v>179.3</v>
      </c>
      <c r="AI111">
        <f t="shared" si="116"/>
        <v>0</v>
      </c>
      <c r="AJ111">
        <f t="shared" si="88"/>
        <v>0</v>
      </c>
      <c r="AK111">
        <v>1643.9</v>
      </c>
      <c r="AL111">
        <v>0</v>
      </c>
      <c r="AM111">
        <v>205.91</v>
      </c>
      <c r="AN111">
        <v>0</v>
      </c>
      <c r="AO111">
        <v>1437.99</v>
      </c>
      <c r="AP111">
        <v>0</v>
      </c>
      <c r="AQ111">
        <v>179.3</v>
      </c>
      <c r="AR111">
        <v>0</v>
      </c>
      <c r="AS111">
        <v>0</v>
      </c>
      <c r="AT111">
        <v>82</v>
      </c>
      <c r="AU111">
        <v>62</v>
      </c>
      <c r="AV111">
        <v>1</v>
      </c>
      <c r="AW111">
        <v>1</v>
      </c>
      <c r="AZ111">
        <v>1</v>
      </c>
      <c r="BA111">
        <v>34.01</v>
      </c>
      <c r="BB111">
        <v>2.89</v>
      </c>
      <c r="BC111">
        <v>1</v>
      </c>
      <c r="BH111">
        <v>0</v>
      </c>
      <c r="BI111">
        <v>1</v>
      </c>
      <c r="BJ111" t="s">
        <v>169</v>
      </c>
      <c r="BM111">
        <v>56001</v>
      </c>
      <c r="BN111">
        <v>0</v>
      </c>
      <c r="BO111" t="s">
        <v>166</v>
      </c>
      <c r="BP111">
        <v>1</v>
      </c>
      <c r="BQ111">
        <v>6</v>
      </c>
      <c r="BR111">
        <v>0</v>
      </c>
      <c r="BS111">
        <v>34.01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82</v>
      </c>
      <c r="CA111">
        <v>62</v>
      </c>
      <c r="CE111">
        <v>0</v>
      </c>
      <c r="CF111">
        <v>0</v>
      </c>
      <c r="CG111">
        <v>0</v>
      </c>
      <c r="CM111">
        <v>0</v>
      </c>
      <c r="CO111">
        <v>0</v>
      </c>
      <c r="CP111">
        <f t="shared" si="89"/>
        <v>495.01</v>
      </c>
      <c r="CQ111">
        <f t="shared" si="90"/>
        <v>0</v>
      </c>
      <c r="CR111">
        <f t="shared" si="91"/>
        <v>595.0799000000001</v>
      </c>
      <c r="CS111">
        <f t="shared" si="92"/>
        <v>0</v>
      </c>
      <c r="CT111">
        <f t="shared" si="93"/>
        <v>48906.039899999996</v>
      </c>
      <c r="CU111">
        <f t="shared" si="94"/>
        <v>0</v>
      </c>
      <c r="CV111">
        <f t="shared" si="95"/>
        <v>179.3</v>
      </c>
      <c r="CW111">
        <f t="shared" si="96"/>
        <v>0</v>
      </c>
      <c r="CX111">
        <f t="shared" si="97"/>
        <v>0</v>
      </c>
      <c r="CY111">
        <f t="shared" si="98"/>
        <v>401.0292</v>
      </c>
      <c r="CZ111">
        <f t="shared" si="99"/>
        <v>303.2172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168</v>
      </c>
      <c r="DW111" t="s">
        <v>168</v>
      </c>
      <c r="DX111">
        <v>1</v>
      </c>
      <c r="EE111">
        <v>49315573</v>
      </c>
      <c r="EF111">
        <v>6</v>
      </c>
      <c r="EG111" t="s">
        <v>44</v>
      </c>
      <c r="EH111">
        <v>0</v>
      </c>
      <c r="EJ111">
        <v>1</v>
      </c>
      <c r="EK111">
        <v>56001</v>
      </c>
      <c r="EL111" t="s">
        <v>45</v>
      </c>
      <c r="EM111" t="s">
        <v>46</v>
      </c>
      <c r="EQ111">
        <v>0</v>
      </c>
      <c r="ER111">
        <v>1643.9</v>
      </c>
      <c r="ES111">
        <v>0</v>
      </c>
      <c r="ET111">
        <v>205.91</v>
      </c>
      <c r="EU111">
        <v>0</v>
      </c>
      <c r="EV111">
        <v>1437.99</v>
      </c>
      <c r="EW111">
        <v>179.3</v>
      </c>
      <c r="EX111">
        <v>0</v>
      </c>
      <c r="EY111">
        <v>0</v>
      </c>
      <c r="FQ111">
        <v>0</v>
      </c>
      <c r="FR111">
        <f t="shared" si="100"/>
        <v>0</v>
      </c>
      <c r="FS111">
        <v>0</v>
      </c>
      <c r="FX111">
        <v>82</v>
      </c>
      <c r="FY111">
        <v>62</v>
      </c>
      <c r="GD111">
        <v>1</v>
      </c>
      <c r="GF111">
        <v>843842896</v>
      </c>
      <c r="GG111">
        <v>2</v>
      </c>
      <c r="GH111">
        <v>1</v>
      </c>
      <c r="GI111">
        <v>2</v>
      </c>
      <c r="GJ111">
        <v>0</v>
      </c>
      <c r="GK111">
        <v>0</v>
      </c>
      <c r="GL111">
        <f t="shared" si="101"/>
        <v>0</v>
      </c>
      <c r="GM111">
        <f t="shared" si="102"/>
        <v>1199.26</v>
      </c>
      <c r="GN111">
        <f t="shared" si="103"/>
        <v>1199.26</v>
      </c>
      <c r="GO111">
        <f t="shared" si="104"/>
        <v>0</v>
      </c>
      <c r="GP111">
        <f t="shared" si="105"/>
        <v>0</v>
      </c>
      <c r="GR111">
        <v>0</v>
      </c>
      <c r="GS111">
        <v>0</v>
      </c>
      <c r="GT111">
        <v>0</v>
      </c>
      <c r="GV111">
        <f t="shared" si="106"/>
        <v>0</v>
      </c>
      <c r="GW111">
        <v>1</v>
      </c>
      <c r="GX111">
        <f t="shared" si="107"/>
        <v>0</v>
      </c>
      <c r="HA111">
        <v>0</v>
      </c>
      <c r="HB111">
        <v>0</v>
      </c>
      <c r="HC111">
        <f t="shared" si="108"/>
        <v>0</v>
      </c>
      <c r="IK111">
        <v>0</v>
      </c>
    </row>
    <row r="112" spans="1:255" ht="12.75">
      <c r="A112" s="2">
        <v>18</v>
      </c>
      <c r="B112" s="2">
        <v>1</v>
      </c>
      <c r="C112" s="2">
        <v>112</v>
      </c>
      <c r="D112" s="2"/>
      <c r="E112" s="2" t="s">
        <v>170</v>
      </c>
      <c r="F112" s="2" t="s">
        <v>48</v>
      </c>
      <c r="G112" s="2" t="s">
        <v>49</v>
      </c>
      <c r="H112" s="2" t="s">
        <v>50</v>
      </c>
      <c r="I112" s="2">
        <f>I110*J112</f>
        <v>0.105</v>
      </c>
      <c r="J112" s="2">
        <v>10.5</v>
      </c>
      <c r="K112" s="2">
        <v>10.5</v>
      </c>
      <c r="L112" s="2"/>
      <c r="M112" s="2"/>
      <c r="N112" s="2"/>
      <c r="O112" s="2">
        <f t="shared" si="74"/>
        <v>0</v>
      </c>
      <c r="P112" s="2">
        <f t="shared" si="75"/>
        <v>0</v>
      </c>
      <c r="Q112" s="2">
        <f t="shared" si="76"/>
        <v>0</v>
      </c>
      <c r="R112" s="2">
        <f t="shared" si="77"/>
        <v>0</v>
      </c>
      <c r="S112" s="2">
        <f t="shared" si="78"/>
        <v>0</v>
      </c>
      <c r="T112" s="2">
        <f t="shared" si="79"/>
        <v>0</v>
      </c>
      <c r="U112" s="2">
        <f t="shared" si="80"/>
        <v>0</v>
      </c>
      <c r="V112" s="2">
        <f t="shared" si="81"/>
        <v>0</v>
      </c>
      <c r="W112" s="2">
        <f t="shared" si="82"/>
        <v>0</v>
      </c>
      <c r="X112" s="2">
        <f t="shared" si="83"/>
        <v>0</v>
      </c>
      <c r="Y112" s="2">
        <f t="shared" si="84"/>
        <v>0</v>
      </c>
      <c r="Z112" s="2"/>
      <c r="AA112" s="2">
        <v>50947576</v>
      </c>
      <c r="AB112" s="2">
        <f t="shared" si="85"/>
        <v>0</v>
      </c>
      <c r="AC112" s="2">
        <f t="shared" si="111"/>
        <v>0</v>
      </c>
      <c r="AD112" s="2">
        <f t="shared" si="112"/>
        <v>0</v>
      </c>
      <c r="AE112" s="2">
        <f t="shared" si="113"/>
        <v>0</v>
      </c>
      <c r="AF112" s="2">
        <f t="shared" si="114"/>
        <v>0</v>
      </c>
      <c r="AG112" s="2">
        <f t="shared" si="87"/>
        <v>0</v>
      </c>
      <c r="AH112" s="2">
        <f t="shared" si="115"/>
        <v>0</v>
      </c>
      <c r="AI112" s="2">
        <f t="shared" si="116"/>
        <v>0</v>
      </c>
      <c r="AJ112" s="2">
        <f t="shared" si="88"/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82</v>
      </c>
      <c r="AU112" s="2">
        <v>62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3</v>
      </c>
      <c r="BE112" s="2" t="s">
        <v>3</v>
      </c>
      <c r="BF112" s="2" t="s">
        <v>3</v>
      </c>
      <c r="BG112" s="2" t="s">
        <v>3</v>
      </c>
      <c r="BH112" s="2">
        <v>3</v>
      </c>
      <c r="BI112" s="2">
        <v>1</v>
      </c>
      <c r="BJ112" s="2" t="s">
        <v>3</v>
      </c>
      <c r="BK112" s="2"/>
      <c r="BL112" s="2"/>
      <c r="BM112" s="2">
        <v>56001</v>
      </c>
      <c r="BN112" s="2">
        <v>0</v>
      </c>
      <c r="BO112" s="2" t="s">
        <v>3</v>
      </c>
      <c r="BP112" s="2">
        <v>0</v>
      </c>
      <c r="BQ112" s="2">
        <v>6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3</v>
      </c>
      <c r="BZ112" s="2">
        <v>82</v>
      </c>
      <c r="CA112" s="2">
        <v>62</v>
      </c>
      <c r="CB112" s="2" t="s">
        <v>3</v>
      </c>
      <c r="CC112" s="2"/>
      <c r="CD112" s="2"/>
      <c r="CE112" s="2">
        <v>0</v>
      </c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3</v>
      </c>
      <c r="CO112" s="2">
        <v>0</v>
      </c>
      <c r="CP112" s="2">
        <f t="shared" si="89"/>
        <v>0</v>
      </c>
      <c r="CQ112" s="2">
        <f t="shared" si="90"/>
        <v>0</v>
      </c>
      <c r="CR112" s="2">
        <f t="shared" si="91"/>
        <v>0</v>
      </c>
      <c r="CS112" s="2">
        <f t="shared" si="92"/>
        <v>0</v>
      </c>
      <c r="CT112" s="2">
        <f t="shared" si="93"/>
        <v>0</v>
      </c>
      <c r="CU112" s="2">
        <f t="shared" si="94"/>
        <v>0</v>
      </c>
      <c r="CV112" s="2">
        <f t="shared" si="95"/>
        <v>0</v>
      </c>
      <c r="CW112" s="2">
        <f t="shared" si="96"/>
        <v>0</v>
      </c>
      <c r="CX112" s="2">
        <f t="shared" si="97"/>
        <v>0</v>
      </c>
      <c r="CY112" s="2">
        <f t="shared" si="98"/>
        <v>0</v>
      </c>
      <c r="CZ112" s="2">
        <f t="shared" si="99"/>
        <v>0</v>
      </c>
      <c r="DA112" s="2"/>
      <c r="DB112" s="2"/>
      <c r="DC112" s="2" t="s">
        <v>3</v>
      </c>
      <c r="DD112" s="2" t="s">
        <v>3</v>
      </c>
      <c r="DE112" s="2" t="s">
        <v>3</v>
      </c>
      <c r="DF112" s="2" t="s">
        <v>3</v>
      </c>
      <c r="DG112" s="2" t="s">
        <v>3</v>
      </c>
      <c r="DH112" s="2" t="s">
        <v>3</v>
      </c>
      <c r="DI112" s="2" t="s">
        <v>3</v>
      </c>
      <c r="DJ112" s="2" t="s">
        <v>3</v>
      </c>
      <c r="DK112" s="2" t="s">
        <v>3</v>
      </c>
      <c r="DL112" s="2" t="s">
        <v>3</v>
      </c>
      <c r="DM112" s="2" t="s">
        <v>3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1009</v>
      </c>
      <c r="DV112" s="2" t="s">
        <v>50</v>
      </c>
      <c r="DW112" s="2" t="s">
        <v>50</v>
      </c>
      <c r="DX112" s="2">
        <v>1000</v>
      </c>
      <c r="DY112" s="2"/>
      <c r="DZ112" s="2" t="s">
        <v>3</v>
      </c>
      <c r="EA112" s="2" t="s">
        <v>3</v>
      </c>
      <c r="EB112" s="2" t="s">
        <v>3</v>
      </c>
      <c r="EC112" s="2" t="s">
        <v>3</v>
      </c>
      <c r="ED112" s="2"/>
      <c r="EE112" s="2">
        <v>49315573</v>
      </c>
      <c r="EF112" s="2">
        <v>6</v>
      </c>
      <c r="EG112" s="2" t="s">
        <v>44</v>
      </c>
      <c r="EH112" s="2">
        <v>0</v>
      </c>
      <c r="EI112" s="2" t="s">
        <v>3</v>
      </c>
      <c r="EJ112" s="2">
        <v>1</v>
      </c>
      <c r="EK112" s="2">
        <v>56001</v>
      </c>
      <c r="EL112" s="2" t="s">
        <v>45</v>
      </c>
      <c r="EM112" s="2" t="s">
        <v>46</v>
      </c>
      <c r="EN112" s="2"/>
      <c r="EO112" s="2" t="s">
        <v>3</v>
      </c>
      <c r="EP112" s="2"/>
      <c r="EQ112" s="2">
        <v>0</v>
      </c>
      <c r="ER112" s="2">
        <v>0</v>
      </c>
      <c r="ES112" s="2">
        <v>0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00"/>
        <v>0</v>
      </c>
      <c r="FS112" s="2">
        <v>0</v>
      </c>
      <c r="FT112" s="2"/>
      <c r="FU112" s="2"/>
      <c r="FV112" s="2"/>
      <c r="FW112" s="2"/>
      <c r="FX112" s="2">
        <v>82</v>
      </c>
      <c r="FY112" s="2">
        <v>62</v>
      </c>
      <c r="FZ112" s="2"/>
      <c r="GA112" s="2" t="s">
        <v>3</v>
      </c>
      <c r="GB112" s="2"/>
      <c r="GC112" s="2"/>
      <c r="GD112" s="2">
        <v>1</v>
      </c>
      <c r="GE112" s="2"/>
      <c r="GF112" s="2">
        <v>2102561428</v>
      </c>
      <c r="GG112" s="2">
        <v>2</v>
      </c>
      <c r="GH112" s="2">
        <v>1</v>
      </c>
      <c r="GI112" s="2">
        <v>-2</v>
      </c>
      <c r="GJ112" s="2">
        <v>0</v>
      </c>
      <c r="GK112" s="2">
        <v>0</v>
      </c>
      <c r="GL112" s="2">
        <f t="shared" si="101"/>
        <v>0</v>
      </c>
      <c r="GM112" s="2">
        <f t="shared" si="102"/>
        <v>0</v>
      </c>
      <c r="GN112" s="2">
        <f t="shared" si="103"/>
        <v>0</v>
      </c>
      <c r="GO112" s="2">
        <f t="shared" si="104"/>
        <v>0</v>
      </c>
      <c r="GP112" s="2">
        <f t="shared" si="105"/>
        <v>0</v>
      </c>
      <c r="GQ112" s="2"/>
      <c r="GR112" s="2">
        <v>0</v>
      </c>
      <c r="GS112" s="2">
        <v>3</v>
      </c>
      <c r="GT112" s="2">
        <v>0</v>
      </c>
      <c r="GU112" s="2" t="s">
        <v>3</v>
      </c>
      <c r="GV112" s="2">
        <f t="shared" si="106"/>
        <v>0</v>
      </c>
      <c r="GW112" s="2">
        <v>1</v>
      </c>
      <c r="GX112" s="2">
        <f t="shared" si="107"/>
        <v>0</v>
      </c>
      <c r="GY112" s="2"/>
      <c r="GZ112" s="2"/>
      <c r="HA112" s="2">
        <v>0</v>
      </c>
      <c r="HB112" s="2">
        <v>0</v>
      </c>
      <c r="HC112" s="2">
        <f t="shared" si="108"/>
        <v>0</v>
      </c>
      <c r="HD112" s="2"/>
      <c r="HE112" s="2" t="s">
        <v>3</v>
      </c>
      <c r="HF112" s="2" t="s">
        <v>3</v>
      </c>
      <c r="HG112" s="2"/>
      <c r="HH112" s="2"/>
      <c r="HI112" s="2"/>
      <c r="HJ112" s="2"/>
      <c r="HK112" s="2"/>
      <c r="HL112" s="2"/>
      <c r="HM112" s="2" t="s">
        <v>3</v>
      </c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45" ht="12.75">
      <c r="A113">
        <v>18</v>
      </c>
      <c r="B113">
        <v>1</v>
      </c>
      <c r="C113">
        <v>116</v>
      </c>
      <c r="E113" t="s">
        <v>170</v>
      </c>
      <c r="F113" t="s">
        <v>48</v>
      </c>
      <c r="G113" t="s">
        <v>49</v>
      </c>
      <c r="H113" t="s">
        <v>50</v>
      </c>
      <c r="I113">
        <f>I111*J113</f>
        <v>0.105</v>
      </c>
      <c r="J113">
        <v>10.5</v>
      </c>
      <c r="K113">
        <v>10.5</v>
      </c>
      <c r="O113">
        <f t="shared" si="74"/>
        <v>0</v>
      </c>
      <c r="P113">
        <f t="shared" si="75"/>
        <v>0</v>
      </c>
      <c r="Q113">
        <f t="shared" si="76"/>
        <v>0</v>
      </c>
      <c r="R113">
        <f t="shared" si="77"/>
        <v>0</v>
      </c>
      <c r="S113">
        <f t="shared" si="78"/>
        <v>0</v>
      </c>
      <c r="T113">
        <f t="shared" si="79"/>
        <v>0</v>
      </c>
      <c r="U113">
        <f t="shared" si="80"/>
        <v>0</v>
      </c>
      <c r="V113">
        <f t="shared" si="81"/>
        <v>0</v>
      </c>
      <c r="W113">
        <f t="shared" si="82"/>
        <v>0</v>
      </c>
      <c r="X113">
        <f t="shared" si="83"/>
        <v>0</v>
      </c>
      <c r="Y113">
        <f t="shared" si="84"/>
        <v>0</v>
      </c>
      <c r="AA113">
        <v>50961513</v>
      </c>
      <c r="AB113">
        <f t="shared" si="85"/>
        <v>0</v>
      </c>
      <c r="AC113">
        <f t="shared" si="111"/>
        <v>0</v>
      </c>
      <c r="AD113">
        <f t="shared" si="112"/>
        <v>0</v>
      </c>
      <c r="AE113">
        <f t="shared" si="113"/>
        <v>0</v>
      </c>
      <c r="AF113">
        <f t="shared" si="114"/>
        <v>0</v>
      </c>
      <c r="AG113">
        <f t="shared" si="87"/>
        <v>0</v>
      </c>
      <c r="AH113">
        <f t="shared" si="115"/>
        <v>0</v>
      </c>
      <c r="AI113">
        <f t="shared" si="116"/>
        <v>0</v>
      </c>
      <c r="AJ113">
        <f t="shared" si="88"/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82</v>
      </c>
      <c r="AU113">
        <v>62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1</v>
      </c>
      <c r="BH113">
        <v>3</v>
      </c>
      <c r="BI113">
        <v>1</v>
      </c>
      <c r="BM113">
        <v>56001</v>
      </c>
      <c r="BN113">
        <v>0</v>
      </c>
      <c r="BP113">
        <v>0</v>
      </c>
      <c r="BQ113">
        <v>6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Z113">
        <v>82</v>
      </c>
      <c r="CA113">
        <v>62</v>
      </c>
      <c r="CE113">
        <v>0</v>
      </c>
      <c r="CF113">
        <v>0</v>
      </c>
      <c r="CG113">
        <v>0</v>
      </c>
      <c r="CM113">
        <v>0</v>
      </c>
      <c r="CO113">
        <v>0</v>
      </c>
      <c r="CP113">
        <f t="shared" si="89"/>
        <v>0</v>
      </c>
      <c r="CQ113">
        <f t="shared" si="90"/>
        <v>0</v>
      </c>
      <c r="CR113">
        <f t="shared" si="91"/>
        <v>0</v>
      </c>
      <c r="CS113">
        <f t="shared" si="92"/>
        <v>0</v>
      </c>
      <c r="CT113">
        <f t="shared" si="93"/>
        <v>0</v>
      </c>
      <c r="CU113">
        <f t="shared" si="94"/>
        <v>0</v>
      </c>
      <c r="CV113">
        <f t="shared" si="95"/>
        <v>0</v>
      </c>
      <c r="CW113">
        <f t="shared" si="96"/>
        <v>0</v>
      </c>
      <c r="CX113">
        <f t="shared" si="97"/>
        <v>0</v>
      </c>
      <c r="CY113">
        <f t="shared" si="98"/>
        <v>0</v>
      </c>
      <c r="CZ113">
        <f t="shared" si="99"/>
        <v>0</v>
      </c>
      <c r="DN113">
        <v>0</v>
      </c>
      <c r="DO113">
        <v>0</v>
      </c>
      <c r="DP113">
        <v>1</v>
      </c>
      <c r="DQ113">
        <v>1</v>
      </c>
      <c r="DU113">
        <v>1009</v>
      </c>
      <c r="DV113" t="s">
        <v>50</v>
      </c>
      <c r="DW113" t="s">
        <v>50</v>
      </c>
      <c r="DX113">
        <v>1000</v>
      </c>
      <c r="EE113">
        <v>49315573</v>
      </c>
      <c r="EF113">
        <v>6</v>
      </c>
      <c r="EG113" t="s">
        <v>44</v>
      </c>
      <c r="EH113">
        <v>0</v>
      </c>
      <c r="EJ113">
        <v>1</v>
      </c>
      <c r="EK113">
        <v>56001</v>
      </c>
      <c r="EL113" t="s">
        <v>45</v>
      </c>
      <c r="EM113" t="s">
        <v>46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 t="shared" si="100"/>
        <v>0</v>
      </c>
      <c r="FS113">
        <v>0</v>
      </c>
      <c r="FX113">
        <v>82</v>
      </c>
      <c r="FY113">
        <v>62</v>
      </c>
      <c r="GD113">
        <v>1</v>
      </c>
      <c r="GF113">
        <v>2102561428</v>
      </c>
      <c r="GG113">
        <v>2</v>
      </c>
      <c r="GH113">
        <v>1</v>
      </c>
      <c r="GI113">
        <v>-2</v>
      </c>
      <c r="GJ113">
        <v>0</v>
      </c>
      <c r="GK113">
        <v>0</v>
      </c>
      <c r="GL113">
        <f t="shared" si="101"/>
        <v>0</v>
      </c>
      <c r="GM113">
        <f t="shared" si="102"/>
        <v>0</v>
      </c>
      <c r="GN113">
        <f t="shared" si="103"/>
        <v>0</v>
      </c>
      <c r="GO113">
        <f t="shared" si="104"/>
        <v>0</v>
      </c>
      <c r="GP113">
        <f t="shared" si="105"/>
        <v>0</v>
      </c>
      <c r="GR113">
        <v>0</v>
      </c>
      <c r="GS113">
        <v>0</v>
      </c>
      <c r="GT113">
        <v>0</v>
      </c>
      <c r="GV113">
        <f t="shared" si="106"/>
        <v>0</v>
      </c>
      <c r="GW113">
        <v>1</v>
      </c>
      <c r="GX113">
        <f t="shared" si="107"/>
        <v>0</v>
      </c>
      <c r="HA113">
        <v>0</v>
      </c>
      <c r="HB113">
        <v>0</v>
      </c>
      <c r="HC113">
        <f t="shared" si="108"/>
        <v>0</v>
      </c>
      <c r="IK113">
        <v>0</v>
      </c>
    </row>
    <row r="114" spans="1:255" ht="12.75">
      <c r="A114" s="2">
        <v>17</v>
      </c>
      <c r="B114" s="2">
        <v>1</v>
      </c>
      <c r="C114" s="2">
        <f>ROW(SmtRes!A124)</f>
        <v>124</v>
      </c>
      <c r="D114" s="2">
        <f>ROW(EtalonRes!A130)</f>
        <v>130</v>
      </c>
      <c r="E114" s="2" t="s">
        <v>171</v>
      </c>
      <c r="F114" s="2" t="s">
        <v>172</v>
      </c>
      <c r="G114" s="2" t="s">
        <v>173</v>
      </c>
      <c r="H114" s="2" t="s">
        <v>174</v>
      </c>
      <c r="I114" s="2">
        <f>ROUND(ROUND(2.34,2),7)</f>
        <v>2.34</v>
      </c>
      <c r="J114" s="2">
        <v>0</v>
      </c>
      <c r="K114" s="2">
        <f>ROUND(ROUND(2.34,2),7)</f>
        <v>2.34</v>
      </c>
      <c r="L114" s="2"/>
      <c r="M114" s="2"/>
      <c r="N114" s="2"/>
      <c r="O114" s="2">
        <f t="shared" si="74"/>
        <v>217.95</v>
      </c>
      <c r="P114" s="2">
        <f t="shared" si="75"/>
        <v>121.56</v>
      </c>
      <c r="Q114" s="2">
        <f t="shared" si="76"/>
        <v>21.12</v>
      </c>
      <c r="R114" s="2">
        <f t="shared" si="77"/>
        <v>0.67</v>
      </c>
      <c r="S114" s="2">
        <f t="shared" si="78"/>
        <v>75.27</v>
      </c>
      <c r="T114" s="2">
        <f t="shared" si="79"/>
        <v>0</v>
      </c>
      <c r="U114" s="2">
        <f t="shared" si="80"/>
        <v>7.480979999999999</v>
      </c>
      <c r="V114" s="2">
        <f t="shared" si="81"/>
        <v>0.058499999999999996</v>
      </c>
      <c r="W114" s="2">
        <f t="shared" si="82"/>
        <v>0</v>
      </c>
      <c r="X114" s="2">
        <f t="shared" si="83"/>
        <v>61.51</v>
      </c>
      <c r="Y114" s="2">
        <f t="shared" si="84"/>
        <v>54.68</v>
      </c>
      <c r="Z114" s="2"/>
      <c r="AA114" s="2">
        <v>50947576</v>
      </c>
      <c r="AB114" s="2">
        <f t="shared" si="85"/>
        <v>93.1405</v>
      </c>
      <c r="AC114" s="2">
        <f t="shared" si="111"/>
        <v>51.95</v>
      </c>
      <c r="AD114" s="2">
        <f>ROUND(((((ET114*ROUND(1.25,7)))-((EU114*ROUND(1.25,7))))+AE114),6)</f>
        <v>9.025</v>
      </c>
      <c r="AE114" s="2">
        <f>ROUND(((EU114*ROUND(1.25,7))),6)</f>
        <v>0.2875</v>
      </c>
      <c r="AF114" s="2">
        <f>ROUND(((EV114*ROUND(1.15,7))),6)</f>
        <v>32.1655</v>
      </c>
      <c r="AG114" s="2">
        <f t="shared" si="87"/>
        <v>0</v>
      </c>
      <c r="AH114" s="2">
        <f>((EW114*ROUND(1.15,7)))</f>
        <v>3.1969999999999996</v>
      </c>
      <c r="AI114" s="2">
        <f>((EX114*ROUND(1.25,7)))</f>
        <v>0.025</v>
      </c>
      <c r="AJ114" s="2">
        <f t="shared" si="88"/>
        <v>0</v>
      </c>
      <c r="AK114" s="2">
        <v>87.14</v>
      </c>
      <c r="AL114" s="2">
        <v>51.95</v>
      </c>
      <c r="AM114" s="2">
        <v>7.22</v>
      </c>
      <c r="AN114" s="2">
        <v>0.23</v>
      </c>
      <c r="AO114" s="2">
        <v>27.97</v>
      </c>
      <c r="AP114" s="2">
        <v>0</v>
      </c>
      <c r="AQ114" s="2">
        <v>2.78</v>
      </c>
      <c r="AR114" s="2">
        <v>0.02</v>
      </c>
      <c r="AS114" s="2">
        <v>0</v>
      </c>
      <c r="AT114" s="2">
        <v>81</v>
      </c>
      <c r="AU114" s="2">
        <v>72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3</v>
      </c>
      <c r="BE114" s="2" t="s">
        <v>3</v>
      </c>
      <c r="BF114" s="2" t="s">
        <v>3</v>
      </c>
      <c r="BG114" s="2" t="s">
        <v>3</v>
      </c>
      <c r="BH114" s="2">
        <v>0</v>
      </c>
      <c r="BI114" s="2">
        <v>1</v>
      </c>
      <c r="BJ114" s="2" t="s">
        <v>175</v>
      </c>
      <c r="BK114" s="2"/>
      <c r="BL114" s="2"/>
      <c r="BM114" s="2">
        <v>9001</v>
      </c>
      <c r="BN114" s="2">
        <v>0</v>
      </c>
      <c r="BO114" s="2" t="s">
        <v>3</v>
      </c>
      <c r="BP114" s="2">
        <v>0</v>
      </c>
      <c r="BQ114" s="2">
        <v>23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3</v>
      </c>
      <c r="BZ114" s="2">
        <v>90</v>
      </c>
      <c r="CA114" s="2">
        <v>85</v>
      </c>
      <c r="CB114" s="2" t="s">
        <v>3</v>
      </c>
      <c r="CC114" s="2"/>
      <c r="CD114" s="2"/>
      <c r="CE114" s="2">
        <v>0</v>
      </c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390</v>
      </c>
      <c r="CO114" s="2">
        <v>0</v>
      </c>
      <c r="CP114" s="2">
        <f t="shared" si="89"/>
        <v>217.95</v>
      </c>
      <c r="CQ114" s="2">
        <f t="shared" si="90"/>
        <v>51.95</v>
      </c>
      <c r="CR114" s="2">
        <f t="shared" si="91"/>
        <v>9.025</v>
      </c>
      <c r="CS114" s="2">
        <f t="shared" si="92"/>
        <v>0.2875</v>
      </c>
      <c r="CT114" s="2">
        <f t="shared" si="93"/>
        <v>32.1655</v>
      </c>
      <c r="CU114" s="2">
        <f t="shared" si="94"/>
        <v>0</v>
      </c>
      <c r="CV114" s="2">
        <f t="shared" si="95"/>
        <v>3.1969999999999996</v>
      </c>
      <c r="CW114" s="2">
        <f t="shared" si="96"/>
        <v>0.025</v>
      </c>
      <c r="CX114" s="2">
        <f t="shared" si="97"/>
        <v>0</v>
      </c>
      <c r="CY114" s="2">
        <f t="shared" si="98"/>
        <v>61.511399999999995</v>
      </c>
      <c r="CZ114" s="2">
        <f t="shared" si="99"/>
        <v>54.6768</v>
      </c>
      <c r="DA114" s="2"/>
      <c r="DB114" s="2"/>
      <c r="DC114" s="2" t="s">
        <v>3</v>
      </c>
      <c r="DD114" s="2" t="s">
        <v>3</v>
      </c>
      <c r="DE114" s="2" t="s">
        <v>31</v>
      </c>
      <c r="DF114" s="2" t="s">
        <v>31</v>
      </c>
      <c r="DG114" s="2" t="s">
        <v>32</v>
      </c>
      <c r="DH114" s="2" t="s">
        <v>3</v>
      </c>
      <c r="DI114" s="2" t="s">
        <v>32</v>
      </c>
      <c r="DJ114" s="2" t="s">
        <v>31</v>
      </c>
      <c r="DK114" s="2" t="s">
        <v>3</v>
      </c>
      <c r="DL114" s="2" t="s">
        <v>3</v>
      </c>
      <c r="DM114" s="2" t="s">
        <v>3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1005</v>
      </c>
      <c r="DV114" s="2" t="s">
        <v>174</v>
      </c>
      <c r="DW114" s="2" t="s">
        <v>174</v>
      </c>
      <c r="DX114" s="2">
        <v>1</v>
      </c>
      <c r="DY114" s="2"/>
      <c r="DZ114" s="2" t="s">
        <v>3</v>
      </c>
      <c r="EA114" s="2" t="s">
        <v>3</v>
      </c>
      <c r="EB114" s="2" t="s">
        <v>3</v>
      </c>
      <c r="EC114" s="2" t="s">
        <v>3</v>
      </c>
      <c r="ED114" s="2"/>
      <c r="EE114" s="2">
        <v>49315466</v>
      </c>
      <c r="EF114" s="2">
        <v>23</v>
      </c>
      <c r="EG114" s="2" t="s">
        <v>55</v>
      </c>
      <c r="EH114" s="2">
        <v>0</v>
      </c>
      <c r="EI114" s="2" t="s">
        <v>3</v>
      </c>
      <c r="EJ114" s="2">
        <v>1</v>
      </c>
      <c r="EK114" s="2">
        <v>9001</v>
      </c>
      <c r="EL114" s="2" t="s">
        <v>56</v>
      </c>
      <c r="EM114" s="2" t="s">
        <v>57</v>
      </c>
      <c r="EN114" s="2"/>
      <c r="EO114" s="2" t="s">
        <v>36</v>
      </c>
      <c r="EP114" s="2"/>
      <c r="EQ114" s="2">
        <v>0</v>
      </c>
      <c r="ER114" s="2">
        <v>87.14</v>
      </c>
      <c r="ES114" s="2">
        <v>51.95</v>
      </c>
      <c r="ET114" s="2">
        <v>7.22</v>
      </c>
      <c r="EU114" s="2">
        <v>0.23</v>
      </c>
      <c r="EV114" s="2">
        <v>27.97</v>
      </c>
      <c r="EW114" s="2">
        <v>2.78</v>
      </c>
      <c r="EX114" s="2">
        <v>0.02</v>
      </c>
      <c r="EY114" s="2">
        <v>0</v>
      </c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00"/>
        <v>0</v>
      </c>
      <c r="FS114" s="2">
        <v>0</v>
      </c>
      <c r="FT114" s="2" t="s">
        <v>37</v>
      </c>
      <c r="FU114" s="2" t="s">
        <v>38</v>
      </c>
      <c r="FV114" s="2"/>
      <c r="FW114" s="2"/>
      <c r="FX114" s="2">
        <v>81</v>
      </c>
      <c r="FY114" s="2">
        <v>72.25</v>
      </c>
      <c r="FZ114" s="2"/>
      <c r="GA114" s="2" t="s">
        <v>3</v>
      </c>
      <c r="GB114" s="2"/>
      <c r="GC114" s="2"/>
      <c r="GD114" s="2">
        <v>1</v>
      </c>
      <c r="GE114" s="2"/>
      <c r="GF114" s="2">
        <v>1580859134</v>
      </c>
      <c r="GG114" s="2">
        <v>2</v>
      </c>
      <c r="GH114" s="2">
        <v>1</v>
      </c>
      <c r="GI114" s="2">
        <v>-2</v>
      </c>
      <c r="GJ114" s="2">
        <v>0</v>
      </c>
      <c r="GK114" s="2">
        <v>0</v>
      </c>
      <c r="GL114" s="2">
        <f t="shared" si="101"/>
        <v>0</v>
      </c>
      <c r="GM114" s="2">
        <f t="shared" si="102"/>
        <v>334.14</v>
      </c>
      <c r="GN114" s="2">
        <f t="shared" si="103"/>
        <v>334.14</v>
      </c>
      <c r="GO114" s="2">
        <f t="shared" si="104"/>
        <v>0</v>
      </c>
      <c r="GP114" s="2">
        <f t="shared" si="105"/>
        <v>0</v>
      </c>
      <c r="GQ114" s="2"/>
      <c r="GR114" s="2">
        <v>0</v>
      </c>
      <c r="GS114" s="2">
        <v>3</v>
      </c>
      <c r="GT114" s="2">
        <v>0</v>
      </c>
      <c r="GU114" s="2" t="s">
        <v>3</v>
      </c>
      <c r="GV114" s="2">
        <f t="shared" si="106"/>
        <v>0</v>
      </c>
      <c r="GW114" s="2">
        <v>1</v>
      </c>
      <c r="GX114" s="2">
        <f t="shared" si="107"/>
        <v>0</v>
      </c>
      <c r="GY114" s="2"/>
      <c r="GZ114" s="2"/>
      <c r="HA114" s="2">
        <v>0</v>
      </c>
      <c r="HB114" s="2">
        <v>0</v>
      </c>
      <c r="HC114" s="2">
        <f t="shared" si="108"/>
        <v>0</v>
      </c>
      <c r="HD114" s="2"/>
      <c r="HE114" s="2" t="s">
        <v>3</v>
      </c>
      <c r="HF114" s="2" t="s">
        <v>3</v>
      </c>
      <c r="HG114" s="2"/>
      <c r="HH114" s="2"/>
      <c r="HI114" s="2"/>
      <c r="HJ114" s="2"/>
      <c r="HK114" s="2"/>
      <c r="HL114" s="2"/>
      <c r="HM114" s="2" t="s">
        <v>3</v>
      </c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45" ht="12.75">
      <c r="A115">
        <v>17</v>
      </c>
      <c r="B115">
        <v>1</v>
      </c>
      <c r="C115">
        <f>ROW(SmtRes!A132)</f>
        <v>132</v>
      </c>
      <c r="D115">
        <f>ROW(EtalonRes!A138)</f>
        <v>138</v>
      </c>
      <c r="E115" t="s">
        <v>171</v>
      </c>
      <c r="F115" t="s">
        <v>172</v>
      </c>
      <c r="G115" t="s">
        <v>173</v>
      </c>
      <c r="H115" t="s">
        <v>174</v>
      </c>
      <c r="I115">
        <f>ROUND(ROUND(2.34,2),7)</f>
        <v>2.34</v>
      </c>
      <c r="J115">
        <v>0</v>
      </c>
      <c r="K115">
        <f>ROUND(ROUND(2.34,2),7)</f>
        <v>2.34</v>
      </c>
      <c r="O115">
        <f t="shared" si="74"/>
        <v>4195.35</v>
      </c>
      <c r="P115">
        <f t="shared" si="75"/>
        <v>1503.73</v>
      </c>
      <c r="Q115">
        <f t="shared" si="76"/>
        <v>131.78</v>
      </c>
      <c r="R115">
        <f t="shared" si="77"/>
        <v>22.88</v>
      </c>
      <c r="S115">
        <f t="shared" si="78"/>
        <v>2559.84</v>
      </c>
      <c r="T115">
        <f t="shared" si="79"/>
        <v>0</v>
      </c>
      <c r="U115">
        <f t="shared" si="80"/>
        <v>7.480979999999999</v>
      </c>
      <c r="V115">
        <f t="shared" si="81"/>
        <v>0.058499999999999996</v>
      </c>
      <c r="W115">
        <f t="shared" si="82"/>
        <v>0</v>
      </c>
      <c r="X115">
        <f t="shared" si="83"/>
        <v>2092</v>
      </c>
      <c r="Y115">
        <f t="shared" si="84"/>
        <v>1859.56</v>
      </c>
      <c r="AA115">
        <v>50961513</v>
      </c>
      <c r="AB115">
        <f t="shared" si="85"/>
        <v>93.1405</v>
      </c>
      <c r="AC115">
        <f t="shared" si="111"/>
        <v>51.95</v>
      </c>
      <c r="AD115">
        <f>ROUND(((((ET115*ROUND(1.25,7)))-((EU115*ROUND(1.25,7))))+AE115),6)</f>
        <v>9.025</v>
      </c>
      <c r="AE115">
        <f>ROUND(((EU115*ROUND(1.25,7))),6)</f>
        <v>0.2875</v>
      </c>
      <c r="AF115">
        <f>ROUND(((EV115*ROUND(1.15,7))),6)</f>
        <v>32.1655</v>
      </c>
      <c r="AG115">
        <f t="shared" si="87"/>
        <v>0</v>
      </c>
      <c r="AH115">
        <f>((EW115*ROUND(1.15,7)))</f>
        <v>3.1969999999999996</v>
      </c>
      <c r="AI115">
        <f>((EX115*ROUND(1.25,7)))</f>
        <v>0.025</v>
      </c>
      <c r="AJ115">
        <f t="shared" si="88"/>
        <v>0</v>
      </c>
      <c r="AK115">
        <v>87.14</v>
      </c>
      <c r="AL115">
        <v>51.95</v>
      </c>
      <c r="AM115">
        <v>7.22</v>
      </c>
      <c r="AN115">
        <v>0.23</v>
      </c>
      <c r="AO115">
        <v>27.97</v>
      </c>
      <c r="AP115">
        <v>0</v>
      </c>
      <c r="AQ115">
        <v>2.78</v>
      </c>
      <c r="AR115">
        <v>0.02</v>
      </c>
      <c r="AS115">
        <v>0</v>
      </c>
      <c r="AT115">
        <v>81</v>
      </c>
      <c r="AU115">
        <v>72</v>
      </c>
      <c r="AV115">
        <v>1</v>
      </c>
      <c r="AW115">
        <v>1</v>
      </c>
      <c r="AZ115">
        <v>1</v>
      </c>
      <c r="BA115">
        <v>34.01</v>
      </c>
      <c r="BB115">
        <v>6.24</v>
      </c>
      <c r="BC115">
        <v>12.37</v>
      </c>
      <c r="BH115">
        <v>0</v>
      </c>
      <c r="BI115">
        <v>1</v>
      </c>
      <c r="BJ115" t="s">
        <v>175</v>
      </c>
      <c r="BM115">
        <v>9001</v>
      </c>
      <c r="BN115">
        <v>0</v>
      </c>
      <c r="BO115" t="s">
        <v>172</v>
      </c>
      <c r="BP115">
        <v>1</v>
      </c>
      <c r="BQ115">
        <v>23</v>
      </c>
      <c r="BR115">
        <v>0</v>
      </c>
      <c r="BS115">
        <v>34.01</v>
      </c>
      <c r="BT115">
        <v>1</v>
      </c>
      <c r="BU115">
        <v>1</v>
      </c>
      <c r="BV115">
        <v>1</v>
      </c>
      <c r="BW115">
        <v>1</v>
      </c>
      <c r="BX115">
        <v>1</v>
      </c>
      <c r="BZ115">
        <v>90</v>
      </c>
      <c r="CA115">
        <v>85</v>
      </c>
      <c r="CE115">
        <v>0</v>
      </c>
      <c r="CF115">
        <v>0</v>
      </c>
      <c r="CG115">
        <v>0</v>
      </c>
      <c r="CM115">
        <v>0</v>
      </c>
      <c r="CN115" t="s">
        <v>390</v>
      </c>
      <c r="CO115">
        <v>0</v>
      </c>
      <c r="CP115">
        <f t="shared" si="89"/>
        <v>4195.35</v>
      </c>
      <c r="CQ115">
        <f t="shared" si="90"/>
        <v>642.6215</v>
      </c>
      <c r="CR115">
        <f t="shared" si="91"/>
        <v>56.316</v>
      </c>
      <c r="CS115">
        <f t="shared" si="92"/>
        <v>9.777874999999998</v>
      </c>
      <c r="CT115">
        <f t="shared" si="93"/>
        <v>1093.948655</v>
      </c>
      <c r="CU115">
        <f t="shared" si="94"/>
        <v>0</v>
      </c>
      <c r="CV115">
        <f t="shared" si="95"/>
        <v>3.1969999999999996</v>
      </c>
      <c r="CW115">
        <f t="shared" si="96"/>
        <v>0.025</v>
      </c>
      <c r="CX115">
        <f t="shared" si="97"/>
        <v>0</v>
      </c>
      <c r="CY115">
        <f t="shared" si="98"/>
        <v>2092.0032</v>
      </c>
      <c r="CZ115">
        <f t="shared" si="99"/>
        <v>1859.5584000000003</v>
      </c>
      <c r="DE115" t="s">
        <v>31</v>
      </c>
      <c r="DF115" t="s">
        <v>31</v>
      </c>
      <c r="DG115" t="s">
        <v>32</v>
      </c>
      <c r="DI115" t="s">
        <v>32</v>
      </c>
      <c r="DJ115" t="s">
        <v>31</v>
      </c>
      <c r="DN115">
        <v>0</v>
      </c>
      <c r="DO115">
        <v>0</v>
      </c>
      <c r="DP115">
        <v>1</v>
      </c>
      <c r="DQ115">
        <v>1</v>
      </c>
      <c r="DU115">
        <v>1005</v>
      </c>
      <c r="DV115" t="s">
        <v>174</v>
      </c>
      <c r="DW115" t="s">
        <v>174</v>
      </c>
      <c r="DX115">
        <v>1</v>
      </c>
      <c r="EE115">
        <v>49315466</v>
      </c>
      <c r="EF115">
        <v>23</v>
      </c>
      <c r="EG115" t="s">
        <v>55</v>
      </c>
      <c r="EH115">
        <v>0</v>
      </c>
      <c r="EJ115">
        <v>1</v>
      </c>
      <c r="EK115">
        <v>9001</v>
      </c>
      <c r="EL115" t="s">
        <v>56</v>
      </c>
      <c r="EM115" t="s">
        <v>57</v>
      </c>
      <c r="EO115" t="s">
        <v>36</v>
      </c>
      <c r="EQ115">
        <v>0</v>
      </c>
      <c r="ER115">
        <v>87.14</v>
      </c>
      <c r="ES115">
        <v>51.95</v>
      </c>
      <c r="ET115">
        <v>7.22</v>
      </c>
      <c r="EU115">
        <v>0.23</v>
      </c>
      <c r="EV115">
        <v>27.97</v>
      </c>
      <c r="EW115">
        <v>2.78</v>
      </c>
      <c r="EX115">
        <v>0.02</v>
      </c>
      <c r="EY115">
        <v>0</v>
      </c>
      <c r="FQ115">
        <v>0</v>
      </c>
      <c r="FR115">
        <f t="shared" si="100"/>
        <v>0</v>
      </c>
      <c r="FS115">
        <v>0</v>
      </c>
      <c r="FT115" t="s">
        <v>37</v>
      </c>
      <c r="FU115" t="s">
        <v>38</v>
      </c>
      <c r="FX115">
        <v>81</v>
      </c>
      <c r="FY115">
        <v>72.25</v>
      </c>
      <c r="GD115">
        <v>1</v>
      </c>
      <c r="GF115">
        <v>1580859134</v>
      </c>
      <c r="GG115">
        <v>2</v>
      </c>
      <c r="GH115">
        <v>1</v>
      </c>
      <c r="GI115">
        <v>2</v>
      </c>
      <c r="GJ115">
        <v>0</v>
      </c>
      <c r="GK115">
        <v>0</v>
      </c>
      <c r="GL115">
        <f t="shared" si="101"/>
        <v>0</v>
      </c>
      <c r="GM115">
        <f t="shared" si="102"/>
        <v>8146.91</v>
      </c>
      <c r="GN115">
        <f t="shared" si="103"/>
        <v>8146.91</v>
      </c>
      <c r="GO115">
        <f t="shared" si="104"/>
        <v>0</v>
      </c>
      <c r="GP115">
        <f t="shared" si="105"/>
        <v>0</v>
      </c>
      <c r="GR115">
        <v>0</v>
      </c>
      <c r="GS115">
        <v>0</v>
      </c>
      <c r="GT115">
        <v>0</v>
      </c>
      <c r="GV115">
        <f t="shared" si="106"/>
        <v>0</v>
      </c>
      <c r="GW115">
        <v>1</v>
      </c>
      <c r="GX115">
        <f t="shared" si="107"/>
        <v>0</v>
      </c>
      <c r="HA115">
        <v>0</v>
      </c>
      <c r="HB115">
        <v>0</v>
      </c>
      <c r="HC115">
        <f t="shared" si="108"/>
        <v>0</v>
      </c>
      <c r="IK115">
        <v>0</v>
      </c>
    </row>
    <row r="116" spans="1:255" ht="12.75">
      <c r="A116" s="2">
        <v>18</v>
      </c>
      <c r="B116" s="2">
        <v>1</v>
      </c>
      <c r="C116" s="2">
        <v>124</v>
      </c>
      <c r="D116" s="2"/>
      <c r="E116" s="2" t="s">
        <v>176</v>
      </c>
      <c r="F116" s="2" t="s">
        <v>59</v>
      </c>
      <c r="G116" s="2" t="s">
        <v>177</v>
      </c>
      <c r="H116" s="2" t="s">
        <v>61</v>
      </c>
      <c r="I116" s="2">
        <f>I114*J116</f>
        <v>0.999999</v>
      </c>
      <c r="J116" s="2">
        <v>0.42735</v>
      </c>
      <c r="K116" s="2">
        <v>0.42735</v>
      </c>
      <c r="L116" s="2"/>
      <c r="M116" s="2"/>
      <c r="N116" s="2"/>
      <c r="O116" s="2">
        <f t="shared" si="74"/>
        <v>70334.12</v>
      </c>
      <c r="P116" s="2">
        <f t="shared" si="75"/>
        <v>70334.12</v>
      </c>
      <c r="Q116" s="2">
        <f t="shared" si="76"/>
        <v>0</v>
      </c>
      <c r="R116" s="2">
        <f t="shared" si="77"/>
        <v>0</v>
      </c>
      <c r="S116" s="2">
        <f t="shared" si="78"/>
        <v>0</v>
      </c>
      <c r="T116" s="2">
        <f t="shared" si="79"/>
        <v>0</v>
      </c>
      <c r="U116" s="2">
        <f t="shared" si="80"/>
        <v>0</v>
      </c>
      <c r="V116" s="2">
        <f t="shared" si="81"/>
        <v>0</v>
      </c>
      <c r="W116" s="2">
        <f t="shared" si="82"/>
        <v>0</v>
      </c>
      <c r="X116" s="2">
        <f t="shared" si="83"/>
        <v>0</v>
      </c>
      <c r="Y116" s="2">
        <f t="shared" si="84"/>
        <v>0</v>
      </c>
      <c r="Z116" s="2"/>
      <c r="AA116" s="2">
        <v>50947576</v>
      </c>
      <c r="AB116" s="2">
        <f t="shared" si="85"/>
        <v>70334.19</v>
      </c>
      <c r="AC116" s="2">
        <f t="shared" si="111"/>
        <v>70334.19</v>
      </c>
      <c r="AD116" s="2">
        <f>ROUND((((ET116)-(EU116))+AE116),6)</f>
        <v>0</v>
      </c>
      <c r="AE116" s="2">
        <f>ROUND((EU116),6)</f>
        <v>0</v>
      </c>
      <c r="AF116" s="2">
        <f>ROUND((EV116),6)</f>
        <v>0</v>
      </c>
      <c r="AG116" s="2">
        <f t="shared" si="87"/>
        <v>0</v>
      </c>
      <c r="AH116" s="2">
        <f>(EW116)</f>
        <v>0</v>
      </c>
      <c r="AI116" s="2">
        <f>(EX116)</f>
        <v>0</v>
      </c>
      <c r="AJ116" s="2">
        <f t="shared" si="88"/>
        <v>0</v>
      </c>
      <c r="AK116" s="2">
        <v>70334.19</v>
      </c>
      <c r="AL116" s="2">
        <v>70334.19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81</v>
      </c>
      <c r="AU116" s="2">
        <v>72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3</v>
      </c>
      <c r="BE116" s="2" t="s">
        <v>3</v>
      </c>
      <c r="BF116" s="2" t="s">
        <v>3</v>
      </c>
      <c r="BG116" s="2" t="s">
        <v>3</v>
      </c>
      <c r="BH116" s="2">
        <v>3</v>
      </c>
      <c r="BI116" s="2">
        <v>1</v>
      </c>
      <c r="BJ116" s="2" t="s">
        <v>3</v>
      </c>
      <c r="BK116" s="2"/>
      <c r="BL116" s="2"/>
      <c r="BM116" s="2">
        <v>9001</v>
      </c>
      <c r="BN116" s="2">
        <v>0</v>
      </c>
      <c r="BO116" s="2" t="s">
        <v>3</v>
      </c>
      <c r="BP116" s="2">
        <v>0</v>
      </c>
      <c r="BQ116" s="2">
        <v>23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3</v>
      </c>
      <c r="BZ116" s="2">
        <v>90</v>
      </c>
      <c r="CA116" s="2">
        <v>85</v>
      </c>
      <c r="CB116" s="2" t="s">
        <v>3</v>
      </c>
      <c r="CC116" s="2"/>
      <c r="CD116" s="2"/>
      <c r="CE116" s="2">
        <v>0</v>
      </c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3</v>
      </c>
      <c r="CO116" s="2">
        <v>0</v>
      </c>
      <c r="CP116" s="2">
        <f t="shared" si="89"/>
        <v>70334.12</v>
      </c>
      <c r="CQ116" s="2">
        <f t="shared" si="90"/>
        <v>70334.19</v>
      </c>
      <c r="CR116" s="2">
        <f t="shared" si="91"/>
        <v>0</v>
      </c>
      <c r="CS116" s="2">
        <f t="shared" si="92"/>
        <v>0</v>
      </c>
      <c r="CT116" s="2">
        <f t="shared" si="93"/>
        <v>0</v>
      </c>
      <c r="CU116" s="2">
        <f t="shared" si="94"/>
        <v>0</v>
      </c>
      <c r="CV116" s="2">
        <f t="shared" si="95"/>
        <v>0</v>
      </c>
      <c r="CW116" s="2">
        <f t="shared" si="96"/>
        <v>0</v>
      </c>
      <c r="CX116" s="2">
        <f t="shared" si="97"/>
        <v>0</v>
      </c>
      <c r="CY116" s="2">
        <f t="shared" si="98"/>
        <v>0</v>
      </c>
      <c r="CZ116" s="2">
        <f t="shared" si="99"/>
        <v>0</v>
      </c>
      <c r="DA116" s="2"/>
      <c r="DB116" s="2"/>
      <c r="DC116" s="2" t="s">
        <v>3</v>
      </c>
      <c r="DD116" s="2" t="s">
        <v>3</v>
      </c>
      <c r="DE116" s="2" t="s">
        <v>3</v>
      </c>
      <c r="DF116" s="2" t="s">
        <v>3</v>
      </c>
      <c r="DG116" s="2" t="s">
        <v>3</v>
      </c>
      <c r="DH116" s="2" t="s">
        <v>3</v>
      </c>
      <c r="DI116" s="2" t="s">
        <v>3</v>
      </c>
      <c r="DJ116" s="2" t="s">
        <v>3</v>
      </c>
      <c r="DK116" s="2" t="s">
        <v>3</v>
      </c>
      <c r="DL116" s="2" t="s">
        <v>3</v>
      </c>
      <c r="DM116" s="2" t="s">
        <v>3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1013</v>
      </c>
      <c r="DV116" s="2" t="s">
        <v>61</v>
      </c>
      <c r="DW116" s="2" t="s">
        <v>61</v>
      </c>
      <c r="DX116" s="2">
        <v>1</v>
      </c>
      <c r="DY116" s="2"/>
      <c r="DZ116" s="2" t="s">
        <v>3</v>
      </c>
      <c r="EA116" s="2" t="s">
        <v>3</v>
      </c>
      <c r="EB116" s="2" t="s">
        <v>3</v>
      </c>
      <c r="EC116" s="2" t="s">
        <v>3</v>
      </c>
      <c r="ED116" s="2"/>
      <c r="EE116" s="2">
        <v>49315466</v>
      </c>
      <c r="EF116" s="2">
        <v>23</v>
      </c>
      <c r="EG116" s="2" t="s">
        <v>55</v>
      </c>
      <c r="EH116" s="2">
        <v>0</v>
      </c>
      <c r="EI116" s="2" t="s">
        <v>3</v>
      </c>
      <c r="EJ116" s="2">
        <v>1</v>
      </c>
      <c r="EK116" s="2">
        <v>9001</v>
      </c>
      <c r="EL116" s="2" t="s">
        <v>56</v>
      </c>
      <c r="EM116" s="2" t="s">
        <v>57</v>
      </c>
      <c r="EN116" s="2"/>
      <c r="EO116" s="2" t="s">
        <v>3</v>
      </c>
      <c r="EP116" s="2"/>
      <c r="EQ116" s="2">
        <v>0</v>
      </c>
      <c r="ER116" s="2">
        <v>0</v>
      </c>
      <c r="ES116" s="2">
        <v>70334.19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00"/>
        <v>0</v>
      </c>
      <c r="FS116" s="2">
        <v>0</v>
      </c>
      <c r="FT116" s="2" t="s">
        <v>37</v>
      </c>
      <c r="FU116" s="2" t="s">
        <v>38</v>
      </c>
      <c r="FV116" s="2"/>
      <c r="FW116" s="2"/>
      <c r="FX116" s="2">
        <v>81</v>
      </c>
      <c r="FY116" s="2">
        <v>72.25</v>
      </c>
      <c r="FZ116" s="2"/>
      <c r="GA116" s="2" t="s">
        <v>62</v>
      </c>
      <c r="GB116" s="2"/>
      <c r="GC116" s="2"/>
      <c r="GD116" s="2">
        <v>1</v>
      </c>
      <c r="GE116" s="2"/>
      <c r="GF116" s="2">
        <v>-1756091015</v>
      </c>
      <c r="GG116" s="2">
        <v>2</v>
      </c>
      <c r="GH116" s="2">
        <v>2</v>
      </c>
      <c r="GI116" s="2">
        <v>-2</v>
      </c>
      <c r="GJ116" s="2">
        <v>0</v>
      </c>
      <c r="GK116" s="2">
        <v>0</v>
      </c>
      <c r="GL116" s="2">
        <f t="shared" si="101"/>
        <v>0</v>
      </c>
      <c r="GM116" s="2">
        <f t="shared" si="102"/>
        <v>70334.12</v>
      </c>
      <c r="GN116" s="2">
        <f t="shared" si="103"/>
        <v>70334.12</v>
      </c>
      <c r="GO116" s="2">
        <f t="shared" si="104"/>
        <v>0</v>
      </c>
      <c r="GP116" s="2">
        <f t="shared" si="105"/>
        <v>0</v>
      </c>
      <c r="GQ116" s="2"/>
      <c r="GR116" s="2">
        <v>0</v>
      </c>
      <c r="GS116" s="2">
        <v>4</v>
      </c>
      <c r="GT116" s="2">
        <v>0</v>
      </c>
      <c r="GU116" s="2" t="s">
        <v>3</v>
      </c>
      <c r="GV116" s="2">
        <f t="shared" si="106"/>
        <v>0</v>
      </c>
      <c r="GW116" s="2">
        <v>1</v>
      </c>
      <c r="GX116" s="2">
        <f t="shared" si="107"/>
        <v>0</v>
      </c>
      <c r="GY116" s="2"/>
      <c r="GZ116" s="2"/>
      <c r="HA116" s="2">
        <v>0</v>
      </c>
      <c r="HB116" s="2">
        <v>0</v>
      </c>
      <c r="HC116" s="2">
        <f t="shared" si="108"/>
        <v>0</v>
      </c>
      <c r="HD116" s="2"/>
      <c r="HE116" s="2" t="s">
        <v>3</v>
      </c>
      <c r="HF116" s="2" t="s">
        <v>3</v>
      </c>
      <c r="HG116" s="2"/>
      <c r="HH116" s="2"/>
      <c r="HI116" s="2"/>
      <c r="HJ116" s="2"/>
      <c r="HK116" s="2"/>
      <c r="HL116" s="2"/>
      <c r="HM116" s="2" t="s">
        <v>3</v>
      </c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45" ht="12.75">
      <c r="A117">
        <v>18</v>
      </c>
      <c r="B117">
        <v>1</v>
      </c>
      <c r="C117">
        <v>132</v>
      </c>
      <c r="E117" t="s">
        <v>176</v>
      </c>
      <c r="F117" t="s">
        <v>59</v>
      </c>
      <c r="G117" t="s">
        <v>177</v>
      </c>
      <c r="H117" t="s">
        <v>61</v>
      </c>
      <c r="I117">
        <f>I115*J117</f>
        <v>0.999999</v>
      </c>
      <c r="J117">
        <v>0.42735</v>
      </c>
      <c r="K117">
        <v>0.42735</v>
      </c>
      <c r="O117">
        <f t="shared" si="74"/>
        <v>70334.12</v>
      </c>
      <c r="P117">
        <f t="shared" si="75"/>
        <v>70334.12</v>
      </c>
      <c r="Q117">
        <f t="shared" si="76"/>
        <v>0</v>
      </c>
      <c r="R117">
        <f t="shared" si="77"/>
        <v>0</v>
      </c>
      <c r="S117">
        <f t="shared" si="78"/>
        <v>0</v>
      </c>
      <c r="T117">
        <f t="shared" si="79"/>
        <v>0</v>
      </c>
      <c r="U117">
        <f t="shared" si="80"/>
        <v>0</v>
      </c>
      <c r="V117">
        <f t="shared" si="81"/>
        <v>0</v>
      </c>
      <c r="W117">
        <f t="shared" si="82"/>
        <v>0</v>
      </c>
      <c r="X117">
        <f t="shared" si="83"/>
        <v>0</v>
      </c>
      <c r="Y117">
        <f t="shared" si="84"/>
        <v>0</v>
      </c>
      <c r="AA117">
        <v>50961513</v>
      </c>
      <c r="AB117">
        <f t="shared" si="85"/>
        <v>70334.19</v>
      </c>
      <c r="AC117">
        <f t="shared" si="111"/>
        <v>70334.19</v>
      </c>
      <c r="AD117">
        <f>ROUND((((ET117)-(EU117))+AE117),6)</f>
        <v>0</v>
      </c>
      <c r="AE117">
        <f>ROUND((EU117),6)</f>
        <v>0</v>
      </c>
      <c r="AF117">
        <f>ROUND((EV117),6)</f>
        <v>0</v>
      </c>
      <c r="AG117">
        <f t="shared" si="87"/>
        <v>0</v>
      </c>
      <c r="AH117">
        <f>(EW117)</f>
        <v>0</v>
      </c>
      <c r="AI117">
        <f>(EX117)</f>
        <v>0</v>
      </c>
      <c r="AJ117">
        <f t="shared" si="88"/>
        <v>0</v>
      </c>
      <c r="AK117">
        <v>70334.19</v>
      </c>
      <c r="AL117">
        <v>70334.19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81</v>
      </c>
      <c r="AU117">
        <v>72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H117">
        <v>3</v>
      </c>
      <c r="BI117">
        <v>1</v>
      </c>
      <c r="BM117">
        <v>9001</v>
      </c>
      <c r="BN117">
        <v>0</v>
      </c>
      <c r="BP117">
        <v>0</v>
      </c>
      <c r="BQ117">
        <v>23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Z117">
        <v>90</v>
      </c>
      <c r="CA117">
        <v>85</v>
      </c>
      <c r="CE117">
        <v>0</v>
      </c>
      <c r="CF117">
        <v>0</v>
      </c>
      <c r="CG117">
        <v>0</v>
      </c>
      <c r="CM117">
        <v>0</v>
      </c>
      <c r="CO117">
        <v>0</v>
      </c>
      <c r="CP117">
        <f t="shared" si="89"/>
        <v>70334.12</v>
      </c>
      <c r="CQ117">
        <f t="shared" si="90"/>
        <v>70334.19</v>
      </c>
      <c r="CR117">
        <f t="shared" si="91"/>
        <v>0</v>
      </c>
      <c r="CS117">
        <f t="shared" si="92"/>
        <v>0</v>
      </c>
      <c r="CT117">
        <f t="shared" si="93"/>
        <v>0</v>
      </c>
      <c r="CU117">
        <f t="shared" si="94"/>
        <v>0</v>
      </c>
      <c r="CV117">
        <f t="shared" si="95"/>
        <v>0</v>
      </c>
      <c r="CW117">
        <f t="shared" si="96"/>
        <v>0</v>
      </c>
      <c r="CX117">
        <f t="shared" si="97"/>
        <v>0</v>
      </c>
      <c r="CY117">
        <f t="shared" si="98"/>
        <v>0</v>
      </c>
      <c r="CZ117">
        <f t="shared" si="99"/>
        <v>0</v>
      </c>
      <c r="DN117">
        <v>0</v>
      </c>
      <c r="DO117">
        <v>0</v>
      </c>
      <c r="DP117">
        <v>1</v>
      </c>
      <c r="DQ117">
        <v>1</v>
      </c>
      <c r="DU117">
        <v>1013</v>
      </c>
      <c r="DV117" t="s">
        <v>61</v>
      </c>
      <c r="DW117" t="s">
        <v>61</v>
      </c>
      <c r="DX117">
        <v>1</v>
      </c>
      <c r="EE117">
        <v>49315466</v>
      </c>
      <c r="EF117">
        <v>23</v>
      </c>
      <c r="EG117" t="s">
        <v>55</v>
      </c>
      <c r="EH117">
        <v>0</v>
      </c>
      <c r="EJ117">
        <v>1</v>
      </c>
      <c r="EK117">
        <v>9001</v>
      </c>
      <c r="EL117" t="s">
        <v>56</v>
      </c>
      <c r="EM117" t="s">
        <v>57</v>
      </c>
      <c r="EQ117">
        <v>0</v>
      </c>
      <c r="ER117">
        <v>0</v>
      </c>
      <c r="ES117">
        <v>70334.19</v>
      </c>
      <c r="ET117">
        <v>0</v>
      </c>
      <c r="EU117">
        <v>0</v>
      </c>
      <c r="EV117">
        <v>0</v>
      </c>
      <c r="EW117">
        <v>0</v>
      </c>
      <c r="EX117">
        <v>0</v>
      </c>
      <c r="FQ117">
        <v>0</v>
      </c>
      <c r="FR117">
        <f t="shared" si="100"/>
        <v>0</v>
      </c>
      <c r="FS117">
        <v>0</v>
      </c>
      <c r="FT117" t="s">
        <v>37</v>
      </c>
      <c r="FU117" t="s">
        <v>38</v>
      </c>
      <c r="FX117">
        <v>81</v>
      </c>
      <c r="FY117">
        <v>72.25</v>
      </c>
      <c r="GD117">
        <v>1</v>
      </c>
      <c r="GF117">
        <v>-1756091015</v>
      </c>
      <c r="GG117">
        <v>2</v>
      </c>
      <c r="GH117">
        <v>0</v>
      </c>
      <c r="GI117">
        <v>-2</v>
      </c>
      <c r="GJ117">
        <v>0</v>
      </c>
      <c r="GK117">
        <v>0</v>
      </c>
      <c r="GL117">
        <f t="shared" si="101"/>
        <v>0</v>
      </c>
      <c r="GM117">
        <f t="shared" si="102"/>
        <v>70334.12</v>
      </c>
      <c r="GN117">
        <f t="shared" si="103"/>
        <v>70334.12</v>
      </c>
      <c r="GO117">
        <f t="shared" si="104"/>
        <v>0</v>
      </c>
      <c r="GP117">
        <f t="shared" si="105"/>
        <v>0</v>
      </c>
      <c r="GR117">
        <v>0</v>
      </c>
      <c r="GS117">
        <v>0</v>
      </c>
      <c r="GT117">
        <v>0</v>
      </c>
      <c r="GV117">
        <f t="shared" si="106"/>
        <v>0</v>
      </c>
      <c r="GW117">
        <v>1</v>
      </c>
      <c r="GX117">
        <f t="shared" si="107"/>
        <v>0</v>
      </c>
      <c r="HA117">
        <v>0</v>
      </c>
      <c r="HB117">
        <v>0</v>
      </c>
      <c r="HC117">
        <f t="shared" si="108"/>
        <v>0</v>
      </c>
      <c r="IK117">
        <v>0</v>
      </c>
    </row>
    <row r="119" spans="1:206" ht="12.75">
      <c r="A119" s="3">
        <v>51</v>
      </c>
      <c r="B119" s="3">
        <f>B82</f>
        <v>1</v>
      </c>
      <c r="C119" s="3">
        <f>A82</f>
        <v>4</v>
      </c>
      <c r="D119" s="3">
        <f>ROW(A82)</f>
        <v>82</v>
      </c>
      <c r="E119" s="3"/>
      <c r="F119" s="3" t="str">
        <f>IF(F82&lt;&gt;"",F82,"")</f>
        <v>Новый раздел</v>
      </c>
      <c r="G119" s="3" t="str">
        <f>IF(G82&lt;&gt;"",G82,"")</f>
        <v>Строение 2</v>
      </c>
      <c r="H119" s="3">
        <v>0</v>
      </c>
      <c r="I119" s="3"/>
      <c r="J119" s="3"/>
      <c r="K119" s="3"/>
      <c r="L119" s="3"/>
      <c r="M119" s="3"/>
      <c r="N119" s="3"/>
      <c r="O119" s="3">
        <f aca="true" t="shared" si="117" ref="O119:T119">ROUND(AB119,2)</f>
        <v>1147410.66</v>
      </c>
      <c r="P119" s="3">
        <f t="shared" si="117"/>
        <v>1145694.69</v>
      </c>
      <c r="Q119" s="3">
        <f t="shared" si="117"/>
        <v>286.06</v>
      </c>
      <c r="R119" s="3">
        <f t="shared" si="117"/>
        <v>17.79</v>
      </c>
      <c r="S119" s="3">
        <f t="shared" si="117"/>
        <v>1429.91</v>
      </c>
      <c r="T119" s="3">
        <f t="shared" si="117"/>
        <v>0</v>
      </c>
      <c r="U119" s="3">
        <f>AH119</f>
        <v>144.90302</v>
      </c>
      <c r="V119" s="3">
        <f>AI119</f>
        <v>1.362</v>
      </c>
      <c r="W119" s="3">
        <f>ROUND(AJ119,2)</f>
        <v>0</v>
      </c>
      <c r="X119" s="3">
        <f>ROUND(AK119,2)</f>
        <v>1202.32</v>
      </c>
      <c r="Y119" s="3">
        <f>ROUND(AL119,2)</f>
        <v>1028.63</v>
      </c>
      <c r="Z119" s="3"/>
      <c r="AA119" s="3"/>
      <c r="AB119" s="3">
        <f>ROUND(SUMIF(AA86:AA117,"=50947576",O86:O117),2)</f>
        <v>1147410.66</v>
      </c>
      <c r="AC119" s="3">
        <f>ROUND(SUMIF(AA86:AA117,"=50947576",P86:P117),2)</f>
        <v>1145694.69</v>
      </c>
      <c r="AD119" s="3">
        <f>ROUND(SUMIF(AA86:AA117,"=50947576",Q86:Q117),2)</f>
        <v>286.06</v>
      </c>
      <c r="AE119" s="3">
        <f>ROUND(SUMIF(AA86:AA117,"=50947576",R86:R117),2)</f>
        <v>17.79</v>
      </c>
      <c r="AF119" s="3">
        <f>ROUND(SUMIF(AA86:AA117,"=50947576",S86:S117),2)</f>
        <v>1429.91</v>
      </c>
      <c r="AG119" s="3">
        <f>ROUND(SUMIF(AA86:AA117,"=50947576",T86:T117),2)</f>
        <v>0</v>
      </c>
      <c r="AH119" s="3">
        <f>SUMIF(AA86:AA117,"=50947576",U86:U117)</f>
        <v>144.90302</v>
      </c>
      <c r="AI119" s="3">
        <f>SUMIF(AA86:AA117,"=50947576",V86:V117)</f>
        <v>1.362</v>
      </c>
      <c r="AJ119" s="3">
        <f>ROUND(SUMIF(AA86:AA117,"=50947576",W86:W117),2)</f>
        <v>0</v>
      </c>
      <c r="AK119" s="3">
        <f>ROUND(SUMIF(AA86:AA117,"=50947576",X86:X117),2)</f>
        <v>1202.32</v>
      </c>
      <c r="AL119" s="3">
        <f>ROUND(SUMIF(AA86:AA117,"=50947576",Y86:Y117),2)</f>
        <v>1028.63</v>
      </c>
      <c r="AM119" s="3"/>
      <c r="AN119" s="3"/>
      <c r="AO119" s="3">
        <f aca="true" t="shared" si="118" ref="AO119:BD119">ROUND(BX119,2)</f>
        <v>0</v>
      </c>
      <c r="AP119" s="3">
        <f t="shared" si="118"/>
        <v>0</v>
      </c>
      <c r="AQ119" s="3">
        <f t="shared" si="118"/>
        <v>0</v>
      </c>
      <c r="AR119" s="3">
        <f t="shared" si="118"/>
        <v>1149641.61</v>
      </c>
      <c r="AS119" s="3">
        <f t="shared" si="118"/>
        <v>1149641.61</v>
      </c>
      <c r="AT119" s="3">
        <f t="shared" si="118"/>
        <v>0</v>
      </c>
      <c r="AU119" s="3">
        <f t="shared" si="118"/>
        <v>0</v>
      </c>
      <c r="AV119" s="3">
        <f t="shared" si="118"/>
        <v>1145694.69</v>
      </c>
      <c r="AW119" s="3">
        <f t="shared" si="118"/>
        <v>1145694.69</v>
      </c>
      <c r="AX119" s="3">
        <f t="shared" si="118"/>
        <v>0</v>
      </c>
      <c r="AY119" s="3">
        <f t="shared" si="118"/>
        <v>1145694.69</v>
      </c>
      <c r="AZ119" s="3">
        <f t="shared" si="118"/>
        <v>0</v>
      </c>
      <c r="BA119" s="3">
        <f t="shared" si="118"/>
        <v>0</v>
      </c>
      <c r="BB119" s="3">
        <f t="shared" si="118"/>
        <v>0</v>
      </c>
      <c r="BC119" s="3">
        <f t="shared" si="118"/>
        <v>0</v>
      </c>
      <c r="BD119" s="3">
        <f t="shared" si="118"/>
        <v>0</v>
      </c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>
        <f>ROUND(SUMIF(AA86:AA117,"=50947576",FQ86:FQ117),2)</f>
        <v>0</v>
      </c>
      <c r="BY119" s="3">
        <f>ROUND(SUMIF(AA86:AA117,"=50947576",FR86:FR117),2)</f>
        <v>0</v>
      </c>
      <c r="BZ119" s="3">
        <f>ROUND(SUMIF(AA86:AA117,"=50947576",GL86:GL117),2)</f>
        <v>0</v>
      </c>
      <c r="CA119" s="3">
        <f>ROUND(SUMIF(AA86:AA117,"=50947576",GM86:GM117),2)</f>
        <v>1149641.61</v>
      </c>
      <c r="CB119" s="3">
        <f>ROUND(SUMIF(AA86:AA117,"=50947576",GN86:GN117),2)</f>
        <v>1149641.61</v>
      </c>
      <c r="CC119" s="3">
        <f>ROUND(SUMIF(AA86:AA117,"=50947576",GO86:GO117),2)</f>
        <v>0</v>
      </c>
      <c r="CD119" s="3">
        <f>ROUND(SUMIF(AA86:AA117,"=50947576",GP86:GP117),2)</f>
        <v>0</v>
      </c>
      <c r="CE119" s="3">
        <f>AC119-BX119</f>
        <v>1145694.69</v>
      </c>
      <c r="CF119" s="3">
        <f>AC119-BY119</f>
        <v>1145694.69</v>
      </c>
      <c r="CG119" s="3">
        <f>BX119-BZ119</f>
        <v>0</v>
      </c>
      <c r="CH119" s="3">
        <f>AC119-BX119-BY119+BZ119</f>
        <v>1145694.69</v>
      </c>
      <c r="CI119" s="3">
        <f>BY119-BZ119</f>
        <v>0</v>
      </c>
      <c r="CJ119" s="3">
        <f>ROUND(SUMIF(AA86:AA117,"=50947576",GX86:GX117),2)</f>
        <v>0</v>
      </c>
      <c r="CK119" s="3">
        <f>ROUND(SUMIF(AA86:AA117,"=50947576",GY86:GY117),2)</f>
        <v>0</v>
      </c>
      <c r="CL119" s="3">
        <f>ROUND(SUMIF(AA86:AA117,"=50947576",GZ86:GZ117),2)</f>
        <v>0</v>
      </c>
      <c r="CM119" s="3">
        <f>ROUND(SUMIF(AA86:AA117,"=50947576",HD86:HD117),2)</f>
        <v>0</v>
      </c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4">
        <f aca="true" t="shared" si="119" ref="DG119:DL119">ROUND(DT119,2)</f>
        <v>1198069.25</v>
      </c>
      <c r="DH119" s="4">
        <f t="shared" si="119"/>
        <v>1147386.24</v>
      </c>
      <c r="DI119" s="4">
        <f t="shared" si="119"/>
        <v>2051.81</v>
      </c>
      <c r="DJ119" s="4">
        <f t="shared" si="119"/>
        <v>605.27</v>
      </c>
      <c r="DK119" s="4">
        <f t="shared" si="119"/>
        <v>48631.2</v>
      </c>
      <c r="DL119" s="4">
        <f t="shared" si="119"/>
        <v>0</v>
      </c>
      <c r="DM119" s="4">
        <f>DZ119</f>
        <v>144.90302</v>
      </c>
      <c r="DN119" s="4">
        <f>EA119</f>
        <v>1.362</v>
      </c>
      <c r="DO119" s="4">
        <f>ROUND(EB119,2)</f>
        <v>0</v>
      </c>
      <c r="DP119" s="4">
        <f>ROUND(EC119,2)</f>
        <v>40891.09</v>
      </c>
      <c r="DQ119" s="4">
        <f>ROUND(ED119,2)</f>
        <v>34983.4</v>
      </c>
      <c r="DR119" s="4"/>
      <c r="DS119" s="4"/>
      <c r="DT119" s="4">
        <f>ROUND(SUMIF(AA86:AA117,"=50961513",O86:O117),2)</f>
        <v>1198069.25</v>
      </c>
      <c r="DU119" s="4">
        <f>ROUND(SUMIF(AA86:AA117,"=50961513",P86:P117),2)</f>
        <v>1147386.24</v>
      </c>
      <c r="DV119" s="4">
        <f>ROUND(SUMIF(AA86:AA117,"=50961513",Q86:Q117),2)</f>
        <v>2051.81</v>
      </c>
      <c r="DW119" s="4">
        <f>ROUND(SUMIF(AA86:AA117,"=50961513",R86:R117),2)</f>
        <v>605.27</v>
      </c>
      <c r="DX119" s="4">
        <f>ROUND(SUMIF(AA86:AA117,"=50961513",S86:S117),2)</f>
        <v>48631.2</v>
      </c>
      <c r="DY119" s="4">
        <f>ROUND(SUMIF(AA86:AA117,"=50961513",T86:T117),2)</f>
        <v>0</v>
      </c>
      <c r="DZ119" s="4">
        <f>SUMIF(AA86:AA117,"=50961513",U86:U117)</f>
        <v>144.90302</v>
      </c>
      <c r="EA119" s="4">
        <f>SUMIF(AA86:AA117,"=50961513",V86:V117)</f>
        <v>1.362</v>
      </c>
      <c r="EB119" s="4">
        <f>ROUND(SUMIF(AA86:AA117,"=50961513",W86:W117),2)</f>
        <v>0</v>
      </c>
      <c r="EC119" s="4">
        <f>ROUND(SUMIF(AA86:AA117,"=50961513",X86:X117),2)</f>
        <v>40891.09</v>
      </c>
      <c r="ED119" s="4">
        <f>ROUND(SUMIF(AA86:AA117,"=50961513",Y86:Y117),2)</f>
        <v>34983.4</v>
      </c>
      <c r="EE119" s="4"/>
      <c r="EF119" s="4"/>
      <c r="EG119" s="4">
        <f aca="true" t="shared" si="120" ref="EG119:EV119">ROUND(FP119,2)</f>
        <v>0</v>
      </c>
      <c r="EH119" s="4">
        <f t="shared" si="120"/>
        <v>0</v>
      </c>
      <c r="EI119" s="4">
        <f t="shared" si="120"/>
        <v>0</v>
      </c>
      <c r="EJ119" s="4">
        <f t="shared" si="120"/>
        <v>1273943.74</v>
      </c>
      <c r="EK119" s="4">
        <f t="shared" si="120"/>
        <v>1273943.74</v>
      </c>
      <c r="EL119" s="4">
        <f t="shared" si="120"/>
        <v>0</v>
      </c>
      <c r="EM119" s="4">
        <f t="shared" si="120"/>
        <v>0</v>
      </c>
      <c r="EN119" s="4">
        <f t="shared" si="120"/>
        <v>1147386.24</v>
      </c>
      <c r="EO119" s="4">
        <f t="shared" si="120"/>
        <v>1147386.24</v>
      </c>
      <c r="EP119" s="4">
        <f t="shared" si="120"/>
        <v>0</v>
      </c>
      <c r="EQ119" s="4">
        <f t="shared" si="120"/>
        <v>1147386.24</v>
      </c>
      <c r="ER119" s="4">
        <f t="shared" si="120"/>
        <v>0</v>
      </c>
      <c r="ES119" s="4">
        <f t="shared" si="120"/>
        <v>0</v>
      </c>
      <c r="ET119" s="4">
        <f t="shared" si="120"/>
        <v>0</v>
      </c>
      <c r="EU119" s="4">
        <f t="shared" si="120"/>
        <v>0</v>
      </c>
      <c r="EV119" s="4">
        <f t="shared" si="120"/>
        <v>0</v>
      </c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>
        <f>ROUND(SUMIF(AA86:AA117,"=50961513",FQ86:FQ117),2)</f>
        <v>0</v>
      </c>
      <c r="FQ119" s="4">
        <f>ROUND(SUMIF(AA86:AA117,"=50961513",FR86:FR117),2)</f>
        <v>0</v>
      </c>
      <c r="FR119" s="4">
        <f>ROUND(SUMIF(AA86:AA117,"=50961513",GL86:GL117),2)</f>
        <v>0</v>
      </c>
      <c r="FS119" s="4">
        <f>ROUND(SUMIF(AA86:AA117,"=50961513",GM86:GM117),2)</f>
        <v>1273943.74</v>
      </c>
      <c r="FT119" s="4">
        <f>ROUND(SUMIF(AA86:AA117,"=50961513",GN86:GN117),2)</f>
        <v>1273943.74</v>
      </c>
      <c r="FU119" s="4">
        <f>ROUND(SUMIF(AA86:AA117,"=50961513",GO86:GO117),2)</f>
        <v>0</v>
      </c>
      <c r="FV119" s="4">
        <f>ROUND(SUMIF(AA86:AA117,"=50961513",GP86:GP117),2)</f>
        <v>0</v>
      </c>
      <c r="FW119" s="4">
        <f>DU119-FP119</f>
        <v>1147386.24</v>
      </c>
      <c r="FX119" s="4">
        <f>DU119-FQ119</f>
        <v>1147386.24</v>
      </c>
      <c r="FY119" s="4">
        <f>FP119-FR119</f>
        <v>0</v>
      </c>
      <c r="FZ119" s="4">
        <f>DU119-FP119-FQ119+FR119</f>
        <v>1147386.24</v>
      </c>
      <c r="GA119" s="4">
        <f>FQ119-FR119</f>
        <v>0</v>
      </c>
      <c r="GB119" s="4">
        <f>ROUND(SUMIF(AA86:AA117,"=50961513",GX86:GX117),2)</f>
        <v>0</v>
      </c>
      <c r="GC119" s="4">
        <f>ROUND(SUMIF(AA86:AA117,"=50961513",GY86:GY117),2)</f>
        <v>0</v>
      </c>
      <c r="GD119" s="4">
        <f>ROUND(SUMIF(AA86:AA117,"=50961513",GZ86:GZ117),2)</f>
        <v>0</v>
      </c>
      <c r="GE119" s="4">
        <f>ROUND(SUMIF(AA86:AA117,"=50961513",HD86:HD117),2)</f>
        <v>0</v>
      </c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>
        <v>0</v>
      </c>
    </row>
    <row r="121" spans="1:23" ht="12.75">
      <c r="A121" s="5">
        <v>50</v>
      </c>
      <c r="B121" s="5">
        <v>0</v>
      </c>
      <c r="C121" s="5">
        <v>0</v>
      </c>
      <c r="D121" s="5">
        <v>1</v>
      </c>
      <c r="E121" s="5">
        <v>201</v>
      </c>
      <c r="F121" s="5">
        <f>ROUND(Source!O119,O121)</f>
        <v>1147410.66</v>
      </c>
      <c r="G121" s="5" t="s">
        <v>85</v>
      </c>
      <c r="H121" s="5" t="s">
        <v>86</v>
      </c>
      <c r="I121" s="5"/>
      <c r="J121" s="5"/>
      <c r="K121" s="5">
        <v>201</v>
      </c>
      <c r="L121" s="5">
        <v>1</v>
      </c>
      <c r="M121" s="5">
        <v>3</v>
      </c>
      <c r="N121" s="5" t="s">
        <v>3</v>
      </c>
      <c r="O121" s="5">
        <v>2</v>
      </c>
      <c r="P121" s="5">
        <f>ROUND(Source!DG119,O121)</f>
        <v>1198069.25</v>
      </c>
      <c r="Q121" s="5"/>
      <c r="R121" s="5"/>
      <c r="S121" s="5"/>
      <c r="T121" s="5"/>
      <c r="U121" s="5"/>
      <c r="V121" s="5"/>
      <c r="W121" s="5"/>
    </row>
    <row r="122" spans="1:23" ht="12.75">
      <c r="A122" s="5">
        <v>50</v>
      </c>
      <c r="B122" s="5">
        <v>0</v>
      </c>
      <c r="C122" s="5">
        <v>0</v>
      </c>
      <c r="D122" s="5">
        <v>1</v>
      </c>
      <c r="E122" s="5">
        <v>202</v>
      </c>
      <c r="F122" s="5">
        <f>ROUND(Source!P119,O122)</f>
        <v>1145694.69</v>
      </c>
      <c r="G122" s="5" t="s">
        <v>87</v>
      </c>
      <c r="H122" s="5" t="s">
        <v>88</v>
      </c>
      <c r="I122" s="5"/>
      <c r="J122" s="5"/>
      <c r="K122" s="5">
        <v>202</v>
      </c>
      <c r="L122" s="5">
        <v>2</v>
      </c>
      <c r="M122" s="5">
        <v>3</v>
      </c>
      <c r="N122" s="5" t="s">
        <v>3</v>
      </c>
      <c r="O122" s="5">
        <v>2</v>
      </c>
      <c r="P122" s="5">
        <f>ROUND(Source!DH119,O122)</f>
        <v>1147386.24</v>
      </c>
      <c r="Q122" s="5"/>
      <c r="R122" s="5"/>
      <c r="S122" s="5"/>
      <c r="T122" s="5"/>
      <c r="U122" s="5"/>
      <c r="V122" s="5"/>
      <c r="W122" s="5"/>
    </row>
    <row r="123" spans="1:23" ht="12.75">
      <c r="A123" s="5">
        <v>50</v>
      </c>
      <c r="B123" s="5">
        <v>0</v>
      </c>
      <c r="C123" s="5">
        <v>0</v>
      </c>
      <c r="D123" s="5">
        <v>1</v>
      </c>
      <c r="E123" s="5">
        <v>222</v>
      </c>
      <c r="F123" s="5">
        <f>ROUND(Source!AO119,O123)</f>
        <v>0</v>
      </c>
      <c r="G123" s="5" t="s">
        <v>89</v>
      </c>
      <c r="H123" s="5" t="s">
        <v>90</v>
      </c>
      <c r="I123" s="5"/>
      <c r="J123" s="5"/>
      <c r="K123" s="5">
        <v>222</v>
      </c>
      <c r="L123" s="5">
        <v>3</v>
      </c>
      <c r="M123" s="5">
        <v>3</v>
      </c>
      <c r="N123" s="5" t="s">
        <v>3</v>
      </c>
      <c r="O123" s="5">
        <v>2</v>
      </c>
      <c r="P123" s="5">
        <f>ROUND(Source!EG119,O123)</f>
        <v>0</v>
      </c>
      <c r="Q123" s="5"/>
      <c r="R123" s="5"/>
      <c r="S123" s="5"/>
      <c r="T123" s="5"/>
      <c r="U123" s="5"/>
      <c r="V123" s="5"/>
      <c r="W123" s="5"/>
    </row>
    <row r="124" spans="1:23" ht="12.75">
      <c r="A124" s="5">
        <v>50</v>
      </c>
      <c r="B124" s="5">
        <v>0</v>
      </c>
      <c r="C124" s="5">
        <v>0</v>
      </c>
      <c r="D124" s="5">
        <v>1</v>
      </c>
      <c r="E124" s="5">
        <v>225</v>
      </c>
      <c r="F124" s="5">
        <f>ROUND(Source!AV119,O124)</f>
        <v>1145694.69</v>
      </c>
      <c r="G124" s="5" t="s">
        <v>91</v>
      </c>
      <c r="H124" s="5" t="s">
        <v>92</v>
      </c>
      <c r="I124" s="5"/>
      <c r="J124" s="5"/>
      <c r="K124" s="5">
        <v>225</v>
      </c>
      <c r="L124" s="5">
        <v>4</v>
      </c>
      <c r="M124" s="5">
        <v>3</v>
      </c>
      <c r="N124" s="5" t="s">
        <v>3</v>
      </c>
      <c r="O124" s="5">
        <v>2</v>
      </c>
      <c r="P124" s="5">
        <f>ROUND(Source!EN119,O124)</f>
        <v>1147386.24</v>
      </c>
      <c r="Q124" s="5"/>
      <c r="R124" s="5"/>
      <c r="S124" s="5"/>
      <c r="T124" s="5"/>
      <c r="U124" s="5"/>
      <c r="V124" s="5"/>
      <c r="W124" s="5"/>
    </row>
    <row r="125" spans="1:23" ht="12.75">
      <c r="A125" s="5">
        <v>50</v>
      </c>
      <c r="B125" s="5">
        <v>0</v>
      </c>
      <c r="C125" s="5">
        <v>0</v>
      </c>
      <c r="D125" s="5">
        <v>1</v>
      </c>
      <c r="E125" s="5">
        <v>226</v>
      </c>
      <c r="F125" s="5">
        <f>ROUND(Source!AW119,O125)</f>
        <v>1145694.69</v>
      </c>
      <c r="G125" s="5" t="s">
        <v>93</v>
      </c>
      <c r="H125" s="5" t="s">
        <v>94</v>
      </c>
      <c r="I125" s="5"/>
      <c r="J125" s="5"/>
      <c r="K125" s="5">
        <v>226</v>
      </c>
      <c r="L125" s="5">
        <v>5</v>
      </c>
      <c r="M125" s="5">
        <v>3</v>
      </c>
      <c r="N125" s="5" t="s">
        <v>3</v>
      </c>
      <c r="O125" s="5">
        <v>2</v>
      </c>
      <c r="P125" s="5">
        <f>ROUND(Source!EO119,O125)</f>
        <v>1147386.24</v>
      </c>
      <c r="Q125" s="5"/>
      <c r="R125" s="5"/>
      <c r="S125" s="5"/>
      <c r="T125" s="5"/>
      <c r="U125" s="5"/>
      <c r="V125" s="5"/>
      <c r="W125" s="5"/>
    </row>
    <row r="126" spans="1:23" ht="12.75">
      <c r="A126" s="5">
        <v>50</v>
      </c>
      <c r="B126" s="5">
        <v>0</v>
      </c>
      <c r="C126" s="5">
        <v>0</v>
      </c>
      <c r="D126" s="5">
        <v>1</v>
      </c>
      <c r="E126" s="5">
        <v>227</v>
      </c>
      <c r="F126" s="5">
        <f>ROUND(Source!AX119,O126)</f>
        <v>0</v>
      </c>
      <c r="G126" s="5" t="s">
        <v>95</v>
      </c>
      <c r="H126" s="5" t="s">
        <v>96</v>
      </c>
      <c r="I126" s="5"/>
      <c r="J126" s="5"/>
      <c r="K126" s="5">
        <v>227</v>
      </c>
      <c r="L126" s="5">
        <v>6</v>
      </c>
      <c r="M126" s="5">
        <v>3</v>
      </c>
      <c r="N126" s="5" t="s">
        <v>3</v>
      </c>
      <c r="O126" s="5">
        <v>2</v>
      </c>
      <c r="P126" s="5">
        <f>ROUND(Source!EP119,O126)</f>
        <v>0</v>
      </c>
      <c r="Q126" s="5"/>
      <c r="R126" s="5"/>
      <c r="S126" s="5"/>
      <c r="T126" s="5"/>
      <c r="U126" s="5"/>
      <c r="V126" s="5"/>
      <c r="W126" s="5"/>
    </row>
    <row r="127" spans="1:23" ht="12.75">
      <c r="A127" s="5">
        <v>50</v>
      </c>
      <c r="B127" s="5">
        <v>0</v>
      </c>
      <c r="C127" s="5">
        <v>0</v>
      </c>
      <c r="D127" s="5">
        <v>1</v>
      </c>
      <c r="E127" s="5">
        <v>228</v>
      </c>
      <c r="F127" s="5">
        <f>ROUND(Source!AY119,O127)</f>
        <v>1145694.69</v>
      </c>
      <c r="G127" s="5" t="s">
        <v>97</v>
      </c>
      <c r="H127" s="5" t="s">
        <v>98</v>
      </c>
      <c r="I127" s="5"/>
      <c r="J127" s="5"/>
      <c r="K127" s="5">
        <v>228</v>
      </c>
      <c r="L127" s="5">
        <v>7</v>
      </c>
      <c r="M127" s="5">
        <v>3</v>
      </c>
      <c r="N127" s="5" t="s">
        <v>3</v>
      </c>
      <c r="O127" s="5">
        <v>2</v>
      </c>
      <c r="P127" s="5">
        <f>ROUND(Source!EQ119,O127)</f>
        <v>1147386.24</v>
      </c>
      <c r="Q127" s="5"/>
      <c r="R127" s="5"/>
      <c r="S127" s="5"/>
      <c r="T127" s="5"/>
      <c r="U127" s="5"/>
      <c r="V127" s="5"/>
      <c r="W127" s="5"/>
    </row>
    <row r="128" spans="1:23" ht="12.75">
      <c r="A128" s="5">
        <v>50</v>
      </c>
      <c r="B128" s="5">
        <v>0</v>
      </c>
      <c r="C128" s="5">
        <v>0</v>
      </c>
      <c r="D128" s="5">
        <v>1</v>
      </c>
      <c r="E128" s="5">
        <v>216</v>
      </c>
      <c r="F128" s="5">
        <f>ROUND(Source!AP119,O128)</f>
        <v>0</v>
      </c>
      <c r="G128" s="5" t="s">
        <v>99</v>
      </c>
      <c r="H128" s="5" t="s">
        <v>100</v>
      </c>
      <c r="I128" s="5"/>
      <c r="J128" s="5"/>
      <c r="K128" s="5">
        <v>216</v>
      </c>
      <c r="L128" s="5">
        <v>8</v>
      </c>
      <c r="M128" s="5">
        <v>3</v>
      </c>
      <c r="N128" s="5" t="s">
        <v>3</v>
      </c>
      <c r="O128" s="5">
        <v>2</v>
      </c>
      <c r="P128" s="5">
        <f>ROUND(Source!EH119,O128)</f>
        <v>0</v>
      </c>
      <c r="Q128" s="5"/>
      <c r="R128" s="5"/>
      <c r="S128" s="5"/>
      <c r="T128" s="5"/>
      <c r="U128" s="5"/>
      <c r="V128" s="5"/>
      <c r="W128" s="5"/>
    </row>
    <row r="129" spans="1:23" ht="12.75">
      <c r="A129" s="5">
        <v>50</v>
      </c>
      <c r="B129" s="5">
        <v>0</v>
      </c>
      <c r="C129" s="5">
        <v>0</v>
      </c>
      <c r="D129" s="5">
        <v>1</v>
      </c>
      <c r="E129" s="5">
        <v>223</v>
      </c>
      <c r="F129" s="5">
        <f>ROUND(Source!AQ119,O129)</f>
        <v>0</v>
      </c>
      <c r="G129" s="5" t="s">
        <v>101</v>
      </c>
      <c r="H129" s="5" t="s">
        <v>102</v>
      </c>
      <c r="I129" s="5"/>
      <c r="J129" s="5"/>
      <c r="K129" s="5">
        <v>223</v>
      </c>
      <c r="L129" s="5">
        <v>9</v>
      </c>
      <c r="M129" s="5">
        <v>3</v>
      </c>
      <c r="N129" s="5" t="s">
        <v>3</v>
      </c>
      <c r="O129" s="5">
        <v>2</v>
      </c>
      <c r="P129" s="5">
        <f>ROUND(Source!EI119,O129)</f>
        <v>0</v>
      </c>
      <c r="Q129" s="5"/>
      <c r="R129" s="5"/>
      <c r="S129" s="5"/>
      <c r="T129" s="5"/>
      <c r="U129" s="5"/>
      <c r="V129" s="5"/>
      <c r="W129" s="5"/>
    </row>
    <row r="130" spans="1:23" ht="12.75">
      <c r="A130" s="5">
        <v>50</v>
      </c>
      <c r="B130" s="5">
        <v>0</v>
      </c>
      <c r="C130" s="5">
        <v>0</v>
      </c>
      <c r="D130" s="5">
        <v>1</v>
      </c>
      <c r="E130" s="5">
        <v>229</v>
      </c>
      <c r="F130" s="5">
        <f>ROUND(Source!AZ119,O130)</f>
        <v>0</v>
      </c>
      <c r="G130" s="5" t="s">
        <v>103</v>
      </c>
      <c r="H130" s="5" t="s">
        <v>104</v>
      </c>
      <c r="I130" s="5"/>
      <c r="J130" s="5"/>
      <c r="K130" s="5">
        <v>229</v>
      </c>
      <c r="L130" s="5">
        <v>10</v>
      </c>
      <c r="M130" s="5">
        <v>3</v>
      </c>
      <c r="N130" s="5" t="s">
        <v>3</v>
      </c>
      <c r="O130" s="5">
        <v>2</v>
      </c>
      <c r="P130" s="5">
        <f>ROUND(Source!ER119,O130)</f>
        <v>0</v>
      </c>
      <c r="Q130" s="5"/>
      <c r="R130" s="5"/>
      <c r="S130" s="5"/>
      <c r="T130" s="5"/>
      <c r="U130" s="5"/>
      <c r="V130" s="5"/>
      <c r="W130" s="5"/>
    </row>
    <row r="131" spans="1:23" ht="12.75">
      <c r="A131" s="5">
        <v>50</v>
      </c>
      <c r="B131" s="5">
        <v>0</v>
      </c>
      <c r="C131" s="5">
        <v>0</v>
      </c>
      <c r="D131" s="5">
        <v>1</v>
      </c>
      <c r="E131" s="5">
        <v>203</v>
      </c>
      <c r="F131" s="5">
        <f>ROUND(Source!Q119,O131)</f>
        <v>286.06</v>
      </c>
      <c r="G131" s="5" t="s">
        <v>105</v>
      </c>
      <c r="H131" s="5" t="s">
        <v>106</v>
      </c>
      <c r="I131" s="5"/>
      <c r="J131" s="5"/>
      <c r="K131" s="5">
        <v>203</v>
      </c>
      <c r="L131" s="5">
        <v>11</v>
      </c>
      <c r="M131" s="5">
        <v>3</v>
      </c>
      <c r="N131" s="5" t="s">
        <v>3</v>
      </c>
      <c r="O131" s="5">
        <v>2</v>
      </c>
      <c r="P131" s="5">
        <f>ROUND(Source!DI119,O131)</f>
        <v>2051.81</v>
      </c>
      <c r="Q131" s="5"/>
      <c r="R131" s="5"/>
      <c r="S131" s="5"/>
      <c r="T131" s="5"/>
      <c r="U131" s="5"/>
      <c r="V131" s="5"/>
      <c r="W131" s="5"/>
    </row>
    <row r="132" spans="1:23" ht="12.75">
      <c r="A132" s="5">
        <v>50</v>
      </c>
      <c r="B132" s="5">
        <v>0</v>
      </c>
      <c r="C132" s="5">
        <v>0</v>
      </c>
      <c r="D132" s="5">
        <v>1</v>
      </c>
      <c r="E132" s="5">
        <v>231</v>
      </c>
      <c r="F132" s="5">
        <f>ROUND(Source!BB119,O132)</f>
        <v>0</v>
      </c>
      <c r="G132" s="5" t="s">
        <v>107</v>
      </c>
      <c r="H132" s="5" t="s">
        <v>108</v>
      </c>
      <c r="I132" s="5"/>
      <c r="J132" s="5"/>
      <c r="K132" s="5">
        <v>231</v>
      </c>
      <c r="L132" s="5">
        <v>12</v>
      </c>
      <c r="M132" s="5">
        <v>3</v>
      </c>
      <c r="N132" s="5" t="s">
        <v>3</v>
      </c>
      <c r="O132" s="5">
        <v>2</v>
      </c>
      <c r="P132" s="5">
        <f>ROUND(Source!ET119,O132)</f>
        <v>0</v>
      </c>
      <c r="Q132" s="5"/>
      <c r="R132" s="5"/>
      <c r="S132" s="5"/>
      <c r="T132" s="5"/>
      <c r="U132" s="5"/>
      <c r="V132" s="5"/>
      <c r="W132" s="5"/>
    </row>
    <row r="133" spans="1:23" ht="12.75">
      <c r="A133" s="5">
        <v>50</v>
      </c>
      <c r="B133" s="5">
        <v>0</v>
      </c>
      <c r="C133" s="5">
        <v>0</v>
      </c>
      <c r="D133" s="5">
        <v>1</v>
      </c>
      <c r="E133" s="5">
        <v>204</v>
      </c>
      <c r="F133" s="5">
        <f>ROUND(Source!R119,O133)</f>
        <v>17.79</v>
      </c>
      <c r="G133" s="5" t="s">
        <v>109</v>
      </c>
      <c r="H133" s="5" t="s">
        <v>110</v>
      </c>
      <c r="I133" s="5"/>
      <c r="J133" s="5"/>
      <c r="K133" s="5">
        <v>204</v>
      </c>
      <c r="L133" s="5">
        <v>13</v>
      </c>
      <c r="M133" s="5">
        <v>3</v>
      </c>
      <c r="N133" s="5" t="s">
        <v>3</v>
      </c>
      <c r="O133" s="5">
        <v>2</v>
      </c>
      <c r="P133" s="5">
        <f>ROUND(Source!DJ119,O133)</f>
        <v>605.27</v>
      </c>
      <c r="Q133" s="5"/>
      <c r="R133" s="5"/>
      <c r="S133" s="5"/>
      <c r="T133" s="5"/>
      <c r="U133" s="5"/>
      <c r="V133" s="5"/>
      <c r="W133" s="5"/>
    </row>
    <row r="134" spans="1:23" ht="12.75">
      <c r="A134" s="5">
        <v>50</v>
      </c>
      <c r="B134" s="5">
        <v>0</v>
      </c>
      <c r="C134" s="5">
        <v>0</v>
      </c>
      <c r="D134" s="5">
        <v>1</v>
      </c>
      <c r="E134" s="5">
        <v>205</v>
      </c>
      <c r="F134" s="5">
        <f>ROUND(Source!S119,O134)</f>
        <v>1429.91</v>
      </c>
      <c r="G134" s="5" t="s">
        <v>111</v>
      </c>
      <c r="H134" s="5" t="s">
        <v>112</v>
      </c>
      <c r="I134" s="5"/>
      <c r="J134" s="5"/>
      <c r="K134" s="5">
        <v>205</v>
      </c>
      <c r="L134" s="5">
        <v>14</v>
      </c>
      <c r="M134" s="5">
        <v>3</v>
      </c>
      <c r="N134" s="5" t="s">
        <v>3</v>
      </c>
      <c r="O134" s="5">
        <v>2</v>
      </c>
      <c r="P134" s="5">
        <f>ROUND(Source!DK119,O134)</f>
        <v>48631.2</v>
      </c>
      <c r="Q134" s="5"/>
      <c r="R134" s="5"/>
      <c r="S134" s="5"/>
      <c r="T134" s="5"/>
      <c r="U134" s="5"/>
      <c r="V134" s="5"/>
      <c r="W134" s="5"/>
    </row>
    <row r="135" spans="1:23" ht="12.75">
      <c r="A135" s="5">
        <v>50</v>
      </c>
      <c r="B135" s="5">
        <v>0</v>
      </c>
      <c r="C135" s="5">
        <v>0</v>
      </c>
      <c r="D135" s="5">
        <v>1</v>
      </c>
      <c r="E135" s="5">
        <v>232</v>
      </c>
      <c r="F135" s="5">
        <f>ROUND(Source!BC119,O135)</f>
        <v>0</v>
      </c>
      <c r="G135" s="5" t="s">
        <v>113</v>
      </c>
      <c r="H135" s="5" t="s">
        <v>114</v>
      </c>
      <c r="I135" s="5"/>
      <c r="J135" s="5"/>
      <c r="K135" s="5">
        <v>232</v>
      </c>
      <c r="L135" s="5">
        <v>15</v>
      </c>
      <c r="M135" s="5">
        <v>3</v>
      </c>
      <c r="N135" s="5" t="s">
        <v>3</v>
      </c>
      <c r="O135" s="5">
        <v>2</v>
      </c>
      <c r="P135" s="5">
        <f>ROUND(Source!EU119,O135)</f>
        <v>0</v>
      </c>
      <c r="Q135" s="5"/>
      <c r="R135" s="5"/>
      <c r="S135" s="5"/>
      <c r="T135" s="5"/>
      <c r="U135" s="5"/>
      <c r="V135" s="5"/>
      <c r="W135" s="5"/>
    </row>
    <row r="136" spans="1:23" ht="12.75">
      <c r="A136" s="5">
        <v>50</v>
      </c>
      <c r="B136" s="5">
        <v>0</v>
      </c>
      <c r="C136" s="5">
        <v>0</v>
      </c>
      <c r="D136" s="5">
        <v>1</v>
      </c>
      <c r="E136" s="5">
        <v>214</v>
      </c>
      <c r="F136" s="5">
        <f>ROUND(Source!AS119,O136)</f>
        <v>1149641.61</v>
      </c>
      <c r="G136" s="5" t="s">
        <v>115</v>
      </c>
      <c r="H136" s="5" t="s">
        <v>116</v>
      </c>
      <c r="I136" s="5"/>
      <c r="J136" s="5"/>
      <c r="K136" s="5">
        <v>214</v>
      </c>
      <c r="L136" s="5">
        <v>16</v>
      </c>
      <c r="M136" s="5">
        <v>3</v>
      </c>
      <c r="N136" s="5" t="s">
        <v>3</v>
      </c>
      <c r="O136" s="5">
        <v>2</v>
      </c>
      <c r="P136" s="5">
        <f>ROUND(Source!EK119,O136)</f>
        <v>1273943.74</v>
      </c>
      <c r="Q136" s="5"/>
      <c r="R136" s="5"/>
      <c r="S136" s="5"/>
      <c r="T136" s="5"/>
      <c r="U136" s="5"/>
      <c r="V136" s="5"/>
      <c r="W136" s="5"/>
    </row>
    <row r="137" spans="1:23" ht="12.75">
      <c r="A137" s="5">
        <v>50</v>
      </c>
      <c r="B137" s="5">
        <v>0</v>
      </c>
      <c r="C137" s="5">
        <v>0</v>
      </c>
      <c r="D137" s="5">
        <v>1</v>
      </c>
      <c r="E137" s="5">
        <v>215</v>
      </c>
      <c r="F137" s="5">
        <f>ROUND(Source!AT119,O137)</f>
        <v>0</v>
      </c>
      <c r="G137" s="5" t="s">
        <v>117</v>
      </c>
      <c r="H137" s="5" t="s">
        <v>118</v>
      </c>
      <c r="I137" s="5"/>
      <c r="J137" s="5"/>
      <c r="K137" s="5">
        <v>215</v>
      </c>
      <c r="L137" s="5">
        <v>17</v>
      </c>
      <c r="M137" s="5">
        <v>3</v>
      </c>
      <c r="N137" s="5" t="s">
        <v>3</v>
      </c>
      <c r="O137" s="5">
        <v>2</v>
      </c>
      <c r="P137" s="5">
        <f>ROUND(Source!EL119,O137)</f>
        <v>0</v>
      </c>
      <c r="Q137" s="5"/>
      <c r="R137" s="5"/>
      <c r="S137" s="5"/>
      <c r="T137" s="5"/>
      <c r="U137" s="5"/>
      <c r="V137" s="5"/>
      <c r="W137" s="5"/>
    </row>
    <row r="138" spans="1:23" ht="12.75">
      <c r="A138" s="5">
        <v>50</v>
      </c>
      <c r="B138" s="5">
        <v>0</v>
      </c>
      <c r="C138" s="5">
        <v>0</v>
      </c>
      <c r="D138" s="5">
        <v>1</v>
      </c>
      <c r="E138" s="5">
        <v>217</v>
      </c>
      <c r="F138" s="5">
        <f>ROUND(Source!AU119,O138)</f>
        <v>0</v>
      </c>
      <c r="G138" s="5" t="s">
        <v>119</v>
      </c>
      <c r="H138" s="5" t="s">
        <v>120</v>
      </c>
      <c r="I138" s="5"/>
      <c r="J138" s="5"/>
      <c r="K138" s="5">
        <v>217</v>
      </c>
      <c r="L138" s="5">
        <v>18</v>
      </c>
      <c r="M138" s="5">
        <v>3</v>
      </c>
      <c r="N138" s="5" t="s">
        <v>3</v>
      </c>
      <c r="O138" s="5">
        <v>2</v>
      </c>
      <c r="P138" s="5">
        <f>ROUND(Source!EM119,O138)</f>
        <v>0</v>
      </c>
      <c r="Q138" s="5"/>
      <c r="R138" s="5"/>
      <c r="S138" s="5"/>
      <c r="T138" s="5"/>
      <c r="U138" s="5"/>
      <c r="V138" s="5"/>
      <c r="W138" s="5"/>
    </row>
    <row r="139" spans="1:23" ht="12.75">
      <c r="A139" s="5">
        <v>50</v>
      </c>
      <c r="B139" s="5">
        <v>0</v>
      </c>
      <c r="C139" s="5">
        <v>0</v>
      </c>
      <c r="D139" s="5">
        <v>1</v>
      </c>
      <c r="E139" s="5">
        <v>230</v>
      </c>
      <c r="F139" s="5">
        <f>ROUND(Source!BA119,O139)</f>
        <v>0</v>
      </c>
      <c r="G139" s="5" t="s">
        <v>121</v>
      </c>
      <c r="H139" s="5" t="s">
        <v>122</v>
      </c>
      <c r="I139" s="5"/>
      <c r="J139" s="5"/>
      <c r="K139" s="5">
        <v>230</v>
      </c>
      <c r="L139" s="5">
        <v>19</v>
      </c>
      <c r="M139" s="5">
        <v>3</v>
      </c>
      <c r="N139" s="5" t="s">
        <v>3</v>
      </c>
      <c r="O139" s="5">
        <v>2</v>
      </c>
      <c r="P139" s="5">
        <f>ROUND(Source!ES119,O139)</f>
        <v>0</v>
      </c>
      <c r="Q139" s="5"/>
      <c r="R139" s="5"/>
      <c r="S139" s="5"/>
      <c r="T139" s="5"/>
      <c r="U139" s="5"/>
      <c r="V139" s="5"/>
      <c r="W139" s="5"/>
    </row>
    <row r="140" spans="1:23" ht="12.75">
      <c r="A140" s="5">
        <v>50</v>
      </c>
      <c r="B140" s="5">
        <v>0</v>
      </c>
      <c r="C140" s="5">
        <v>0</v>
      </c>
      <c r="D140" s="5">
        <v>1</v>
      </c>
      <c r="E140" s="5">
        <v>206</v>
      </c>
      <c r="F140" s="5">
        <f>ROUND(Source!T119,O140)</f>
        <v>0</v>
      </c>
      <c r="G140" s="5" t="s">
        <v>123</v>
      </c>
      <c r="H140" s="5" t="s">
        <v>124</v>
      </c>
      <c r="I140" s="5"/>
      <c r="J140" s="5"/>
      <c r="K140" s="5">
        <v>206</v>
      </c>
      <c r="L140" s="5">
        <v>20</v>
      </c>
      <c r="M140" s="5">
        <v>3</v>
      </c>
      <c r="N140" s="5" t="s">
        <v>3</v>
      </c>
      <c r="O140" s="5">
        <v>2</v>
      </c>
      <c r="P140" s="5">
        <f>ROUND(Source!DL119,O140)</f>
        <v>0</v>
      </c>
      <c r="Q140" s="5"/>
      <c r="R140" s="5"/>
      <c r="S140" s="5"/>
      <c r="T140" s="5"/>
      <c r="U140" s="5"/>
      <c r="V140" s="5"/>
      <c r="W140" s="5"/>
    </row>
    <row r="141" spans="1:23" ht="12.75">
      <c r="A141" s="5">
        <v>50</v>
      </c>
      <c r="B141" s="5">
        <v>0</v>
      </c>
      <c r="C141" s="5">
        <v>0</v>
      </c>
      <c r="D141" s="5">
        <v>1</v>
      </c>
      <c r="E141" s="5">
        <v>207</v>
      </c>
      <c r="F141" s="5">
        <f>Source!U119</f>
        <v>144.90302</v>
      </c>
      <c r="G141" s="5" t="s">
        <v>125</v>
      </c>
      <c r="H141" s="5" t="s">
        <v>126</v>
      </c>
      <c r="I141" s="5"/>
      <c r="J141" s="5"/>
      <c r="K141" s="5">
        <v>207</v>
      </c>
      <c r="L141" s="5">
        <v>21</v>
      </c>
      <c r="M141" s="5">
        <v>3</v>
      </c>
      <c r="N141" s="5" t="s">
        <v>3</v>
      </c>
      <c r="O141" s="5">
        <v>-1</v>
      </c>
      <c r="P141" s="5">
        <f>Source!DM119</f>
        <v>144.90302</v>
      </c>
      <c r="Q141" s="5"/>
      <c r="R141" s="5"/>
      <c r="S141" s="5"/>
      <c r="T141" s="5"/>
      <c r="U141" s="5"/>
      <c r="V141" s="5"/>
      <c r="W141" s="5"/>
    </row>
    <row r="142" spans="1:23" ht="12.75">
      <c r="A142" s="5">
        <v>50</v>
      </c>
      <c r="B142" s="5">
        <v>0</v>
      </c>
      <c r="C142" s="5">
        <v>0</v>
      </c>
      <c r="D142" s="5">
        <v>1</v>
      </c>
      <c r="E142" s="5">
        <v>208</v>
      </c>
      <c r="F142" s="5">
        <f>Source!V119</f>
        <v>1.362</v>
      </c>
      <c r="G142" s="5" t="s">
        <v>127</v>
      </c>
      <c r="H142" s="5" t="s">
        <v>128</v>
      </c>
      <c r="I142" s="5"/>
      <c r="J142" s="5"/>
      <c r="K142" s="5">
        <v>208</v>
      </c>
      <c r="L142" s="5">
        <v>22</v>
      </c>
      <c r="M142" s="5">
        <v>3</v>
      </c>
      <c r="N142" s="5" t="s">
        <v>3</v>
      </c>
      <c r="O142" s="5">
        <v>-1</v>
      </c>
      <c r="P142" s="5">
        <f>Source!DN119</f>
        <v>1.362</v>
      </c>
      <c r="Q142" s="5"/>
      <c r="R142" s="5"/>
      <c r="S142" s="5"/>
      <c r="T142" s="5"/>
      <c r="U142" s="5"/>
      <c r="V142" s="5"/>
      <c r="W142" s="5"/>
    </row>
    <row r="143" spans="1:23" ht="12.75">
      <c r="A143" s="5">
        <v>50</v>
      </c>
      <c r="B143" s="5">
        <v>0</v>
      </c>
      <c r="C143" s="5">
        <v>0</v>
      </c>
      <c r="D143" s="5">
        <v>1</v>
      </c>
      <c r="E143" s="5">
        <v>209</v>
      </c>
      <c r="F143" s="5">
        <f>ROUND(Source!W119,O143)</f>
        <v>0</v>
      </c>
      <c r="G143" s="5" t="s">
        <v>129</v>
      </c>
      <c r="H143" s="5" t="s">
        <v>130</v>
      </c>
      <c r="I143" s="5"/>
      <c r="J143" s="5"/>
      <c r="K143" s="5">
        <v>209</v>
      </c>
      <c r="L143" s="5">
        <v>23</v>
      </c>
      <c r="M143" s="5">
        <v>3</v>
      </c>
      <c r="N143" s="5" t="s">
        <v>3</v>
      </c>
      <c r="O143" s="5">
        <v>2</v>
      </c>
      <c r="P143" s="5">
        <f>ROUND(Source!DO119,O143)</f>
        <v>0</v>
      </c>
      <c r="Q143" s="5"/>
      <c r="R143" s="5"/>
      <c r="S143" s="5"/>
      <c r="T143" s="5"/>
      <c r="U143" s="5"/>
      <c r="V143" s="5"/>
      <c r="W143" s="5"/>
    </row>
    <row r="144" spans="1:23" ht="12.75">
      <c r="A144" s="5">
        <v>50</v>
      </c>
      <c r="B144" s="5">
        <v>0</v>
      </c>
      <c r="C144" s="5">
        <v>0</v>
      </c>
      <c r="D144" s="5">
        <v>1</v>
      </c>
      <c r="E144" s="5">
        <v>233</v>
      </c>
      <c r="F144" s="5">
        <f>ROUND(Source!BD119,O144)</f>
        <v>0</v>
      </c>
      <c r="G144" s="5" t="s">
        <v>131</v>
      </c>
      <c r="H144" s="5" t="s">
        <v>132</v>
      </c>
      <c r="I144" s="5"/>
      <c r="J144" s="5"/>
      <c r="K144" s="5">
        <v>233</v>
      </c>
      <c r="L144" s="5">
        <v>24</v>
      </c>
      <c r="M144" s="5">
        <v>3</v>
      </c>
      <c r="N144" s="5" t="s">
        <v>3</v>
      </c>
      <c r="O144" s="5">
        <v>2</v>
      </c>
      <c r="P144" s="5">
        <f>ROUND(Source!EV119,O144)</f>
        <v>0</v>
      </c>
      <c r="Q144" s="5"/>
      <c r="R144" s="5"/>
      <c r="S144" s="5"/>
      <c r="T144" s="5"/>
      <c r="U144" s="5"/>
      <c r="V144" s="5"/>
      <c r="W144" s="5"/>
    </row>
    <row r="145" spans="1:23" ht="12.75">
      <c r="A145" s="5">
        <v>50</v>
      </c>
      <c r="B145" s="5">
        <v>0</v>
      </c>
      <c r="C145" s="5">
        <v>0</v>
      </c>
      <c r="D145" s="5">
        <v>1</v>
      </c>
      <c r="E145" s="5">
        <v>210</v>
      </c>
      <c r="F145" s="5">
        <f>ROUND(Source!X119,O145)</f>
        <v>1202.32</v>
      </c>
      <c r="G145" s="5" t="s">
        <v>133</v>
      </c>
      <c r="H145" s="5" t="s">
        <v>134</v>
      </c>
      <c r="I145" s="5"/>
      <c r="J145" s="5"/>
      <c r="K145" s="5">
        <v>210</v>
      </c>
      <c r="L145" s="5">
        <v>25</v>
      </c>
      <c r="M145" s="5">
        <v>3</v>
      </c>
      <c r="N145" s="5" t="s">
        <v>3</v>
      </c>
      <c r="O145" s="5">
        <v>2</v>
      </c>
      <c r="P145" s="5">
        <f>ROUND(Source!DP119,O145)</f>
        <v>40891.09</v>
      </c>
      <c r="Q145" s="5"/>
      <c r="R145" s="5"/>
      <c r="S145" s="5"/>
      <c r="T145" s="5"/>
      <c r="U145" s="5"/>
      <c r="V145" s="5"/>
      <c r="W145" s="5"/>
    </row>
    <row r="146" spans="1:23" ht="12.75">
      <c r="A146" s="5">
        <v>50</v>
      </c>
      <c r="B146" s="5">
        <v>0</v>
      </c>
      <c r="C146" s="5">
        <v>0</v>
      </c>
      <c r="D146" s="5">
        <v>1</v>
      </c>
      <c r="E146" s="5">
        <v>211</v>
      </c>
      <c r="F146" s="5">
        <f>ROUND(Source!Y119,O146)</f>
        <v>1028.63</v>
      </c>
      <c r="G146" s="5" t="s">
        <v>135</v>
      </c>
      <c r="H146" s="5" t="s">
        <v>136</v>
      </c>
      <c r="I146" s="5"/>
      <c r="J146" s="5"/>
      <c r="K146" s="5">
        <v>211</v>
      </c>
      <c r="L146" s="5">
        <v>26</v>
      </c>
      <c r="M146" s="5">
        <v>3</v>
      </c>
      <c r="N146" s="5" t="s">
        <v>3</v>
      </c>
      <c r="O146" s="5">
        <v>2</v>
      </c>
      <c r="P146" s="5">
        <f>ROUND(Source!DQ119,O146)</f>
        <v>34983.4</v>
      </c>
      <c r="Q146" s="5"/>
      <c r="R146" s="5"/>
      <c r="S146" s="5"/>
      <c r="T146" s="5"/>
      <c r="U146" s="5"/>
      <c r="V146" s="5"/>
      <c r="W146" s="5"/>
    </row>
    <row r="147" spans="1:23" ht="12.75">
      <c r="A147" s="5">
        <v>50</v>
      </c>
      <c r="B147" s="5">
        <v>0</v>
      </c>
      <c r="C147" s="5">
        <v>0</v>
      </c>
      <c r="D147" s="5">
        <v>1</v>
      </c>
      <c r="E147" s="5">
        <v>224</v>
      </c>
      <c r="F147" s="5">
        <f>ROUND(Source!AR119,O147)</f>
        <v>1149641.61</v>
      </c>
      <c r="G147" s="5" t="s">
        <v>137</v>
      </c>
      <c r="H147" s="5" t="s">
        <v>138</v>
      </c>
      <c r="I147" s="5"/>
      <c r="J147" s="5"/>
      <c r="K147" s="5">
        <v>224</v>
      </c>
      <c r="L147" s="5">
        <v>27</v>
      </c>
      <c r="M147" s="5">
        <v>3</v>
      </c>
      <c r="N147" s="5" t="s">
        <v>3</v>
      </c>
      <c r="O147" s="5">
        <v>2</v>
      </c>
      <c r="P147" s="5">
        <f>ROUND(Source!EJ119,O147)</f>
        <v>1273943.74</v>
      </c>
      <c r="Q147" s="5"/>
      <c r="R147" s="5"/>
      <c r="S147" s="5"/>
      <c r="T147" s="5"/>
      <c r="U147" s="5"/>
      <c r="V147" s="5"/>
      <c r="W147" s="5"/>
    </row>
    <row r="149" spans="1:88" ht="12.75">
      <c r="A149" s="1">
        <v>4</v>
      </c>
      <c r="B149" s="1">
        <v>1</v>
      </c>
      <c r="C149" s="1"/>
      <c r="D149" s="1">
        <f>ROW(A158)</f>
        <v>158</v>
      </c>
      <c r="E149" s="1"/>
      <c r="F149" s="1" t="s">
        <v>24</v>
      </c>
      <c r="G149" s="1" t="s">
        <v>178</v>
      </c>
      <c r="H149" s="1" t="s">
        <v>3</v>
      </c>
      <c r="I149" s="1">
        <v>0</v>
      </c>
      <c r="J149" s="1"/>
      <c r="K149" s="1">
        <v>0</v>
      </c>
      <c r="L149" s="1"/>
      <c r="M149" s="1" t="s">
        <v>3</v>
      </c>
      <c r="N149" s="1"/>
      <c r="O149" s="1"/>
      <c r="P149" s="1"/>
      <c r="Q149" s="1"/>
      <c r="R149" s="1"/>
      <c r="S149" s="1">
        <v>0</v>
      </c>
      <c r="T149" s="1">
        <v>0</v>
      </c>
      <c r="U149" s="1" t="s">
        <v>3</v>
      </c>
      <c r="V149" s="1">
        <v>0</v>
      </c>
      <c r="W149" s="1"/>
      <c r="X149" s="1"/>
      <c r="Y149" s="1"/>
      <c r="Z149" s="1"/>
      <c r="AA149" s="1"/>
      <c r="AB149" s="1" t="s">
        <v>3</v>
      </c>
      <c r="AC149" s="1" t="s">
        <v>3</v>
      </c>
      <c r="AD149" s="1" t="s">
        <v>3</v>
      </c>
      <c r="AE149" s="1" t="s">
        <v>3</v>
      </c>
      <c r="AF149" s="1" t="s">
        <v>3</v>
      </c>
      <c r="AG149" s="1" t="s">
        <v>3</v>
      </c>
      <c r="AH149" s="1"/>
      <c r="AI149" s="1"/>
      <c r="AJ149" s="1"/>
      <c r="AK149" s="1"/>
      <c r="AL149" s="1"/>
      <c r="AM149" s="1"/>
      <c r="AN149" s="1"/>
      <c r="AO149" s="1"/>
      <c r="AP149" s="1" t="s">
        <v>3</v>
      </c>
      <c r="AQ149" s="1" t="s">
        <v>3</v>
      </c>
      <c r="AR149" s="1" t="s">
        <v>3</v>
      </c>
      <c r="AS149" s="1"/>
      <c r="AT149" s="1"/>
      <c r="AU149" s="1"/>
      <c r="AV149" s="1"/>
      <c r="AW149" s="1"/>
      <c r="AX149" s="1"/>
      <c r="AY149" s="1"/>
      <c r="AZ149" s="1" t="s">
        <v>3</v>
      </c>
      <c r="BA149" s="1"/>
      <c r="BB149" s="1" t="s">
        <v>3</v>
      </c>
      <c r="BC149" s="1" t="s">
        <v>3</v>
      </c>
      <c r="BD149" s="1" t="s">
        <v>3</v>
      </c>
      <c r="BE149" s="1" t="s">
        <v>3</v>
      </c>
      <c r="BF149" s="1" t="s">
        <v>3</v>
      </c>
      <c r="BG149" s="1" t="s">
        <v>3</v>
      </c>
      <c r="BH149" s="1" t="s">
        <v>3</v>
      </c>
      <c r="BI149" s="1" t="s">
        <v>3</v>
      </c>
      <c r="BJ149" s="1" t="s">
        <v>3</v>
      </c>
      <c r="BK149" s="1" t="s">
        <v>3</v>
      </c>
      <c r="BL149" s="1" t="s">
        <v>3</v>
      </c>
      <c r="BM149" s="1" t="s">
        <v>3</v>
      </c>
      <c r="BN149" s="1" t="s">
        <v>3</v>
      </c>
      <c r="BO149" s="1" t="s">
        <v>3</v>
      </c>
      <c r="BP149" s="1" t="s">
        <v>3</v>
      </c>
      <c r="BQ149" s="1"/>
      <c r="BR149" s="1"/>
      <c r="BS149" s="1"/>
      <c r="BT149" s="1"/>
      <c r="BU149" s="1"/>
      <c r="BV149" s="1"/>
      <c r="BW149" s="1"/>
      <c r="BX149" s="1">
        <v>0</v>
      </c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>
        <v>0</v>
      </c>
    </row>
    <row r="151" spans="1:206" ht="12.75">
      <c r="A151" s="3">
        <v>52</v>
      </c>
      <c r="B151" s="3">
        <f aca="true" t="shared" si="121" ref="B151:G151">B158</f>
        <v>1</v>
      </c>
      <c r="C151" s="3">
        <f t="shared" si="121"/>
        <v>4</v>
      </c>
      <c r="D151" s="3">
        <f t="shared" si="121"/>
        <v>149</v>
      </c>
      <c r="E151" s="3">
        <f t="shared" si="121"/>
        <v>0</v>
      </c>
      <c r="F151" s="3" t="str">
        <f t="shared" si="121"/>
        <v>Новый раздел</v>
      </c>
      <c r="G151" s="3" t="str">
        <f t="shared" si="121"/>
        <v>Разные работы</v>
      </c>
      <c r="H151" s="3"/>
      <c r="I151" s="3"/>
      <c r="J151" s="3"/>
      <c r="K151" s="3"/>
      <c r="L151" s="3"/>
      <c r="M151" s="3"/>
      <c r="N151" s="3"/>
      <c r="O151" s="3">
        <f aca="true" t="shared" si="122" ref="O151:AT151">O158</f>
        <v>0</v>
      </c>
      <c r="P151" s="3">
        <f t="shared" si="122"/>
        <v>0</v>
      </c>
      <c r="Q151" s="3">
        <f t="shared" si="122"/>
        <v>0</v>
      </c>
      <c r="R151" s="3">
        <f t="shared" si="122"/>
        <v>0</v>
      </c>
      <c r="S151" s="3">
        <f t="shared" si="122"/>
        <v>0</v>
      </c>
      <c r="T151" s="3">
        <f t="shared" si="122"/>
        <v>0</v>
      </c>
      <c r="U151" s="3">
        <f t="shared" si="122"/>
        <v>0</v>
      </c>
      <c r="V151" s="3">
        <f t="shared" si="122"/>
        <v>0</v>
      </c>
      <c r="W151" s="3">
        <f t="shared" si="122"/>
        <v>0</v>
      </c>
      <c r="X151" s="3">
        <f t="shared" si="122"/>
        <v>0</v>
      </c>
      <c r="Y151" s="3">
        <f t="shared" si="122"/>
        <v>0</v>
      </c>
      <c r="Z151" s="3">
        <f t="shared" si="122"/>
        <v>0</v>
      </c>
      <c r="AA151" s="3">
        <f t="shared" si="122"/>
        <v>0</v>
      </c>
      <c r="AB151" s="3">
        <f t="shared" si="122"/>
        <v>0</v>
      </c>
      <c r="AC151" s="3">
        <f t="shared" si="122"/>
        <v>0</v>
      </c>
      <c r="AD151" s="3">
        <f t="shared" si="122"/>
        <v>0</v>
      </c>
      <c r="AE151" s="3">
        <f t="shared" si="122"/>
        <v>0</v>
      </c>
      <c r="AF151" s="3">
        <f t="shared" si="122"/>
        <v>0</v>
      </c>
      <c r="AG151" s="3">
        <f t="shared" si="122"/>
        <v>0</v>
      </c>
      <c r="AH151" s="3">
        <f t="shared" si="122"/>
        <v>0</v>
      </c>
      <c r="AI151" s="3">
        <f t="shared" si="122"/>
        <v>0</v>
      </c>
      <c r="AJ151" s="3">
        <f t="shared" si="122"/>
        <v>0</v>
      </c>
      <c r="AK151" s="3">
        <f t="shared" si="122"/>
        <v>0</v>
      </c>
      <c r="AL151" s="3">
        <f t="shared" si="122"/>
        <v>0</v>
      </c>
      <c r="AM151" s="3">
        <f t="shared" si="122"/>
        <v>0</v>
      </c>
      <c r="AN151" s="3">
        <f t="shared" si="122"/>
        <v>0</v>
      </c>
      <c r="AO151" s="3">
        <f t="shared" si="122"/>
        <v>0</v>
      </c>
      <c r="AP151" s="3">
        <f t="shared" si="122"/>
        <v>0</v>
      </c>
      <c r="AQ151" s="3">
        <f t="shared" si="122"/>
        <v>0</v>
      </c>
      <c r="AR151" s="3">
        <f t="shared" si="122"/>
        <v>50.59</v>
      </c>
      <c r="AS151" s="3">
        <f t="shared" si="122"/>
        <v>50.59</v>
      </c>
      <c r="AT151" s="3">
        <f t="shared" si="122"/>
        <v>0</v>
      </c>
      <c r="AU151" s="3">
        <f aca="true" t="shared" si="123" ref="AU151:BZ151">AU158</f>
        <v>0</v>
      </c>
      <c r="AV151" s="3">
        <f t="shared" si="123"/>
        <v>0</v>
      </c>
      <c r="AW151" s="3">
        <f t="shared" si="123"/>
        <v>0</v>
      </c>
      <c r="AX151" s="3">
        <f t="shared" si="123"/>
        <v>0</v>
      </c>
      <c r="AY151" s="3">
        <f t="shared" si="123"/>
        <v>0</v>
      </c>
      <c r="AZ151" s="3">
        <f t="shared" si="123"/>
        <v>0</v>
      </c>
      <c r="BA151" s="3">
        <f t="shared" si="123"/>
        <v>0</v>
      </c>
      <c r="BB151" s="3">
        <f t="shared" si="123"/>
        <v>0</v>
      </c>
      <c r="BC151" s="3">
        <f t="shared" si="123"/>
        <v>0</v>
      </c>
      <c r="BD151" s="3">
        <f t="shared" si="123"/>
        <v>50.59</v>
      </c>
      <c r="BE151" s="3">
        <f t="shared" si="123"/>
        <v>0</v>
      </c>
      <c r="BF151" s="3">
        <f t="shared" si="123"/>
        <v>0</v>
      </c>
      <c r="BG151" s="3">
        <f t="shared" si="123"/>
        <v>0</v>
      </c>
      <c r="BH151" s="3">
        <f t="shared" si="123"/>
        <v>0</v>
      </c>
      <c r="BI151" s="3">
        <f t="shared" si="123"/>
        <v>0</v>
      </c>
      <c r="BJ151" s="3">
        <f t="shared" si="123"/>
        <v>0</v>
      </c>
      <c r="BK151" s="3">
        <f t="shared" si="123"/>
        <v>0</v>
      </c>
      <c r="BL151" s="3">
        <f t="shared" si="123"/>
        <v>0</v>
      </c>
      <c r="BM151" s="3">
        <f t="shared" si="123"/>
        <v>0</v>
      </c>
      <c r="BN151" s="3">
        <f t="shared" si="123"/>
        <v>0</v>
      </c>
      <c r="BO151" s="3">
        <f t="shared" si="123"/>
        <v>0</v>
      </c>
      <c r="BP151" s="3">
        <f t="shared" si="123"/>
        <v>0</v>
      </c>
      <c r="BQ151" s="3">
        <f t="shared" si="123"/>
        <v>0</v>
      </c>
      <c r="BR151" s="3">
        <f t="shared" si="123"/>
        <v>0</v>
      </c>
      <c r="BS151" s="3">
        <f t="shared" si="123"/>
        <v>0</v>
      </c>
      <c r="BT151" s="3">
        <f t="shared" si="123"/>
        <v>0</v>
      </c>
      <c r="BU151" s="3">
        <f t="shared" si="123"/>
        <v>0</v>
      </c>
      <c r="BV151" s="3">
        <f t="shared" si="123"/>
        <v>0</v>
      </c>
      <c r="BW151" s="3">
        <f t="shared" si="123"/>
        <v>0</v>
      </c>
      <c r="BX151" s="3">
        <f t="shared" si="123"/>
        <v>0</v>
      </c>
      <c r="BY151" s="3">
        <f t="shared" si="123"/>
        <v>0</v>
      </c>
      <c r="BZ151" s="3">
        <f t="shared" si="123"/>
        <v>0</v>
      </c>
      <c r="CA151" s="3">
        <f aca="true" t="shared" si="124" ref="CA151:DF151">CA158</f>
        <v>50.59</v>
      </c>
      <c r="CB151" s="3">
        <f t="shared" si="124"/>
        <v>50.59</v>
      </c>
      <c r="CC151" s="3">
        <f t="shared" si="124"/>
        <v>0</v>
      </c>
      <c r="CD151" s="3">
        <f t="shared" si="124"/>
        <v>0</v>
      </c>
      <c r="CE151" s="3">
        <f t="shared" si="124"/>
        <v>0</v>
      </c>
      <c r="CF151" s="3">
        <f t="shared" si="124"/>
        <v>0</v>
      </c>
      <c r="CG151" s="3">
        <f t="shared" si="124"/>
        <v>0</v>
      </c>
      <c r="CH151" s="3">
        <f t="shared" si="124"/>
        <v>0</v>
      </c>
      <c r="CI151" s="3">
        <f t="shared" si="124"/>
        <v>0</v>
      </c>
      <c r="CJ151" s="3">
        <f t="shared" si="124"/>
        <v>0</v>
      </c>
      <c r="CK151" s="3">
        <f t="shared" si="124"/>
        <v>0</v>
      </c>
      <c r="CL151" s="3">
        <f t="shared" si="124"/>
        <v>0</v>
      </c>
      <c r="CM151" s="3">
        <f t="shared" si="124"/>
        <v>50.59</v>
      </c>
      <c r="CN151" s="3">
        <f t="shared" si="124"/>
        <v>0</v>
      </c>
      <c r="CO151" s="3">
        <f t="shared" si="124"/>
        <v>0</v>
      </c>
      <c r="CP151" s="3">
        <f t="shared" si="124"/>
        <v>0</v>
      </c>
      <c r="CQ151" s="3">
        <f t="shared" si="124"/>
        <v>0</v>
      </c>
      <c r="CR151" s="3">
        <f t="shared" si="124"/>
        <v>0</v>
      </c>
      <c r="CS151" s="3">
        <f t="shared" si="124"/>
        <v>0</v>
      </c>
      <c r="CT151" s="3">
        <f t="shared" si="124"/>
        <v>0</v>
      </c>
      <c r="CU151" s="3">
        <f t="shared" si="124"/>
        <v>0</v>
      </c>
      <c r="CV151" s="3">
        <f t="shared" si="124"/>
        <v>0</v>
      </c>
      <c r="CW151" s="3">
        <f t="shared" si="124"/>
        <v>0</v>
      </c>
      <c r="CX151" s="3">
        <f t="shared" si="124"/>
        <v>0</v>
      </c>
      <c r="CY151" s="3">
        <f t="shared" si="124"/>
        <v>0</v>
      </c>
      <c r="CZ151" s="3">
        <f t="shared" si="124"/>
        <v>0</v>
      </c>
      <c r="DA151" s="3">
        <f t="shared" si="124"/>
        <v>0</v>
      </c>
      <c r="DB151" s="3">
        <f t="shared" si="124"/>
        <v>0</v>
      </c>
      <c r="DC151" s="3">
        <f t="shared" si="124"/>
        <v>0</v>
      </c>
      <c r="DD151" s="3">
        <f t="shared" si="124"/>
        <v>0</v>
      </c>
      <c r="DE151" s="3">
        <f t="shared" si="124"/>
        <v>0</v>
      </c>
      <c r="DF151" s="3">
        <f t="shared" si="124"/>
        <v>0</v>
      </c>
      <c r="DG151" s="4">
        <f aca="true" t="shared" si="125" ref="DG151:EL151">DG158</f>
        <v>0</v>
      </c>
      <c r="DH151" s="4">
        <f t="shared" si="125"/>
        <v>0</v>
      </c>
      <c r="DI151" s="4">
        <f t="shared" si="125"/>
        <v>0</v>
      </c>
      <c r="DJ151" s="4">
        <f t="shared" si="125"/>
        <v>0</v>
      </c>
      <c r="DK151" s="4">
        <f t="shared" si="125"/>
        <v>0</v>
      </c>
      <c r="DL151" s="4">
        <f t="shared" si="125"/>
        <v>0</v>
      </c>
      <c r="DM151" s="4">
        <f t="shared" si="125"/>
        <v>0</v>
      </c>
      <c r="DN151" s="4">
        <f t="shared" si="125"/>
        <v>0</v>
      </c>
      <c r="DO151" s="4">
        <f t="shared" si="125"/>
        <v>0</v>
      </c>
      <c r="DP151" s="4">
        <f t="shared" si="125"/>
        <v>0</v>
      </c>
      <c r="DQ151" s="4">
        <f t="shared" si="125"/>
        <v>0</v>
      </c>
      <c r="DR151" s="4">
        <f t="shared" si="125"/>
        <v>0</v>
      </c>
      <c r="DS151" s="4">
        <f t="shared" si="125"/>
        <v>0</v>
      </c>
      <c r="DT151" s="4">
        <f t="shared" si="125"/>
        <v>0</v>
      </c>
      <c r="DU151" s="4">
        <f t="shared" si="125"/>
        <v>0</v>
      </c>
      <c r="DV151" s="4">
        <f t="shared" si="125"/>
        <v>0</v>
      </c>
      <c r="DW151" s="4">
        <f t="shared" si="125"/>
        <v>0</v>
      </c>
      <c r="DX151" s="4">
        <f t="shared" si="125"/>
        <v>0</v>
      </c>
      <c r="DY151" s="4">
        <f t="shared" si="125"/>
        <v>0</v>
      </c>
      <c r="DZ151" s="4">
        <f t="shared" si="125"/>
        <v>0</v>
      </c>
      <c r="EA151" s="4">
        <f t="shared" si="125"/>
        <v>0</v>
      </c>
      <c r="EB151" s="4">
        <f t="shared" si="125"/>
        <v>0</v>
      </c>
      <c r="EC151" s="4">
        <f t="shared" si="125"/>
        <v>0</v>
      </c>
      <c r="ED151" s="4">
        <f t="shared" si="125"/>
        <v>0</v>
      </c>
      <c r="EE151" s="4">
        <f t="shared" si="125"/>
        <v>0</v>
      </c>
      <c r="EF151" s="4">
        <f t="shared" si="125"/>
        <v>0</v>
      </c>
      <c r="EG151" s="4">
        <f t="shared" si="125"/>
        <v>0</v>
      </c>
      <c r="EH151" s="4">
        <f t="shared" si="125"/>
        <v>0</v>
      </c>
      <c r="EI151" s="4">
        <f t="shared" si="125"/>
        <v>0</v>
      </c>
      <c r="EJ151" s="4">
        <f t="shared" si="125"/>
        <v>550.65</v>
      </c>
      <c r="EK151" s="4">
        <f t="shared" si="125"/>
        <v>550.65</v>
      </c>
      <c r="EL151" s="4">
        <f t="shared" si="125"/>
        <v>0</v>
      </c>
      <c r="EM151" s="4">
        <f aca="true" t="shared" si="126" ref="EM151:FR151">EM158</f>
        <v>0</v>
      </c>
      <c r="EN151" s="4">
        <f t="shared" si="126"/>
        <v>0</v>
      </c>
      <c r="EO151" s="4">
        <f t="shared" si="126"/>
        <v>0</v>
      </c>
      <c r="EP151" s="4">
        <f t="shared" si="126"/>
        <v>0</v>
      </c>
      <c r="EQ151" s="4">
        <f t="shared" si="126"/>
        <v>0</v>
      </c>
      <c r="ER151" s="4">
        <f t="shared" si="126"/>
        <v>0</v>
      </c>
      <c r="ES151" s="4">
        <f t="shared" si="126"/>
        <v>0</v>
      </c>
      <c r="ET151" s="4">
        <f t="shared" si="126"/>
        <v>0</v>
      </c>
      <c r="EU151" s="4">
        <f t="shared" si="126"/>
        <v>0</v>
      </c>
      <c r="EV151" s="4">
        <f t="shared" si="126"/>
        <v>550.65</v>
      </c>
      <c r="EW151" s="4">
        <f t="shared" si="126"/>
        <v>0</v>
      </c>
      <c r="EX151" s="4">
        <f t="shared" si="126"/>
        <v>0</v>
      </c>
      <c r="EY151" s="4">
        <f t="shared" si="126"/>
        <v>0</v>
      </c>
      <c r="EZ151" s="4">
        <f t="shared" si="126"/>
        <v>0</v>
      </c>
      <c r="FA151" s="4">
        <f t="shared" si="126"/>
        <v>0</v>
      </c>
      <c r="FB151" s="4">
        <f t="shared" si="126"/>
        <v>0</v>
      </c>
      <c r="FC151" s="4">
        <f t="shared" si="126"/>
        <v>0</v>
      </c>
      <c r="FD151" s="4">
        <f t="shared" si="126"/>
        <v>0</v>
      </c>
      <c r="FE151" s="4">
        <f t="shared" si="126"/>
        <v>0</v>
      </c>
      <c r="FF151" s="4">
        <f t="shared" si="126"/>
        <v>0</v>
      </c>
      <c r="FG151" s="4">
        <f t="shared" si="126"/>
        <v>0</v>
      </c>
      <c r="FH151" s="4">
        <f t="shared" si="126"/>
        <v>0</v>
      </c>
      <c r="FI151" s="4">
        <f t="shared" si="126"/>
        <v>0</v>
      </c>
      <c r="FJ151" s="4">
        <f t="shared" si="126"/>
        <v>0</v>
      </c>
      <c r="FK151" s="4">
        <f t="shared" si="126"/>
        <v>0</v>
      </c>
      <c r="FL151" s="4">
        <f t="shared" si="126"/>
        <v>0</v>
      </c>
      <c r="FM151" s="4">
        <f t="shared" si="126"/>
        <v>0</v>
      </c>
      <c r="FN151" s="4">
        <f t="shared" si="126"/>
        <v>0</v>
      </c>
      <c r="FO151" s="4">
        <f t="shared" si="126"/>
        <v>0</v>
      </c>
      <c r="FP151" s="4">
        <f t="shared" si="126"/>
        <v>0</v>
      </c>
      <c r="FQ151" s="4">
        <f t="shared" si="126"/>
        <v>0</v>
      </c>
      <c r="FR151" s="4">
        <f t="shared" si="126"/>
        <v>0</v>
      </c>
      <c r="FS151" s="4">
        <f aca="true" t="shared" si="127" ref="FS151:GX151">FS158</f>
        <v>550.65</v>
      </c>
      <c r="FT151" s="4">
        <f t="shared" si="127"/>
        <v>550.65</v>
      </c>
      <c r="FU151" s="4">
        <f t="shared" si="127"/>
        <v>0</v>
      </c>
      <c r="FV151" s="4">
        <f t="shared" si="127"/>
        <v>0</v>
      </c>
      <c r="FW151" s="4">
        <f t="shared" si="127"/>
        <v>0</v>
      </c>
      <c r="FX151" s="4">
        <f t="shared" si="127"/>
        <v>0</v>
      </c>
      <c r="FY151" s="4">
        <f t="shared" si="127"/>
        <v>0</v>
      </c>
      <c r="FZ151" s="4">
        <f t="shared" si="127"/>
        <v>0</v>
      </c>
      <c r="GA151" s="4">
        <f t="shared" si="127"/>
        <v>0</v>
      </c>
      <c r="GB151" s="4">
        <f t="shared" si="127"/>
        <v>0</v>
      </c>
      <c r="GC151" s="4">
        <f t="shared" si="127"/>
        <v>0</v>
      </c>
      <c r="GD151" s="4">
        <f t="shared" si="127"/>
        <v>0</v>
      </c>
      <c r="GE151" s="4">
        <f t="shared" si="127"/>
        <v>550.65</v>
      </c>
      <c r="GF151" s="4">
        <f t="shared" si="127"/>
        <v>0</v>
      </c>
      <c r="GG151" s="4">
        <f t="shared" si="127"/>
        <v>0</v>
      </c>
      <c r="GH151" s="4">
        <f t="shared" si="127"/>
        <v>0</v>
      </c>
      <c r="GI151" s="4">
        <f t="shared" si="127"/>
        <v>0</v>
      </c>
      <c r="GJ151" s="4">
        <f t="shared" si="127"/>
        <v>0</v>
      </c>
      <c r="GK151" s="4">
        <f t="shared" si="127"/>
        <v>0</v>
      </c>
      <c r="GL151" s="4">
        <f t="shared" si="127"/>
        <v>0</v>
      </c>
      <c r="GM151" s="4">
        <f t="shared" si="127"/>
        <v>0</v>
      </c>
      <c r="GN151" s="4">
        <f t="shared" si="127"/>
        <v>0</v>
      </c>
      <c r="GO151" s="4">
        <f t="shared" si="127"/>
        <v>0</v>
      </c>
      <c r="GP151" s="4">
        <f t="shared" si="127"/>
        <v>0</v>
      </c>
      <c r="GQ151" s="4">
        <f t="shared" si="127"/>
        <v>0</v>
      </c>
      <c r="GR151" s="4">
        <f t="shared" si="127"/>
        <v>0</v>
      </c>
      <c r="GS151" s="4">
        <f t="shared" si="127"/>
        <v>0</v>
      </c>
      <c r="GT151" s="4">
        <f t="shared" si="127"/>
        <v>0</v>
      </c>
      <c r="GU151" s="4">
        <f t="shared" si="127"/>
        <v>0</v>
      </c>
      <c r="GV151" s="4">
        <f t="shared" si="127"/>
        <v>0</v>
      </c>
      <c r="GW151" s="4">
        <f t="shared" si="127"/>
        <v>0</v>
      </c>
      <c r="GX151" s="4">
        <f t="shared" si="127"/>
        <v>0</v>
      </c>
    </row>
    <row r="153" spans="1:255" ht="12.75">
      <c r="A153" s="2">
        <v>17</v>
      </c>
      <c r="B153" s="2">
        <v>1</v>
      </c>
      <c r="C153" s="2">
        <f>ROW(SmtRes!A134)</f>
        <v>134</v>
      </c>
      <c r="D153" s="2"/>
      <c r="E153" s="2" t="s">
        <v>179</v>
      </c>
      <c r="F153" s="2" t="s">
        <v>180</v>
      </c>
      <c r="G153" s="2" t="s">
        <v>181</v>
      </c>
      <c r="H153" s="2" t="s">
        <v>182</v>
      </c>
      <c r="I153" s="2">
        <v>0.52</v>
      </c>
      <c r="J153" s="2">
        <v>0</v>
      </c>
      <c r="K153" s="2">
        <v>0.52</v>
      </c>
      <c r="L153" s="2"/>
      <c r="M153" s="2"/>
      <c r="N153" s="2"/>
      <c r="O153" s="2">
        <f>0</f>
        <v>0</v>
      </c>
      <c r="P153" s="2">
        <f>0</f>
        <v>0</v>
      </c>
      <c r="Q153" s="2">
        <f>0</f>
        <v>0</v>
      </c>
      <c r="R153" s="2">
        <f>0</f>
        <v>0</v>
      </c>
      <c r="S153" s="2">
        <f>0</f>
        <v>0</v>
      </c>
      <c r="T153" s="2">
        <f>0</f>
        <v>0</v>
      </c>
      <c r="U153" s="2">
        <f>0</f>
        <v>0</v>
      </c>
      <c r="V153" s="2">
        <f>0</f>
        <v>0</v>
      </c>
      <c r="W153" s="2">
        <f>0</f>
        <v>0</v>
      </c>
      <c r="X153" s="2">
        <f>0</f>
        <v>0</v>
      </c>
      <c r="Y153" s="2">
        <f>0</f>
        <v>0</v>
      </c>
      <c r="Z153" s="2"/>
      <c r="AA153" s="2">
        <v>50947576</v>
      </c>
      <c r="AB153" s="2">
        <f>ROUND((AK153),6)</f>
        <v>42.98</v>
      </c>
      <c r="AC153" s="2">
        <f>0</f>
        <v>0</v>
      </c>
      <c r="AD153" s="2">
        <f>0</f>
        <v>0</v>
      </c>
      <c r="AE153" s="2">
        <f>0</f>
        <v>0</v>
      </c>
      <c r="AF153" s="2">
        <f>0</f>
        <v>0</v>
      </c>
      <c r="AG153" s="2">
        <f>0</f>
        <v>0</v>
      </c>
      <c r="AH153" s="2">
        <f>0</f>
        <v>0</v>
      </c>
      <c r="AI153" s="2">
        <f>0</f>
        <v>0</v>
      </c>
      <c r="AJ153" s="2">
        <f>0</f>
        <v>0</v>
      </c>
      <c r="AK153" s="2">
        <v>42.98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1</v>
      </c>
      <c r="AW153" s="2">
        <v>1</v>
      </c>
      <c r="AX153" s="2"/>
      <c r="AY153" s="2"/>
      <c r="AZ153" s="2">
        <v>1</v>
      </c>
      <c r="BA153" s="2">
        <v>1</v>
      </c>
      <c r="BB153" s="2">
        <v>1</v>
      </c>
      <c r="BC153" s="2">
        <v>1</v>
      </c>
      <c r="BD153" s="2" t="s">
        <v>3</v>
      </c>
      <c r="BE153" s="2" t="s">
        <v>3</v>
      </c>
      <c r="BF153" s="2" t="s">
        <v>3</v>
      </c>
      <c r="BG153" s="2" t="s">
        <v>3</v>
      </c>
      <c r="BH153" s="2">
        <v>0</v>
      </c>
      <c r="BI153" s="2">
        <v>1</v>
      </c>
      <c r="BJ153" s="2" t="s">
        <v>183</v>
      </c>
      <c r="BK153" s="2"/>
      <c r="BL153" s="2"/>
      <c r="BM153" s="2">
        <v>700004</v>
      </c>
      <c r="BN153" s="2">
        <v>0</v>
      </c>
      <c r="BO153" s="2" t="s">
        <v>3</v>
      </c>
      <c r="BP153" s="2">
        <v>0</v>
      </c>
      <c r="BQ153" s="2">
        <v>19</v>
      </c>
      <c r="BR153" s="2">
        <v>0</v>
      </c>
      <c r="BS153" s="2">
        <v>1</v>
      </c>
      <c r="BT153" s="2">
        <v>1</v>
      </c>
      <c r="BU153" s="2">
        <v>1</v>
      </c>
      <c r="BV153" s="2">
        <v>1</v>
      </c>
      <c r="BW153" s="2">
        <v>1</v>
      </c>
      <c r="BX153" s="2">
        <v>1</v>
      </c>
      <c r="BY153" s="2" t="s">
        <v>3</v>
      </c>
      <c r="BZ153" s="2">
        <v>0</v>
      </c>
      <c r="CA153" s="2">
        <v>0</v>
      </c>
      <c r="CB153" s="2" t="s">
        <v>3</v>
      </c>
      <c r="CC153" s="2"/>
      <c r="CD153" s="2"/>
      <c r="CE153" s="2">
        <v>0</v>
      </c>
      <c r="CF153" s="2">
        <v>0</v>
      </c>
      <c r="CG153" s="2">
        <v>0</v>
      </c>
      <c r="CH153" s="2"/>
      <c r="CI153" s="2"/>
      <c r="CJ153" s="2"/>
      <c r="CK153" s="2"/>
      <c r="CL153" s="2"/>
      <c r="CM153" s="2">
        <v>0</v>
      </c>
      <c r="CN153" s="2" t="s">
        <v>3</v>
      </c>
      <c r="CO153" s="2">
        <v>0</v>
      </c>
      <c r="CP153" s="2">
        <f>AB153*AZ153</f>
        <v>42.98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v>0</v>
      </c>
      <c r="DA153" s="2"/>
      <c r="DB153" s="2"/>
      <c r="DC153" s="2" t="s">
        <v>3</v>
      </c>
      <c r="DD153" s="2" t="s">
        <v>3</v>
      </c>
      <c r="DE153" s="2" t="s">
        <v>3</v>
      </c>
      <c r="DF153" s="2" t="s">
        <v>3</v>
      </c>
      <c r="DG153" s="2" t="s">
        <v>3</v>
      </c>
      <c r="DH153" s="2" t="s">
        <v>3</v>
      </c>
      <c r="DI153" s="2" t="s">
        <v>3</v>
      </c>
      <c r="DJ153" s="2" t="s">
        <v>3</v>
      </c>
      <c r="DK153" s="2" t="s">
        <v>3</v>
      </c>
      <c r="DL153" s="2" t="s">
        <v>3</v>
      </c>
      <c r="DM153" s="2" t="s">
        <v>3</v>
      </c>
      <c r="DN153" s="2">
        <v>0</v>
      </c>
      <c r="DO153" s="2">
        <v>0</v>
      </c>
      <c r="DP153" s="2">
        <v>1</v>
      </c>
      <c r="DQ153" s="2">
        <v>1</v>
      </c>
      <c r="DR153" s="2"/>
      <c r="DS153" s="2"/>
      <c r="DT153" s="2"/>
      <c r="DU153" s="2">
        <v>1013</v>
      </c>
      <c r="DV153" s="2" t="s">
        <v>182</v>
      </c>
      <c r="DW153" s="2" t="s">
        <v>182</v>
      </c>
      <c r="DX153" s="2">
        <v>1</v>
      </c>
      <c r="DY153" s="2"/>
      <c r="DZ153" s="2" t="s">
        <v>3</v>
      </c>
      <c r="EA153" s="2" t="s">
        <v>3</v>
      </c>
      <c r="EB153" s="2" t="s">
        <v>3</v>
      </c>
      <c r="EC153" s="2" t="s">
        <v>3</v>
      </c>
      <c r="ED153" s="2"/>
      <c r="EE153" s="2">
        <v>49315695</v>
      </c>
      <c r="EF153" s="2">
        <v>19</v>
      </c>
      <c r="EG153" s="2" t="s">
        <v>184</v>
      </c>
      <c r="EH153" s="2">
        <v>0</v>
      </c>
      <c r="EI153" s="2" t="s">
        <v>3</v>
      </c>
      <c r="EJ153" s="2">
        <v>1</v>
      </c>
      <c r="EK153" s="2">
        <v>700004</v>
      </c>
      <c r="EL153" s="2" t="s">
        <v>185</v>
      </c>
      <c r="EM153" s="2" t="s">
        <v>186</v>
      </c>
      <c r="EN153" s="2"/>
      <c r="EO153" s="2" t="s">
        <v>3</v>
      </c>
      <c r="EP153" s="2"/>
      <c r="EQ153" s="2">
        <v>0</v>
      </c>
      <c r="ER153" s="2">
        <v>0</v>
      </c>
      <c r="ES153" s="2">
        <v>0</v>
      </c>
      <c r="ET153" s="2">
        <v>0</v>
      </c>
      <c r="EU153" s="2">
        <v>0</v>
      </c>
      <c r="EV153" s="2">
        <v>0</v>
      </c>
      <c r="EW153" s="2">
        <v>0</v>
      </c>
      <c r="EX153" s="2">
        <v>0</v>
      </c>
      <c r="EY153" s="2">
        <v>0</v>
      </c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>
        <v>0</v>
      </c>
      <c r="FR153" s="2">
        <f>ROUND(IF(AND(BH153=3,BI153=3),P153,0),2)</f>
        <v>0</v>
      </c>
      <c r="FS153" s="2">
        <v>0</v>
      </c>
      <c r="FT153" s="2"/>
      <c r="FU153" s="2"/>
      <c r="FV153" s="2"/>
      <c r="FW153" s="2"/>
      <c r="FX153" s="2">
        <v>0</v>
      </c>
      <c r="FY153" s="2">
        <v>0</v>
      </c>
      <c r="FZ153" s="2"/>
      <c r="GA153" s="2" t="s">
        <v>3</v>
      </c>
      <c r="GB153" s="2"/>
      <c r="GC153" s="2"/>
      <c r="GD153" s="2">
        <v>1</v>
      </c>
      <c r="GE153" s="2"/>
      <c r="GF153" s="2">
        <v>-441336689</v>
      </c>
      <c r="GG153" s="2">
        <v>2</v>
      </c>
      <c r="GH153" s="2">
        <v>1</v>
      </c>
      <c r="GI153" s="2">
        <v>-2</v>
      </c>
      <c r="GJ153" s="2">
        <v>2</v>
      </c>
      <c r="GK153" s="2">
        <v>0</v>
      </c>
      <c r="GL153" s="2">
        <f>ROUND(IF(AND(BH153=3,BI153=3,FS153&lt;&gt;0),P153,0),2)</f>
        <v>0</v>
      </c>
      <c r="GM153" s="2">
        <f>ROUND(CP153*I153,2)</f>
        <v>22.35</v>
      </c>
      <c r="GN153" s="2">
        <f>IF(OR(BI153=0,BI153=1),ROUND(CP153*I153,2),0)</f>
        <v>22.35</v>
      </c>
      <c r="GO153" s="2">
        <f>IF(BI153=2,ROUND(CP153*I153,2),0)</f>
        <v>0</v>
      </c>
      <c r="GP153" s="2">
        <f>IF(BI153=4,ROUND(CP153*I153,2)+GX153,0)</f>
        <v>0</v>
      </c>
      <c r="GQ153" s="2"/>
      <c r="GR153" s="2">
        <v>0</v>
      </c>
      <c r="GS153" s="2">
        <v>0</v>
      </c>
      <c r="GT153" s="2">
        <v>0</v>
      </c>
      <c r="GU153" s="2" t="s">
        <v>3</v>
      </c>
      <c r="GV153" s="2">
        <f>0</f>
        <v>0</v>
      </c>
      <c r="GW153" s="2">
        <v>1</v>
      </c>
      <c r="GX153" s="2">
        <f>0</f>
        <v>0</v>
      </c>
      <c r="GY153" s="2"/>
      <c r="GZ153" s="2"/>
      <c r="HA153" s="2">
        <v>0</v>
      </c>
      <c r="HB153" s="2">
        <v>0</v>
      </c>
      <c r="HC153" s="2">
        <v>0</v>
      </c>
      <c r="HD153" s="2">
        <f>GM153</f>
        <v>22.35</v>
      </c>
      <c r="HE153" s="2" t="s">
        <v>3</v>
      </c>
      <c r="HF153" s="2" t="s">
        <v>3</v>
      </c>
      <c r="HG153" s="2"/>
      <c r="HH153" s="2"/>
      <c r="HI153" s="2"/>
      <c r="HJ153" s="2"/>
      <c r="HK153" s="2"/>
      <c r="HL153" s="2"/>
      <c r="HM153" s="2" t="s">
        <v>3</v>
      </c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>
        <v>0</v>
      </c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45" ht="12.75">
      <c r="A154">
        <v>17</v>
      </c>
      <c r="B154">
        <v>1</v>
      </c>
      <c r="C154">
        <f>ROW(SmtRes!A136)</f>
        <v>136</v>
      </c>
      <c r="E154" t="s">
        <v>179</v>
      </c>
      <c r="F154" t="s">
        <v>180</v>
      </c>
      <c r="G154" t="s">
        <v>181</v>
      </c>
      <c r="H154" t="s">
        <v>182</v>
      </c>
      <c r="I154">
        <v>0.52</v>
      </c>
      <c r="J154">
        <v>0</v>
      </c>
      <c r="K154">
        <v>0.52</v>
      </c>
      <c r="O154">
        <f>0</f>
        <v>0</v>
      </c>
      <c r="P154">
        <f>0</f>
        <v>0</v>
      </c>
      <c r="Q154">
        <f>0</f>
        <v>0</v>
      </c>
      <c r="R154">
        <f>0</f>
        <v>0</v>
      </c>
      <c r="S154">
        <f>0</f>
        <v>0</v>
      </c>
      <c r="T154">
        <f>0</f>
        <v>0</v>
      </c>
      <c r="U154">
        <f>0</f>
        <v>0</v>
      </c>
      <c r="V154">
        <f>0</f>
        <v>0</v>
      </c>
      <c r="W154">
        <f>0</f>
        <v>0</v>
      </c>
      <c r="X154">
        <f>0</f>
        <v>0</v>
      </c>
      <c r="Y154">
        <f>0</f>
        <v>0</v>
      </c>
      <c r="AA154">
        <v>50961513</v>
      </c>
      <c r="AB154">
        <f>ROUND((AK154),6)</f>
        <v>42.98</v>
      </c>
      <c r="AC154">
        <f>0</f>
        <v>0</v>
      </c>
      <c r="AD154">
        <f>0</f>
        <v>0</v>
      </c>
      <c r="AE154">
        <f>0</f>
        <v>0</v>
      </c>
      <c r="AF154">
        <f>0</f>
        <v>0</v>
      </c>
      <c r="AG154">
        <f>0</f>
        <v>0</v>
      </c>
      <c r="AH154">
        <f>0</f>
        <v>0</v>
      </c>
      <c r="AI154">
        <f>0</f>
        <v>0</v>
      </c>
      <c r="AJ154">
        <f>0</f>
        <v>0</v>
      </c>
      <c r="AK154">
        <v>42.98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1</v>
      </c>
      <c r="AW154">
        <v>1</v>
      </c>
      <c r="AZ154">
        <v>13.67</v>
      </c>
      <c r="BA154">
        <v>1</v>
      </c>
      <c r="BB154">
        <v>1</v>
      </c>
      <c r="BC154">
        <v>1</v>
      </c>
      <c r="BH154">
        <v>0</v>
      </c>
      <c r="BI154">
        <v>1</v>
      </c>
      <c r="BJ154" t="s">
        <v>183</v>
      </c>
      <c r="BM154">
        <v>700004</v>
      </c>
      <c r="BN154">
        <v>0</v>
      </c>
      <c r="BO154" t="s">
        <v>180</v>
      </c>
      <c r="BP154">
        <v>1</v>
      </c>
      <c r="BQ154">
        <v>19</v>
      </c>
      <c r="BR154">
        <v>0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Z154">
        <v>0</v>
      </c>
      <c r="CA154">
        <v>0</v>
      </c>
      <c r="CE154">
        <v>0</v>
      </c>
      <c r="CF154">
        <v>0</v>
      </c>
      <c r="CG154">
        <v>0</v>
      </c>
      <c r="CM154">
        <v>0</v>
      </c>
      <c r="CO154">
        <v>0</v>
      </c>
      <c r="CP154">
        <f>AB154*AZ154</f>
        <v>587.5365999999999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N154">
        <v>0</v>
      </c>
      <c r="DO154">
        <v>0</v>
      </c>
      <c r="DP154">
        <v>1</v>
      </c>
      <c r="DQ154">
        <v>1</v>
      </c>
      <c r="DU154">
        <v>1013</v>
      </c>
      <c r="DV154" t="s">
        <v>182</v>
      </c>
      <c r="DW154" t="s">
        <v>182</v>
      </c>
      <c r="DX154">
        <v>1</v>
      </c>
      <c r="EE154">
        <v>49315695</v>
      </c>
      <c r="EF154">
        <v>19</v>
      </c>
      <c r="EG154" t="s">
        <v>184</v>
      </c>
      <c r="EH154">
        <v>0</v>
      </c>
      <c r="EJ154">
        <v>1</v>
      </c>
      <c r="EK154">
        <v>700004</v>
      </c>
      <c r="EL154" t="s">
        <v>185</v>
      </c>
      <c r="EM154" t="s">
        <v>186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FQ154">
        <v>0</v>
      </c>
      <c r="FR154">
        <f>ROUND(IF(AND(BH154=3,BI154=3),P154,0),2)</f>
        <v>0</v>
      </c>
      <c r="FS154">
        <v>0</v>
      </c>
      <c r="FX154">
        <v>0</v>
      </c>
      <c r="FY154">
        <v>0</v>
      </c>
      <c r="GD154">
        <v>1</v>
      </c>
      <c r="GF154">
        <v>-441336689</v>
      </c>
      <c r="GG154">
        <v>2</v>
      </c>
      <c r="GH154">
        <v>1</v>
      </c>
      <c r="GI154">
        <v>2</v>
      </c>
      <c r="GJ154">
        <v>2</v>
      </c>
      <c r="GK154">
        <v>0</v>
      </c>
      <c r="GL154">
        <f>ROUND(IF(AND(BH154=3,BI154=3,FS154&lt;&gt;0),P154,0),2)</f>
        <v>0</v>
      </c>
      <c r="GM154">
        <f>ROUND(CP154*I154,2)</f>
        <v>305.52</v>
      </c>
      <c r="GN154">
        <f>IF(OR(BI154=0,BI154=1),ROUND(CP154*I154,2),0)</f>
        <v>305.52</v>
      </c>
      <c r="GO154">
        <f>IF(BI154=2,ROUND(CP154*I154,2),0)</f>
        <v>0</v>
      </c>
      <c r="GP154">
        <f>IF(BI154=4,ROUND(CP154*I154,2)+GX154,0)</f>
        <v>0</v>
      </c>
      <c r="GR154">
        <v>0</v>
      </c>
      <c r="GS154">
        <v>0</v>
      </c>
      <c r="GT154">
        <v>0</v>
      </c>
      <c r="GV154">
        <f>0</f>
        <v>0</v>
      </c>
      <c r="GW154">
        <v>1</v>
      </c>
      <c r="GX154">
        <f>0</f>
        <v>0</v>
      </c>
      <c r="HA154">
        <v>0</v>
      </c>
      <c r="HB154">
        <v>0</v>
      </c>
      <c r="HC154">
        <v>0</v>
      </c>
      <c r="HD154">
        <f>GM154</f>
        <v>305.52</v>
      </c>
      <c r="IK154">
        <v>0</v>
      </c>
    </row>
    <row r="155" spans="1:255" ht="12.75">
      <c r="A155" s="2">
        <v>17</v>
      </c>
      <c r="B155" s="2">
        <v>1</v>
      </c>
      <c r="C155" s="2"/>
      <c r="D155" s="2"/>
      <c r="E155" s="2" t="s">
        <v>187</v>
      </c>
      <c r="F155" s="2" t="s">
        <v>188</v>
      </c>
      <c r="G155" s="2" t="s">
        <v>189</v>
      </c>
      <c r="H155" s="2" t="s">
        <v>182</v>
      </c>
      <c r="I155" s="2">
        <v>0.52</v>
      </c>
      <c r="J155" s="2">
        <v>0</v>
      </c>
      <c r="K155" s="2">
        <v>0.52</v>
      </c>
      <c r="L155" s="2"/>
      <c r="M155" s="2"/>
      <c r="N155" s="2"/>
      <c r="O155" s="2">
        <f>0</f>
        <v>0</v>
      </c>
      <c r="P155" s="2">
        <f>0</f>
        <v>0</v>
      </c>
      <c r="Q155" s="2">
        <f>0</f>
        <v>0</v>
      </c>
      <c r="R155" s="2">
        <f>0</f>
        <v>0</v>
      </c>
      <c r="S155" s="2">
        <f>0</f>
        <v>0</v>
      </c>
      <c r="T155" s="2">
        <f>0</f>
        <v>0</v>
      </c>
      <c r="U155" s="2">
        <f>0</f>
        <v>0</v>
      </c>
      <c r="V155" s="2">
        <f>0</f>
        <v>0</v>
      </c>
      <c r="W155" s="2">
        <f>0</f>
        <v>0</v>
      </c>
      <c r="X155" s="2">
        <f>0</f>
        <v>0</v>
      </c>
      <c r="Y155" s="2">
        <f>0</f>
        <v>0</v>
      </c>
      <c r="Z155" s="2"/>
      <c r="AA155" s="2">
        <v>50947576</v>
      </c>
      <c r="AB155" s="2">
        <f>ROUND((AK155),6)</f>
        <v>54.31</v>
      </c>
      <c r="AC155" s="2">
        <f>0</f>
        <v>0</v>
      </c>
      <c r="AD155" s="2">
        <f>0</f>
        <v>0</v>
      </c>
      <c r="AE155" s="2">
        <f>0</f>
        <v>0</v>
      </c>
      <c r="AF155" s="2">
        <f>0</f>
        <v>0</v>
      </c>
      <c r="AG155" s="2">
        <f>0</f>
        <v>0</v>
      </c>
      <c r="AH155" s="2">
        <f>0</f>
        <v>0</v>
      </c>
      <c r="AI155" s="2">
        <f>0</f>
        <v>0</v>
      </c>
      <c r="AJ155" s="2">
        <f>0</f>
        <v>0</v>
      </c>
      <c r="AK155" s="2">
        <v>54.31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1</v>
      </c>
      <c r="AW155" s="2">
        <v>1</v>
      </c>
      <c r="AX155" s="2"/>
      <c r="AY155" s="2"/>
      <c r="AZ155" s="2">
        <v>1</v>
      </c>
      <c r="BA155" s="2">
        <v>1</v>
      </c>
      <c r="BB155" s="2">
        <v>1</v>
      </c>
      <c r="BC155" s="2">
        <v>1</v>
      </c>
      <c r="BD155" s="2" t="s">
        <v>3</v>
      </c>
      <c r="BE155" s="2" t="s">
        <v>3</v>
      </c>
      <c r="BF155" s="2" t="s">
        <v>3</v>
      </c>
      <c r="BG155" s="2" t="s">
        <v>3</v>
      </c>
      <c r="BH155" s="2">
        <v>0</v>
      </c>
      <c r="BI155" s="2">
        <v>1</v>
      </c>
      <c r="BJ155" s="2" t="s">
        <v>190</v>
      </c>
      <c r="BK155" s="2"/>
      <c r="BL155" s="2"/>
      <c r="BM155" s="2">
        <v>700005</v>
      </c>
      <c r="BN155" s="2">
        <v>0</v>
      </c>
      <c r="BO155" s="2" t="s">
        <v>3</v>
      </c>
      <c r="BP155" s="2">
        <v>0</v>
      </c>
      <c r="BQ155" s="2">
        <v>10</v>
      </c>
      <c r="BR155" s="2">
        <v>0</v>
      </c>
      <c r="BS155" s="2">
        <v>1</v>
      </c>
      <c r="BT155" s="2">
        <v>1</v>
      </c>
      <c r="BU155" s="2">
        <v>1</v>
      </c>
      <c r="BV155" s="2">
        <v>1</v>
      </c>
      <c r="BW155" s="2">
        <v>1</v>
      </c>
      <c r="BX155" s="2">
        <v>1</v>
      </c>
      <c r="BY155" s="2" t="s">
        <v>3</v>
      </c>
      <c r="BZ155" s="2">
        <v>0</v>
      </c>
      <c r="CA155" s="2">
        <v>0</v>
      </c>
      <c r="CB155" s="2" t="s">
        <v>3</v>
      </c>
      <c r="CC155" s="2"/>
      <c r="CD155" s="2"/>
      <c r="CE155" s="2">
        <v>0</v>
      </c>
      <c r="CF155" s="2">
        <v>0</v>
      </c>
      <c r="CG155" s="2">
        <v>0</v>
      </c>
      <c r="CH155" s="2"/>
      <c r="CI155" s="2"/>
      <c r="CJ155" s="2"/>
      <c r="CK155" s="2"/>
      <c r="CL155" s="2"/>
      <c r="CM155" s="2">
        <v>0</v>
      </c>
      <c r="CN155" s="2" t="s">
        <v>3</v>
      </c>
      <c r="CO155" s="2">
        <v>0</v>
      </c>
      <c r="CP155" s="2">
        <f>AB155*AZ155</f>
        <v>54.31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v>0</v>
      </c>
      <c r="DA155" s="2"/>
      <c r="DB155" s="2"/>
      <c r="DC155" s="2" t="s">
        <v>3</v>
      </c>
      <c r="DD155" s="2" t="s">
        <v>3</v>
      </c>
      <c r="DE155" s="2" t="s">
        <v>3</v>
      </c>
      <c r="DF155" s="2" t="s">
        <v>3</v>
      </c>
      <c r="DG155" s="2" t="s">
        <v>3</v>
      </c>
      <c r="DH155" s="2" t="s">
        <v>3</v>
      </c>
      <c r="DI155" s="2" t="s">
        <v>3</v>
      </c>
      <c r="DJ155" s="2" t="s">
        <v>3</v>
      </c>
      <c r="DK155" s="2" t="s">
        <v>3</v>
      </c>
      <c r="DL155" s="2" t="s">
        <v>3</v>
      </c>
      <c r="DM155" s="2" t="s">
        <v>3</v>
      </c>
      <c r="DN155" s="2">
        <v>0</v>
      </c>
      <c r="DO155" s="2">
        <v>0</v>
      </c>
      <c r="DP155" s="2">
        <v>1</v>
      </c>
      <c r="DQ155" s="2">
        <v>1</v>
      </c>
      <c r="DR155" s="2"/>
      <c r="DS155" s="2"/>
      <c r="DT155" s="2"/>
      <c r="DU155" s="2">
        <v>1013</v>
      </c>
      <c r="DV155" s="2" t="s">
        <v>182</v>
      </c>
      <c r="DW155" s="2" t="s">
        <v>182</v>
      </c>
      <c r="DX155" s="2">
        <v>1</v>
      </c>
      <c r="DY155" s="2"/>
      <c r="DZ155" s="2" t="s">
        <v>3</v>
      </c>
      <c r="EA155" s="2" t="s">
        <v>3</v>
      </c>
      <c r="EB155" s="2" t="s">
        <v>3</v>
      </c>
      <c r="EC155" s="2" t="s">
        <v>3</v>
      </c>
      <c r="ED155" s="2"/>
      <c r="EE155" s="2">
        <v>49315699</v>
      </c>
      <c r="EF155" s="2">
        <v>10</v>
      </c>
      <c r="EG155" s="2" t="s">
        <v>191</v>
      </c>
      <c r="EH155" s="2">
        <v>0</v>
      </c>
      <c r="EI155" s="2" t="s">
        <v>3</v>
      </c>
      <c r="EJ155" s="2">
        <v>1</v>
      </c>
      <c r="EK155" s="2">
        <v>700005</v>
      </c>
      <c r="EL155" s="2" t="s">
        <v>192</v>
      </c>
      <c r="EM155" s="2" t="s">
        <v>193</v>
      </c>
      <c r="EN155" s="2"/>
      <c r="EO155" s="2" t="s">
        <v>3</v>
      </c>
      <c r="EP155" s="2"/>
      <c r="EQ155" s="2">
        <v>0</v>
      </c>
      <c r="ER155" s="2">
        <v>0</v>
      </c>
      <c r="ES155" s="2">
        <v>0</v>
      </c>
      <c r="ET155" s="2">
        <v>0</v>
      </c>
      <c r="EU155" s="2">
        <v>0</v>
      </c>
      <c r="EV155" s="2">
        <v>0</v>
      </c>
      <c r="EW155" s="2">
        <v>0</v>
      </c>
      <c r="EX155" s="2">
        <v>0</v>
      </c>
      <c r="EY155" s="2">
        <v>0</v>
      </c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>
        <v>0</v>
      </c>
      <c r="FR155" s="2">
        <f>ROUND(IF(AND(BH155=3,BI155=3),P155,0),2)</f>
        <v>0</v>
      </c>
      <c r="FS155" s="2">
        <v>0</v>
      </c>
      <c r="FT155" s="2"/>
      <c r="FU155" s="2"/>
      <c r="FV155" s="2"/>
      <c r="FW155" s="2"/>
      <c r="FX155" s="2">
        <v>0</v>
      </c>
      <c r="FY155" s="2">
        <v>0</v>
      </c>
      <c r="FZ155" s="2"/>
      <c r="GA155" s="2" t="s">
        <v>3</v>
      </c>
      <c r="GB155" s="2"/>
      <c r="GC155" s="2"/>
      <c r="GD155" s="2">
        <v>1</v>
      </c>
      <c r="GE155" s="2"/>
      <c r="GF155" s="2">
        <v>1264118075</v>
      </c>
      <c r="GG155" s="2">
        <v>2</v>
      </c>
      <c r="GH155" s="2">
        <v>1</v>
      </c>
      <c r="GI155" s="2">
        <v>-2</v>
      </c>
      <c r="GJ155" s="2">
        <v>2</v>
      </c>
      <c r="GK155" s="2">
        <v>0</v>
      </c>
      <c r="GL155" s="2">
        <f>ROUND(IF(AND(BH155=3,BI155=3,FS155&lt;&gt;0),P155,0),2)</f>
        <v>0</v>
      </c>
      <c r="GM155" s="2">
        <f>ROUND(CP155*I155,2)</f>
        <v>28.24</v>
      </c>
      <c r="GN155" s="2">
        <f>IF(OR(BI155=0,BI155=1),ROUND(CP155*I155,2),0)</f>
        <v>28.24</v>
      </c>
      <c r="GO155" s="2">
        <f>IF(BI155=2,ROUND(CP155*I155,2),0)</f>
        <v>0</v>
      </c>
      <c r="GP155" s="2">
        <f>IF(BI155=4,ROUND(CP155*I155,2)+GX155,0)</f>
        <v>0</v>
      </c>
      <c r="GQ155" s="2"/>
      <c r="GR155" s="2">
        <v>0</v>
      </c>
      <c r="GS155" s="2">
        <v>0</v>
      </c>
      <c r="GT155" s="2">
        <v>0</v>
      </c>
      <c r="GU155" s="2" t="s">
        <v>3</v>
      </c>
      <c r="GV155" s="2">
        <f>0</f>
        <v>0</v>
      </c>
      <c r="GW155" s="2">
        <v>1</v>
      </c>
      <c r="GX155" s="2">
        <f>0</f>
        <v>0</v>
      </c>
      <c r="GY155" s="2"/>
      <c r="GZ155" s="2"/>
      <c r="HA155" s="2">
        <v>0</v>
      </c>
      <c r="HB155" s="2">
        <v>0</v>
      </c>
      <c r="HC155" s="2">
        <v>0</v>
      </c>
      <c r="HD155" s="2">
        <f>GM155</f>
        <v>28.24</v>
      </c>
      <c r="HE155" s="2" t="s">
        <v>3</v>
      </c>
      <c r="HF155" s="2" t="s">
        <v>3</v>
      </c>
      <c r="HG155" s="2"/>
      <c r="HH155" s="2"/>
      <c r="HI155" s="2"/>
      <c r="HJ155" s="2"/>
      <c r="HK155" s="2"/>
      <c r="HL155" s="2"/>
      <c r="HM155" s="2" t="s">
        <v>3</v>
      </c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>
        <v>0</v>
      </c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45" ht="12.75">
      <c r="A156">
        <v>17</v>
      </c>
      <c r="B156">
        <v>1</v>
      </c>
      <c r="E156" t="s">
        <v>187</v>
      </c>
      <c r="F156" t="s">
        <v>188</v>
      </c>
      <c r="G156" t="s">
        <v>189</v>
      </c>
      <c r="H156" t="s">
        <v>182</v>
      </c>
      <c r="I156">
        <v>0.52</v>
      </c>
      <c r="J156">
        <v>0</v>
      </c>
      <c r="K156">
        <v>0.52</v>
      </c>
      <c r="O156">
        <f>0</f>
        <v>0</v>
      </c>
      <c r="P156">
        <f>0</f>
        <v>0</v>
      </c>
      <c r="Q156">
        <f>0</f>
        <v>0</v>
      </c>
      <c r="R156">
        <f>0</f>
        <v>0</v>
      </c>
      <c r="S156">
        <f>0</f>
        <v>0</v>
      </c>
      <c r="T156">
        <f>0</f>
        <v>0</v>
      </c>
      <c r="U156">
        <f>0</f>
        <v>0</v>
      </c>
      <c r="V156">
        <f>0</f>
        <v>0</v>
      </c>
      <c r="W156">
        <f>0</f>
        <v>0</v>
      </c>
      <c r="X156">
        <f>0</f>
        <v>0</v>
      </c>
      <c r="Y156">
        <f>0</f>
        <v>0</v>
      </c>
      <c r="AA156">
        <v>50961513</v>
      </c>
      <c r="AB156">
        <f>ROUND((AK156),6)</f>
        <v>54.31</v>
      </c>
      <c r="AC156">
        <f>0</f>
        <v>0</v>
      </c>
      <c r="AD156">
        <f>0</f>
        <v>0</v>
      </c>
      <c r="AE156">
        <f>0</f>
        <v>0</v>
      </c>
      <c r="AF156">
        <f>0</f>
        <v>0</v>
      </c>
      <c r="AG156">
        <f>0</f>
        <v>0</v>
      </c>
      <c r="AH156">
        <f>0</f>
        <v>0</v>
      </c>
      <c r="AI156">
        <f>0</f>
        <v>0</v>
      </c>
      <c r="AJ156">
        <f>0</f>
        <v>0</v>
      </c>
      <c r="AK156">
        <v>54.31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1</v>
      </c>
      <c r="AZ156">
        <v>8.68</v>
      </c>
      <c r="BA156">
        <v>1</v>
      </c>
      <c r="BB156">
        <v>1</v>
      </c>
      <c r="BC156">
        <v>1</v>
      </c>
      <c r="BH156">
        <v>0</v>
      </c>
      <c r="BI156">
        <v>1</v>
      </c>
      <c r="BJ156" t="s">
        <v>190</v>
      </c>
      <c r="BM156">
        <v>700005</v>
      </c>
      <c r="BN156">
        <v>0</v>
      </c>
      <c r="BO156" t="s">
        <v>188</v>
      </c>
      <c r="BP156">
        <v>1</v>
      </c>
      <c r="BQ156">
        <v>10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Z156">
        <v>0</v>
      </c>
      <c r="CA156">
        <v>0</v>
      </c>
      <c r="CE156">
        <v>0</v>
      </c>
      <c r="CF156">
        <v>0</v>
      </c>
      <c r="CG156">
        <v>0</v>
      </c>
      <c r="CM156">
        <v>0</v>
      </c>
      <c r="CO156">
        <v>0</v>
      </c>
      <c r="CP156">
        <f>AB156*AZ156</f>
        <v>471.4108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N156">
        <v>0</v>
      </c>
      <c r="DO156">
        <v>0</v>
      </c>
      <c r="DP156">
        <v>1</v>
      </c>
      <c r="DQ156">
        <v>1</v>
      </c>
      <c r="DU156">
        <v>1013</v>
      </c>
      <c r="DV156" t="s">
        <v>182</v>
      </c>
      <c r="DW156" t="s">
        <v>182</v>
      </c>
      <c r="DX156">
        <v>1</v>
      </c>
      <c r="EE156">
        <v>49315699</v>
      </c>
      <c r="EF156">
        <v>10</v>
      </c>
      <c r="EG156" t="s">
        <v>191</v>
      </c>
      <c r="EH156">
        <v>0</v>
      </c>
      <c r="EJ156">
        <v>1</v>
      </c>
      <c r="EK156">
        <v>700005</v>
      </c>
      <c r="EL156" t="s">
        <v>192</v>
      </c>
      <c r="EM156" t="s">
        <v>193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FQ156">
        <v>0</v>
      </c>
      <c r="FR156">
        <f>ROUND(IF(AND(BH156=3,BI156=3),P156,0),2)</f>
        <v>0</v>
      </c>
      <c r="FS156">
        <v>0</v>
      </c>
      <c r="FX156">
        <v>0</v>
      </c>
      <c r="FY156">
        <v>0</v>
      </c>
      <c r="GD156">
        <v>1</v>
      </c>
      <c r="GF156">
        <v>1264118075</v>
      </c>
      <c r="GG156">
        <v>2</v>
      </c>
      <c r="GH156">
        <v>1</v>
      </c>
      <c r="GI156">
        <v>2</v>
      </c>
      <c r="GJ156">
        <v>2</v>
      </c>
      <c r="GK156">
        <v>0</v>
      </c>
      <c r="GL156">
        <f>ROUND(IF(AND(BH156=3,BI156=3,FS156&lt;&gt;0),P156,0),2)</f>
        <v>0</v>
      </c>
      <c r="GM156">
        <f>ROUND(CP156*I156,2)</f>
        <v>245.13</v>
      </c>
      <c r="GN156">
        <f>IF(OR(BI156=0,BI156=1),ROUND(CP156*I156,2),0)</f>
        <v>245.13</v>
      </c>
      <c r="GO156">
        <f>IF(BI156=2,ROUND(CP156*I156,2),0)</f>
        <v>0</v>
      </c>
      <c r="GP156">
        <f>IF(BI156=4,ROUND(CP156*I156,2)+GX156,0)</f>
        <v>0</v>
      </c>
      <c r="GR156">
        <v>0</v>
      </c>
      <c r="GS156">
        <v>0</v>
      </c>
      <c r="GT156">
        <v>0</v>
      </c>
      <c r="GV156">
        <f>0</f>
        <v>0</v>
      </c>
      <c r="GW156">
        <v>1</v>
      </c>
      <c r="GX156">
        <f>0</f>
        <v>0</v>
      </c>
      <c r="HA156">
        <v>0</v>
      </c>
      <c r="HB156">
        <v>0</v>
      </c>
      <c r="HC156">
        <v>0</v>
      </c>
      <c r="HD156">
        <f>GM156</f>
        <v>245.13</v>
      </c>
      <c r="IK156">
        <v>0</v>
      </c>
    </row>
    <row r="158" spans="1:206" ht="12.75">
      <c r="A158" s="3">
        <v>51</v>
      </c>
      <c r="B158" s="3">
        <f>B149</f>
        <v>1</v>
      </c>
      <c r="C158" s="3">
        <f>A149</f>
        <v>4</v>
      </c>
      <c r="D158" s="3">
        <f>ROW(A149)</f>
        <v>149</v>
      </c>
      <c r="E158" s="3"/>
      <c r="F158" s="3" t="str">
        <f>IF(F149&lt;&gt;"",F149,"")</f>
        <v>Новый раздел</v>
      </c>
      <c r="G158" s="3" t="str">
        <f>IF(G149&lt;&gt;"",G149,"")</f>
        <v>Разные работы</v>
      </c>
      <c r="H158" s="3">
        <v>0</v>
      </c>
      <c r="I158" s="3"/>
      <c r="J158" s="3"/>
      <c r="K158" s="3"/>
      <c r="L158" s="3"/>
      <c r="M158" s="3"/>
      <c r="N158" s="3"/>
      <c r="O158" s="3">
        <f aca="true" t="shared" si="128" ref="O158:T158">ROUND(AB158,2)</f>
        <v>0</v>
      </c>
      <c r="P158" s="3">
        <f t="shared" si="128"/>
        <v>0</v>
      </c>
      <c r="Q158" s="3">
        <f t="shared" si="128"/>
        <v>0</v>
      </c>
      <c r="R158" s="3">
        <f t="shared" si="128"/>
        <v>0</v>
      </c>
      <c r="S158" s="3">
        <f t="shared" si="128"/>
        <v>0</v>
      </c>
      <c r="T158" s="3">
        <f t="shared" si="128"/>
        <v>0</v>
      </c>
      <c r="U158" s="3">
        <f>AH158</f>
        <v>0</v>
      </c>
      <c r="V158" s="3">
        <f>AI158</f>
        <v>0</v>
      </c>
      <c r="W158" s="3">
        <f>ROUND(AJ158,2)</f>
        <v>0</v>
      </c>
      <c r="X158" s="3">
        <f>ROUND(AK158,2)</f>
        <v>0</v>
      </c>
      <c r="Y158" s="3">
        <f>ROUND(AL158,2)</f>
        <v>0</v>
      </c>
      <c r="Z158" s="3"/>
      <c r="AA158" s="3"/>
      <c r="AB158" s="3">
        <f>ROUND(SUMIF(AA153:AA156,"=50947576",O153:O156),2)</f>
        <v>0</v>
      </c>
      <c r="AC158" s="3">
        <f>ROUND(SUMIF(AA153:AA156,"=50947576",P153:P156),2)</f>
        <v>0</v>
      </c>
      <c r="AD158" s="3">
        <f>ROUND(SUMIF(AA153:AA156,"=50947576",Q153:Q156),2)</f>
        <v>0</v>
      </c>
      <c r="AE158" s="3">
        <f>ROUND(SUMIF(AA153:AA156,"=50947576",R153:R156),2)</f>
        <v>0</v>
      </c>
      <c r="AF158" s="3">
        <f>ROUND(SUMIF(AA153:AA156,"=50947576",S153:S156),2)</f>
        <v>0</v>
      </c>
      <c r="AG158" s="3">
        <f>ROUND(SUMIF(AA153:AA156,"=50947576",T153:T156),2)</f>
        <v>0</v>
      </c>
      <c r="AH158" s="3">
        <f>SUMIF(AA153:AA156,"=50947576",U153:U156)</f>
        <v>0</v>
      </c>
      <c r="AI158" s="3">
        <f>SUMIF(AA153:AA156,"=50947576",V153:V156)</f>
        <v>0</v>
      </c>
      <c r="AJ158" s="3">
        <f>ROUND(SUMIF(AA153:AA156,"=50947576",W153:W156),2)</f>
        <v>0</v>
      </c>
      <c r="AK158" s="3">
        <f>ROUND(SUMIF(AA153:AA156,"=50947576",X153:X156),2)</f>
        <v>0</v>
      </c>
      <c r="AL158" s="3">
        <f>ROUND(SUMIF(AA153:AA156,"=50947576",Y153:Y156),2)</f>
        <v>0</v>
      </c>
      <c r="AM158" s="3"/>
      <c r="AN158" s="3"/>
      <c r="AO158" s="3">
        <f aca="true" t="shared" si="129" ref="AO158:BD158">ROUND(BX158,2)</f>
        <v>0</v>
      </c>
      <c r="AP158" s="3">
        <f t="shared" si="129"/>
        <v>0</v>
      </c>
      <c r="AQ158" s="3">
        <f t="shared" si="129"/>
        <v>0</v>
      </c>
      <c r="AR158" s="3">
        <f t="shared" si="129"/>
        <v>50.59</v>
      </c>
      <c r="AS158" s="3">
        <f t="shared" si="129"/>
        <v>50.59</v>
      </c>
      <c r="AT158" s="3">
        <f t="shared" si="129"/>
        <v>0</v>
      </c>
      <c r="AU158" s="3">
        <f t="shared" si="129"/>
        <v>0</v>
      </c>
      <c r="AV158" s="3">
        <f t="shared" si="129"/>
        <v>0</v>
      </c>
      <c r="AW158" s="3">
        <f t="shared" si="129"/>
        <v>0</v>
      </c>
      <c r="AX158" s="3">
        <f t="shared" si="129"/>
        <v>0</v>
      </c>
      <c r="AY158" s="3">
        <f t="shared" si="129"/>
        <v>0</v>
      </c>
      <c r="AZ158" s="3">
        <f t="shared" si="129"/>
        <v>0</v>
      </c>
      <c r="BA158" s="3">
        <f t="shared" si="129"/>
        <v>0</v>
      </c>
      <c r="BB158" s="3">
        <f t="shared" si="129"/>
        <v>0</v>
      </c>
      <c r="BC158" s="3">
        <f t="shared" si="129"/>
        <v>0</v>
      </c>
      <c r="BD158" s="3">
        <f t="shared" si="129"/>
        <v>50.59</v>
      </c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>
        <f>ROUND(SUMIF(AA153:AA156,"=50947576",FQ153:FQ156),2)</f>
        <v>0</v>
      </c>
      <c r="BY158" s="3">
        <f>ROUND(SUMIF(AA153:AA156,"=50947576",FR153:FR156),2)</f>
        <v>0</v>
      </c>
      <c r="BZ158" s="3">
        <f>ROUND(SUMIF(AA153:AA156,"=50947576",GL153:GL156),2)</f>
        <v>0</v>
      </c>
      <c r="CA158" s="3">
        <f>ROUND(SUMIF(AA153:AA156,"=50947576",GM153:GM156),2)</f>
        <v>50.59</v>
      </c>
      <c r="CB158" s="3">
        <f>ROUND(SUMIF(AA153:AA156,"=50947576",GN153:GN156),2)</f>
        <v>50.59</v>
      </c>
      <c r="CC158" s="3">
        <f>ROUND(SUMIF(AA153:AA156,"=50947576",GO153:GO156),2)</f>
        <v>0</v>
      </c>
      <c r="CD158" s="3">
        <f>ROUND(SUMIF(AA153:AA156,"=50947576",GP153:GP156),2)</f>
        <v>0</v>
      </c>
      <c r="CE158" s="3">
        <f>AC158-BX158</f>
        <v>0</v>
      </c>
      <c r="CF158" s="3">
        <f>AC158-BY158</f>
        <v>0</v>
      </c>
      <c r="CG158" s="3">
        <f>BX158-BZ158</f>
        <v>0</v>
      </c>
      <c r="CH158" s="3">
        <f>AC158-BX158-BY158+BZ158</f>
        <v>0</v>
      </c>
      <c r="CI158" s="3">
        <f>BY158-BZ158</f>
        <v>0</v>
      </c>
      <c r="CJ158" s="3">
        <f>ROUND(SUMIF(AA153:AA156,"=50947576",GX153:GX156),2)</f>
        <v>0</v>
      </c>
      <c r="CK158" s="3">
        <f>ROUND(SUMIF(AA153:AA156,"=50947576",GY153:GY156),2)</f>
        <v>0</v>
      </c>
      <c r="CL158" s="3">
        <f>ROUND(SUMIF(AA153:AA156,"=50947576",GZ153:GZ156),2)</f>
        <v>0</v>
      </c>
      <c r="CM158" s="3">
        <f>ROUND(SUMIF(AA153:AA156,"=50947576",HD153:HD156),2)</f>
        <v>50.59</v>
      </c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4">
        <f aca="true" t="shared" si="130" ref="DG158:DL158">ROUND(DT158,2)</f>
        <v>0</v>
      </c>
      <c r="DH158" s="4">
        <f t="shared" si="130"/>
        <v>0</v>
      </c>
      <c r="DI158" s="4">
        <f t="shared" si="130"/>
        <v>0</v>
      </c>
      <c r="DJ158" s="4">
        <f t="shared" si="130"/>
        <v>0</v>
      </c>
      <c r="DK158" s="4">
        <f t="shared" si="130"/>
        <v>0</v>
      </c>
      <c r="DL158" s="4">
        <f t="shared" si="130"/>
        <v>0</v>
      </c>
      <c r="DM158" s="4">
        <f>DZ158</f>
        <v>0</v>
      </c>
      <c r="DN158" s="4">
        <f>EA158</f>
        <v>0</v>
      </c>
      <c r="DO158" s="4">
        <f>ROUND(EB158,2)</f>
        <v>0</v>
      </c>
      <c r="DP158" s="4">
        <f>ROUND(EC158,2)</f>
        <v>0</v>
      </c>
      <c r="DQ158" s="4">
        <f>ROUND(ED158,2)</f>
        <v>0</v>
      </c>
      <c r="DR158" s="4"/>
      <c r="DS158" s="4"/>
      <c r="DT158" s="4">
        <f>ROUND(SUMIF(AA153:AA156,"=50961513",O153:O156),2)</f>
        <v>0</v>
      </c>
      <c r="DU158" s="4">
        <f>ROUND(SUMIF(AA153:AA156,"=50961513",P153:P156),2)</f>
        <v>0</v>
      </c>
      <c r="DV158" s="4">
        <f>ROUND(SUMIF(AA153:AA156,"=50961513",Q153:Q156),2)</f>
        <v>0</v>
      </c>
      <c r="DW158" s="4">
        <f>ROUND(SUMIF(AA153:AA156,"=50961513",R153:R156),2)</f>
        <v>0</v>
      </c>
      <c r="DX158" s="4">
        <f>ROUND(SUMIF(AA153:AA156,"=50961513",S153:S156),2)</f>
        <v>0</v>
      </c>
      <c r="DY158" s="4">
        <f>ROUND(SUMIF(AA153:AA156,"=50961513",T153:T156),2)</f>
        <v>0</v>
      </c>
      <c r="DZ158" s="4">
        <f>SUMIF(AA153:AA156,"=50961513",U153:U156)</f>
        <v>0</v>
      </c>
      <c r="EA158" s="4">
        <f>SUMIF(AA153:AA156,"=50961513",V153:V156)</f>
        <v>0</v>
      </c>
      <c r="EB158" s="4">
        <f>ROUND(SUMIF(AA153:AA156,"=50961513",W153:W156),2)</f>
        <v>0</v>
      </c>
      <c r="EC158" s="4">
        <f>ROUND(SUMIF(AA153:AA156,"=50961513",X153:X156),2)</f>
        <v>0</v>
      </c>
      <c r="ED158" s="4">
        <f>ROUND(SUMIF(AA153:AA156,"=50961513",Y153:Y156),2)</f>
        <v>0</v>
      </c>
      <c r="EE158" s="4"/>
      <c r="EF158" s="4"/>
      <c r="EG158" s="4">
        <f aca="true" t="shared" si="131" ref="EG158:EV158">ROUND(FP158,2)</f>
        <v>0</v>
      </c>
      <c r="EH158" s="4">
        <f t="shared" si="131"/>
        <v>0</v>
      </c>
      <c r="EI158" s="4">
        <f t="shared" si="131"/>
        <v>0</v>
      </c>
      <c r="EJ158" s="4">
        <f t="shared" si="131"/>
        <v>550.65</v>
      </c>
      <c r="EK158" s="4">
        <f t="shared" si="131"/>
        <v>550.65</v>
      </c>
      <c r="EL158" s="4">
        <f t="shared" si="131"/>
        <v>0</v>
      </c>
      <c r="EM158" s="4">
        <f t="shared" si="131"/>
        <v>0</v>
      </c>
      <c r="EN158" s="4">
        <f t="shared" si="131"/>
        <v>0</v>
      </c>
      <c r="EO158" s="4">
        <f t="shared" si="131"/>
        <v>0</v>
      </c>
      <c r="EP158" s="4">
        <f t="shared" si="131"/>
        <v>0</v>
      </c>
      <c r="EQ158" s="4">
        <f t="shared" si="131"/>
        <v>0</v>
      </c>
      <c r="ER158" s="4">
        <f t="shared" si="131"/>
        <v>0</v>
      </c>
      <c r="ES158" s="4">
        <f t="shared" si="131"/>
        <v>0</v>
      </c>
      <c r="ET158" s="4">
        <f t="shared" si="131"/>
        <v>0</v>
      </c>
      <c r="EU158" s="4">
        <f t="shared" si="131"/>
        <v>0</v>
      </c>
      <c r="EV158" s="4">
        <f t="shared" si="131"/>
        <v>550.65</v>
      </c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>
        <f>ROUND(SUMIF(AA153:AA156,"=50961513",FQ153:FQ156),2)</f>
        <v>0</v>
      </c>
      <c r="FQ158" s="4">
        <f>ROUND(SUMIF(AA153:AA156,"=50961513",FR153:FR156),2)</f>
        <v>0</v>
      </c>
      <c r="FR158" s="4">
        <f>ROUND(SUMIF(AA153:AA156,"=50961513",GL153:GL156),2)</f>
        <v>0</v>
      </c>
      <c r="FS158" s="4">
        <f>ROUND(SUMIF(AA153:AA156,"=50961513",GM153:GM156),2)</f>
        <v>550.65</v>
      </c>
      <c r="FT158" s="4">
        <f>ROUND(SUMIF(AA153:AA156,"=50961513",GN153:GN156),2)</f>
        <v>550.65</v>
      </c>
      <c r="FU158" s="4">
        <f>ROUND(SUMIF(AA153:AA156,"=50961513",GO153:GO156),2)</f>
        <v>0</v>
      </c>
      <c r="FV158" s="4">
        <f>ROUND(SUMIF(AA153:AA156,"=50961513",GP153:GP156),2)</f>
        <v>0</v>
      </c>
      <c r="FW158" s="4">
        <f>DU158-FP158</f>
        <v>0</v>
      </c>
      <c r="FX158" s="4">
        <f>DU158-FQ158</f>
        <v>0</v>
      </c>
      <c r="FY158" s="4">
        <f>FP158-FR158</f>
        <v>0</v>
      </c>
      <c r="FZ158" s="4">
        <f>DU158-FP158-FQ158+FR158</f>
        <v>0</v>
      </c>
      <c r="GA158" s="4">
        <f>FQ158-FR158</f>
        <v>0</v>
      </c>
      <c r="GB158" s="4">
        <f>ROUND(SUMIF(AA153:AA156,"=50961513",GX153:GX156),2)</f>
        <v>0</v>
      </c>
      <c r="GC158" s="4">
        <f>ROUND(SUMIF(AA153:AA156,"=50961513",GY153:GY156),2)</f>
        <v>0</v>
      </c>
      <c r="GD158" s="4">
        <f>ROUND(SUMIF(AA153:AA156,"=50961513",GZ153:GZ156),2)</f>
        <v>0</v>
      </c>
      <c r="GE158" s="4">
        <f>ROUND(SUMIF(AA153:AA156,"=50961513",HD153:HD156),2)</f>
        <v>550.65</v>
      </c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>
        <v>0</v>
      </c>
    </row>
    <row r="160" spans="1:23" ht="12.75">
      <c r="A160" s="5">
        <v>50</v>
      </c>
      <c r="B160" s="5">
        <v>0</v>
      </c>
      <c r="C160" s="5">
        <v>0</v>
      </c>
      <c r="D160" s="5">
        <v>1</v>
      </c>
      <c r="E160" s="5">
        <v>201</v>
      </c>
      <c r="F160" s="5">
        <f>ROUND(Source!O158,O160)</f>
        <v>0</v>
      </c>
      <c r="G160" s="5" t="s">
        <v>85</v>
      </c>
      <c r="H160" s="5" t="s">
        <v>86</v>
      </c>
      <c r="I160" s="5"/>
      <c r="J160" s="5"/>
      <c r="K160" s="5">
        <v>201</v>
      </c>
      <c r="L160" s="5">
        <v>1</v>
      </c>
      <c r="M160" s="5">
        <v>3</v>
      </c>
      <c r="N160" s="5" t="s">
        <v>3</v>
      </c>
      <c r="O160" s="5">
        <v>2</v>
      </c>
      <c r="P160" s="5">
        <f>ROUND(Source!DG158,O160)</f>
        <v>0</v>
      </c>
      <c r="Q160" s="5"/>
      <c r="R160" s="5"/>
      <c r="S160" s="5"/>
      <c r="T160" s="5"/>
      <c r="U160" s="5"/>
      <c r="V160" s="5"/>
      <c r="W160" s="5"/>
    </row>
    <row r="161" spans="1:23" ht="12.75">
      <c r="A161" s="5">
        <v>50</v>
      </c>
      <c r="B161" s="5">
        <v>0</v>
      </c>
      <c r="C161" s="5">
        <v>0</v>
      </c>
      <c r="D161" s="5">
        <v>1</v>
      </c>
      <c r="E161" s="5">
        <v>202</v>
      </c>
      <c r="F161" s="5">
        <f>ROUND(Source!P158,O161)</f>
        <v>0</v>
      </c>
      <c r="G161" s="5" t="s">
        <v>87</v>
      </c>
      <c r="H161" s="5" t="s">
        <v>88</v>
      </c>
      <c r="I161" s="5"/>
      <c r="J161" s="5"/>
      <c r="K161" s="5">
        <v>202</v>
      </c>
      <c r="L161" s="5">
        <v>2</v>
      </c>
      <c r="M161" s="5">
        <v>3</v>
      </c>
      <c r="N161" s="5" t="s">
        <v>3</v>
      </c>
      <c r="O161" s="5">
        <v>2</v>
      </c>
      <c r="P161" s="5">
        <f>ROUND(Source!DH158,O161)</f>
        <v>0</v>
      </c>
      <c r="Q161" s="5"/>
      <c r="R161" s="5"/>
      <c r="S161" s="5"/>
      <c r="T161" s="5"/>
      <c r="U161" s="5"/>
      <c r="V161" s="5"/>
      <c r="W161" s="5"/>
    </row>
    <row r="162" spans="1:23" ht="12.75">
      <c r="A162" s="5">
        <v>50</v>
      </c>
      <c r="B162" s="5">
        <v>0</v>
      </c>
      <c r="C162" s="5">
        <v>0</v>
      </c>
      <c r="D162" s="5">
        <v>1</v>
      </c>
      <c r="E162" s="5">
        <v>222</v>
      </c>
      <c r="F162" s="5">
        <f>ROUND(Source!AO158,O162)</f>
        <v>0</v>
      </c>
      <c r="G162" s="5" t="s">
        <v>89</v>
      </c>
      <c r="H162" s="5" t="s">
        <v>90</v>
      </c>
      <c r="I162" s="5"/>
      <c r="J162" s="5"/>
      <c r="K162" s="5">
        <v>222</v>
      </c>
      <c r="L162" s="5">
        <v>3</v>
      </c>
      <c r="M162" s="5">
        <v>3</v>
      </c>
      <c r="N162" s="5" t="s">
        <v>3</v>
      </c>
      <c r="O162" s="5">
        <v>2</v>
      </c>
      <c r="P162" s="5">
        <f>ROUND(Source!EG158,O162)</f>
        <v>0</v>
      </c>
      <c r="Q162" s="5"/>
      <c r="R162" s="5"/>
      <c r="S162" s="5"/>
      <c r="T162" s="5"/>
      <c r="U162" s="5"/>
      <c r="V162" s="5"/>
      <c r="W162" s="5"/>
    </row>
    <row r="163" spans="1:23" ht="12.75">
      <c r="A163" s="5">
        <v>50</v>
      </c>
      <c r="B163" s="5">
        <v>0</v>
      </c>
      <c r="C163" s="5">
        <v>0</v>
      </c>
      <c r="D163" s="5">
        <v>1</v>
      </c>
      <c r="E163" s="5">
        <v>225</v>
      </c>
      <c r="F163" s="5">
        <f>ROUND(Source!AV158,O163)</f>
        <v>0</v>
      </c>
      <c r="G163" s="5" t="s">
        <v>91</v>
      </c>
      <c r="H163" s="5" t="s">
        <v>92</v>
      </c>
      <c r="I163" s="5"/>
      <c r="J163" s="5"/>
      <c r="K163" s="5">
        <v>225</v>
      </c>
      <c r="L163" s="5">
        <v>4</v>
      </c>
      <c r="M163" s="5">
        <v>3</v>
      </c>
      <c r="N163" s="5" t="s">
        <v>3</v>
      </c>
      <c r="O163" s="5">
        <v>2</v>
      </c>
      <c r="P163" s="5">
        <f>ROUND(Source!EN158,O163)</f>
        <v>0</v>
      </c>
      <c r="Q163" s="5"/>
      <c r="R163" s="5"/>
      <c r="S163" s="5"/>
      <c r="T163" s="5"/>
      <c r="U163" s="5"/>
      <c r="V163" s="5"/>
      <c r="W163" s="5"/>
    </row>
    <row r="164" spans="1:23" ht="12.75">
      <c r="A164" s="5">
        <v>50</v>
      </c>
      <c r="B164" s="5">
        <v>0</v>
      </c>
      <c r="C164" s="5">
        <v>0</v>
      </c>
      <c r="D164" s="5">
        <v>1</v>
      </c>
      <c r="E164" s="5">
        <v>226</v>
      </c>
      <c r="F164" s="5">
        <f>ROUND(Source!AW158,O164)</f>
        <v>0</v>
      </c>
      <c r="G164" s="5" t="s">
        <v>93</v>
      </c>
      <c r="H164" s="5" t="s">
        <v>94</v>
      </c>
      <c r="I164" s="5"/>
      <c r="J164" s="5"/>
      <c r="K164" s="5">
        <v>226</v>
      </c>
      <c r="L164" s="5">
        <v>5</v>
      </c>
      <c r="M164" s="5">
        <v>3</v>
      </c>
      <c r="N164" s="5" t="s">
        <v>3</v>
      </c>
      <c r="O164" s="5">
        <v>2</v>
      </c>
      <c r="P164" s="5">
        <f>ROUND(Source!EO158,O164)</f>
        <v>0</v>
      </c>
      <c r="Q164" s="5"/>
      <c r="R164" s="5"/>
      <c r="S164" s="5"/>
      <c r="T164" s="5"/>
      <c r="U164" s="5"/>
      <c r="V164" s="5"/>
      <c r="W164" s="5"/>
    </row>
    <row r="165" spans="1:23" ht="12.75">
      <c r="A165" s="5">
        <v>50</v>
      </c>
      <c r="B165" s="5">
        <v>0</v>
      </c>
      <c r="C165" s="5">
        <v>0</v>
      </c>
      <c r="D165" s="5">
        <v>1</v>
      </c>
      <c r="E165" s="5">
        <v>227</v>
      </c>
      <c r="F165" s="5">
        <f>ROUND(Source!AX158,O165)</f>
        <v>0</v>
      </c>
      <c r="G165" s="5" t="s">
        <v>95</v>
      </c>
      <c r="H165" s="5" t="s">
        <v>96</v>
      </c>
      <c r="I165" s="5"/>
      <c r="J165" s="5"/>
      <c r="K165" s="5">
        <v>227</v>
      </c>
      <c r="L165" s="5">
        <v>6</v>
      </c>
      <c r="M165" s="5">
        <v>3</v>
      </c>
      <c r="N165" s="5" t="s">
        <v>3</v>
      </c>
      <c r="O165" s="5">
        <v>2</v>
      </c>
      <c r="P165" s="5">
        <f>ROUND(Source!EP158,O165)</f>
        <v>0</v>
      </c>
      <c r="Q165" s="5"/>
      <c r="R165" s="5"/>
      <c r="S165" s="5"/>
      <c r="T165" s="5"/>
      <c r="U165" s="5"/>
      <c r="V165" s="5"/>
      <c r="W165" s="5"/>
    </row>
    <row r="166" spans="1:23" ht="12.75">
      <c r="A166" s="5">
        <v>50</v>
      </c>
      <c r="B166" s="5">
        <v>0</v>
      </c>
      <c r="C166" s="5">
        <v>0</v>
      </c>
      <c r="D166" s="5">
        <v>1</v>
      </c>
      <c r="E166" s="5">
        <v>228</v>
      </c>
      <c r="F166" s="5">
        <f>ROUND(Source!AY158,O166)</f>
        <v>0</v>
      </c>
      <c r="G166" s="5" t="s">
        <v>97</v>
      </c>
      <c r="H166" s="5" t="s">
        <v>98</v>
      </c>
      <c r="I166" s="5"/>
      <c r="J166" s="5"/>
      <c r="K166" s="5">
        <v>228</v>
      </c>
      <c r="L166" s="5">
        <v>7</v>
      </c>
      <c r="M166" s="5">
        <v>3</v>
      </c>
      <c r="N166" s="5" t="s">
        <v>3</v>
      </c>
      <c r="O166" s="5">
        <v>2</v>
      </c>
      <c r="P166" s="5">
        <f>ROUND(Source!EQ158,O166)</f>
        <v>0</v>
      </c>
      <c r="Q166" s="5"/>
      <c r="R166" s="5"/>
      <c r="S166" s="5"/>
      <c r="T166" s="5"/>
      <c r="U166" s="5"/>
      <c r="V166" s="5"/>
      <c r="W166" s="5"/>
    </row>
    <row r="167" spans="1:23" ht="12.75">
      <c r="A167" s="5">
        <v>50</v>
      </c>
      <c r="B167" s="5">
        <v>0</v>
      </c>
      <c r="C167" s="5">
        <v>0</v>
      </c>
      <c r="D167" s="5">
        <v>1</v>
      </c>
      <c r="E167" s="5">
        <v>216</v>
      </c>
      <c r="F167" s="5">
        <f>ROUND(Source!AP158,O167)</f>
        <v>0</v>
      </c>
      <c r="G167" s="5" t="s">
        <v>99</v>
      </c>
      <c r="H167" s="5" t="s">
        <v>100</v>
      </c>
      <c r="I167" s="5"/>
      <c r="J167" s="5"/>
      <c r="K167" s="5">
        <v>216</v>
      </c>
      <c r="L167" s="5">
        <v>8</v>
      </c>
      <c r="M167" s="5">
        <v>3</v>
      </c>
      <c r="N167" s="5" t="s">
        <v>3</v>
      </c>
      <c r="O167" s="5">
        <v>2</v>
      </c>
      <c r="P167" s="5">
        <f>ROUND(Source!EH158,O167)</f>
        <v>0</v>
      </c>
      <c r="Q167" s="5"/>
      <c r="R167" s="5"/>
      <c r="S167" s="5"/>
      <c r="T167" s="5"/>
      <c r="U167" s="5"/>
      <c r="V167" s="5"/>
      <c r="W167" s="5"/>
    </row>
    <row r="168" spans="1:23" ht="12.75">
      <c r="A168" s="5">
        <v>50</v>
      </c>
      <c r="B168" s="5">
        <v>0</v>
      </c>
      <c r="C168" s="5">
        <v>0</v>
      </c>
      <c r="D168" s="5">
        <v>1</v>
      </c>
      <c r="E168" s="5">
        <v>223</v>
      </c>
      <c r="F168" s="5">
        <f>ROUND(Source!AQ158,O168)</f>
        <v>0</v>
      </c>
      <c r="G168" s="5" t="s">
        <v>101</v>
      </c>
      <c r="H168" s="5" t="s">
        <v>102</v>
      </c>
      <c r="I168" s="5"/>
      <c r="J168" s="5"/>
      <c r="K168" s="5">
        <v>223</v>
      </c>
      <c r="L168" s="5">
        <v>9</v>
      </c>
      <c r="M168" s="5">
        <v>3</v>
      </c>
      <c r="N168" s="5" t="s">
        <v>3</v>
      </c>
      <c r="O168" s="5">
        <v>2</v>
      </c>
      <c r="P168" s="5">
        <f>ROUND(Source!EI158,O168)</f>
        <v>0</v>
      </c>
      <c r="Q168" s="5"/>
      <c r="R168" s="5"/>
      <c r="S168" s="5"/>
      <c r="T168" s="5"/>
      <c r="U168" s="5"/>
      <c r="V168" s="5"/>
      <c r="W168" s="5"/>
    </row>
    <row r="169" spans="1:23" ht="12.75">
      <c r="A169" s="5">
        <v>50</v>
      </c>
      <c r="B169" s="5">
        <v>0</v>
      </c>
      <c r="C169" s="5">
        <v>0</v>
      </c>
      <c r="D169" s="5">
        <v>1</v>
      </c>
      <c r="E169" s="5">
        <v>229</v>
      </c>
      <c r="F169" s="5">
        <f>ROUND(Source!AZ158,O169)</f>
        <v>0</v>
      </c>
      <c r="G169" s="5" t="s">
        <v>103</v>
      </c>
      <c r="H169" s="5" t="s">
        <v>104</v>
      </c>
      <c r="I169" s="5"/>
      <c r="J169" s="5"/>
      <c r="K169" s="5">
        <v>229</v>
      </c>
      <c r="L169" s="5">
        <v>10</v>
      </c>
      <c r="M169" s="5">
        <v>3</v>
      </c>
      <c r="N169" s="5" t="s">
        <v>3</v>
      </c>
      <c r="O169" s="5">
        <v>2</v>
      </c>
      <c r="P169" s="5">
        <f>ROUND(Source!ER158,O169)</f>
        <v>0</v>
      </c>
      <c r="Q169" s="5"/>
      <c r="R169" s="5"/>
      <c r="S169" s="5"/>
      <c r="T169" s="5"/>
      <c r="U169" s="5"/>
      <c r="V169" s="5"/>
      <c r="W169" s="5"/>
    </row>
    <row r="170" spans="1:23" ht="12.75">
      <c r="A170" s="5">
        <v>50</v>
      </c>
      <c r="B170" s="5">
        <v>0</v>
      </c>
      <c r="C170" s="5">
        <v>0</v>
      </c>
      <c r="D170" s="5">
        <v>1</v>
      </c>
      <c r="E170" s="5">
        <v>203</v>
      </c>
      <c r="F170" s="5">
        <f>ROUND(Source!Q158,O170)</f>
        <v>0</v>
      </c>
      <c r="G170" s="5" t="s">
        <v>105</v>
      </c>
      <c r="H170" s="5" t="s">
        <v>106</v>
      </c>
      <c r="I170" s="5"/>
      <c r="J170" s="5"/>
      <c r="K170" s="5">
        <v>203</v>
      </c>
      <c r="L170" s="5">
        <v>11</v>
      </c>
      <c r="M170" s="5">
        <v>3</v>
      </c>
      <c r="N170" s="5" t="s">
        <v>3</v>
      </c>
      <c r="O170" s="5">
        <v>2</v>
      </c>
      <c r="P170" s="5">
        <f>ROUND(Source!DI158,O170)</f>
        <v>0</v>
      </c>
      <c r="Q170" s="5"/>
      <c r="R170" s="5"/>
      <c r="S170" s="5"/>
      <c r="T170" s="5"/>
      <c r="U170" s="5"/>
      <c r="V170" s="5"/>
      <c r="W170" s="5"/>
    </row>
    <row r="171" spans="1:23" ht="12.75">
      <c r="A171" s="5">
        <v>50</v>
      </c>
      <c r="B171" s="5">
        <v>0</v>
      </c>
      <c r="C171" s="5">
        <v>0</v>
      </c>
      <c r="D171" s="5">
        <v>1</v>
      </c>
      <c r="E171" s="5">
        <v>231</v>
      </c>
      <c r="F171" s="5">
        <f>ROUND(Source!BB158,O171)</f>
        <v>0</v>
      </c>
      <c r="G171" s="5" t="s">
        <v>107</v>
      </c>
      <c r="H171" s="5" t="s">
        <v>108</v>
      </c>
      <c r="I171" s="5"/>
      <c r="J171" s="5"/>
      <c r="K171" s="5">
        <v>231</v>
      </c>
      <c r="L171" s="5">
        <v>12</v>
      </c>
      <c r="M171" s="5">
        <v>3</v>
      </c>
      <c r="N171" s="5" t="s">
        <v>3</v>
      </c>
      <c r="O171" s="5">
        <v>2</v>
      </c>
      <c r="P171" s="5">
        <f>ROUND(Source!ET158,O171)</f>
        <v>0</v>
      </c>
      <c r="Q171" s="5"/>
      <c r="R171" s="5"/>
      <c r="S171" s="5"/>
      <c r="T171" s="5"/>
      <c r="U171" s="5"/>
      <c r="V171" s="5"/>
      <c r="W171" s="5"/>
    </row>
    <row r="172" spans="1:23" ht="12.75">
      <c r="A172" s="5">
        <v>50</v>
      </c>
      <c r="B172" s="5">
        <v>0</v>
      </c>
      <c r="C172" s="5">
        <v>0</v>
      </c>
      <c r="D172" s="5">
        <v>1</v>
      </c>
      <c r="E172" s="5">
        <v>204</v>
      </c>
      <c r="F172" s="5">
        <f>ROUND(Source!R158,O172)</f>
        <v>0</v>
      </c>
      <c r="G172" s="5" t="s">
        <v>109</v>
      </c>
      <c r="H172" s="5" t="s">
        <v>110</v>
      </c>
      <c r="I172" s="5"/>
      <c r="J172" s="5"/>
      <c r="K172" s="5">
        <v>204</v>
      </c>
      <c r="L172" s="5">
        <v>13</v>
      </c>
      <c r="M172" s="5">
        <v>3</v>
      </c>
      <c r="N172" s="5" t="s">
        <v>3</v>
      </c>
      <c r="O172" s="5">
        <v>2</v>
      </c>
      <c r="P172" s="5">
        <f>ROUND(Source!DJ158,O172)</f>
        <v>0</v>
      </c>
      <c r="Q172" s="5"/>
      <c r="R172" s="5"/>
      <c r="S172" s="5"/>
      <c r="T172" s="5"/>
      <c r="U172" s="5"/>
      <c r="V172" s="5"/>
      <c r="W172" s="5"/>
    </row>
    <row r="173" spans="1:23" ht="12.75">
      <c r="A173" s="5">
        <v>50</v>
      </c>
      <c r="B173" s="5">
        <v>0</v>
      </c>
      <c r="C173" s="5">
        <v>0</v>
      </c>
      <c r="D173" s="5">
        <v>1</v>
      </c>
      <c r="E173" s="5">
        <v>205</v>
      </c>
      <c r="F173" s="5">
        <f>ROUND(Source!S158,O173)</f>
        <v>0</v>
      </c>
      <c r="G173" s="5" t="s">
        <v>111</v>
      </c>
      <c r="H173" s="5" t="s">
        <v>112</v>
      </c>
      <c r="I173" s="5"/>
      <c r="J173" s="5"/>
      <c r="K173" s="5">
        <v>205</v>
      </c>
      <c r="L173" s="5">
        <v>14</v>
      </c>
      <c r="M173" s="5">
        <v>3</v>
      </c>
      <c r="N173" s="5" t="s">
        <v>3</v>
      </c>
      <c r="O173" s="5">
        <v>2</v>
      </c>
      <c r="P173" s="5">
        <f>ROUND(Source!DK158,O173)</f>
        <v>0</v>
      </c>
      <c r="Q173" s="5"/>
      <c r="R173" s="5"/>
      <c r="S173" s="5"/>
      <c r="T173" s="5"/>
      <c r="U173" s="5"/>
      <c r="V173" s="5"/>
      <c r="W173" s="5"/>
    </row>
    <row r="174" spans="1:23" ht="12.75">
      <c r="A174" s="5">
        <v>50</v>
      </c>
      <c r="B174" s="5">
        <v>0</v>
      </c>
      <c r="C174" s="5">
        <v>0</v>
      </c>
      <c r="D174" s="5">
        <v>1</v>
      </c>
      <c r="E174" s="5">
        <v>232</v>
      </c>
      <c r="F174" s="5">
        <f>ROUND(Source!BC158,O174)</f>
        <v>0</v>
      </c>
      <c r="G174" s="5" t="s">
        <v>113</v>
      </c>
      <c r="H174" s="5" t="s">
        <v>114</v>
      </c>
      <c r="I174" s="5"/>
      <c r="J174" s="5"/>
      <c r="K174" s="5">
        <v>232</v>
      </c>
      <c r="L174" s="5">
        <v>15</v>
      </c>
      <c r="M174" s="5">
        <v>3</v>
      </c>
      <c r="N174" s="5" t="s">
        <v>3</v>
      </c>
      <c r="O174" s="5">
        <v>2</v>
      </c>
      <c r="P174" s="5">
        <f>ROUND(Source!EU158,O174)</f>
        <v>0</v>
      </c>
      <c r="Q174" s="5"/>
      <c r="R174" s="5"/>
      <c r="S174" s="5"/>
      <c r="T174" s="5"/>
      <c r="U174" s="5"/>
      <c r="V174" s="5"/>
      <c r="W174" s="5"/>
    </row>
    <row r="175" spans="1:23" ht="12.75">
      <c r="A175" s="5">
        <v>50</v>
      </c>
      <c r="B175" s="5">
        <v>0</v>
      </c>
      <c r="C175" s="5">
        <v>0</v>
      </c>
      <c r="D175" s="5">
        <v>1</v>
      </c>
      <c r="E175" s="5">
        <v>214</v>
      </c>
      <c r="F175" s="5">
        <f>ROUND(Source!AS158,O175)</f>
        <v>50.59</v>
      </c>
      <c r="G175" s="5" t="s">
        <v>115</v>
      </c>
      <c r="H175" s="5" t="s">
        <v>116</v>
      </c>
      <c r="I175" s="5"/>
      <c r="J175" s="5"/>
      <c r="K175" s="5">
        <v>214</v>
      </c>
      <c r="L175" s="5">
        <v>16</v>
      </c>
      <c r="M175" s="5">
        <v>3</v>
      </c>
      <c r="N175" s="5" t="s">
        <v>3</v>
      </c>
      <c r="O175" s="5">
        <v>2</v>
      </c>
      <c r="P175" s="5">
        <f>ROUND(Source!EK158,O175)</f>
        <v>550.65</v>
      </c>
      <c r="Q175" s="5"/>
      <c r="R175" s="5"/>
      <c r="S175" s="5"/>
      <c r="T175" s="5"/>
      <c r="U175" s="5"/>
      <c r="V175" s="5"/>
      <c r="W175" s="5"/>
    </row>
    <row r="176" spans="1:23" ht="12.75">
      <c r="A176" s="5">
        <v>50</v>
      </c>
      <c r="B176" s="5">
        <v>0</v>
      </c>
      <c r="C176" s="5">
        <v>0</v>
      </c>
      <c r="D176" s="5">
        <v>1</v>
      </c>
      <c r="E176" s="5">
        <v>215</v>
      </c>
      <c r="F176" s="5">
        <f>ROUND(Source!AT158,O176)</f>
        <v>0</v>
      </c>
      <c r="G176" s="5" t="s">
        <v>117</v>
      </c>
      <c r="H176" s="5" t="s">
        <v>118</v>
      </c>
      <c r="I176" s="5"/>
      <c r="J176" s="5"/>
      <c r="K176" s="5">
        <v>215</v>
      </c>
      <c r="L176" s="5">
        <v>17</v>
      </c>
      <c r="M176" s="5">
        <v>3</v>
      </c>
      <c r="N176" s="5" t="s">
        <v>3</v>
      </c>
      <c r="O176" s="5">
        <v>2</v>
      </c>
      <c r="P176" s="5">
        <f>ROUND(Source!EL158,O176)</f>
        <v>0</v>
      </c>
      <c r="Q176" s="5"/>
      <c r="R176" s="5"/>
      <c r="S176" s="5"/>
      <c r="T176" s="5"/>
      <c r="U176" s="5"/>
      <c r="V176" s="5"/>
      <c r="W176" s="5"/>
    </row>
    <row r="177" spans="1:23" ht="12.75">
      <c r="A177" s="5">
        <v>50</v>
      </c>
      <c r="B177" s="5">
        <v>0</v>
      </c>
      <c r="C177" s="5">
        <v>0</v>
      </c>
      <c r="D177" s="5">
        <v>1</v>
      </c>
      <c r="E177" s="5">
        <v>217</v>
      </c>
      <c r="F177" s="5">
        <f>ROUND(Source!AU158,O177)</f>
        <v>0</v>
      </c>
      <c r="G177" s="5" t="s">
        <v>119</v>
      </c>
      <c r="H177" s="5" t="s">
        <v>120</v>
      </c>
      <c r="I177" s="5"/>
      <c r="J177" s="5"/>
      <c r="K177" s="5">
        <v>217</v>
      </c>
      <c r="L177" s="5">
        <v>18</v>
      </c>
      <c r="M177" s="5">
        <v>3</v>
      </c>
      <c r="N177" s="5" t="s">
        <v>3</v>
      </c>
      <c r="O177" s="5">
        <v>2</v>
      </c>
      <c r="P177" s="5">
        <f>ROUND(Source!EM158,O177)</f>
        <v>0</v>
      </c>
      <c r="Q177" s="5"/>
      <c r="R177" s="5"/>
      <c r="S177" s="5"/>
      <c r="T177" s="5"/>
      <c r="U177" s="5"/>
      <c r="V177" s="5"/>
      <c r="W177" s="5"/>
    </row>
    <row r="178" spans="1:23" ht="12.75">
      <c r="A178" s="5">
        <v>50</v>
      </c>
      <c r="B178" s="5">
        <v>0</v>
      </c>
      <c r="C178" s="5">
        <v>0</v>
      </c>
      <c r="D178" s="5">
        <v>1</v>
      </c>
      <c r="E178" s="5">
        <v>230</v>
      </c>
      <c r="F178" s="5">
        <f>ROUND(Source!BA158,O178)</f>
        <v>0</v>
      </c>
      <c r="G178" s="5" t="s">
        <v>121</v>
      </c>
      <c r="H178" s="5" t="s">
        <v>122</v>
      </c>
      <c r="I178" s="5"/>
      <c r="J178" s="5"/>
      <c r="K178" s="5">
        <v>230</v>
      </c>
      <c r="L178" s="5">
        <v>19</v>
      </c>
      <c r="M178" s="5">
        <v>3</v>
      </c>
      <c r="N178" s="5" t="s">
        <v>3</v>
      </c>
      <c r="O178" s="5">
        <v>2</v>
      </c>
      <c r="P178" s="5">
        <f>ROUND(Source!ES158,O178)</f>
        <v>0</v>
      </c>
      <c r="Q178" s="5"/>
      <c r="R178" s="5"/>
      <c r="S178" s="5"/>
      <c r="T178" s="5"/>
      <c r="U178" s="5"/>
      <c r="V178" s="5"/>
      <c r="W178" s="5"/>
    </row>
    <row r="179" spans="1:23" ht="12.75">
      <c r="A179" s="5">
        <v>50</v>
      </c>
      <c r="B179" s="5">
        <v>0</v>
      </c>
      <c r="C179" s="5">
        <v>0</v>
      </c>
      <c r="D179" s="5">
        <v>1</v>
      </c>
      <c r="E179" s="5">
        <v>206</v>
      </c>
      <c r="F179" s="5">
        <f>ROUND(Source!T158,O179)</f>
        <v>0</v>
      </c>
      <c r="G179" s="5" t="s">
        <v>123</v>
      </c>
      <c r="H179" s="5" t="s">
        <v>124</v>
      </c>
      <c r="I179" s="5"/>
      <c r="J179" s="5"/>
      <c r="K179" s="5">
        <v>206</v>
      </c>
      <c r="L179" s="5">
        <v>20</v>
      </c>
      <c r="M179" s="5">
        <v>3</v>
      </c>
      <c r="N179" s="5" t="s">
        <v>3</v>
      </c>
      <c r="O179" s="5">
        <v>2</v>
      </c>
      <c r="P179" s="5">
        <f>ROUND(Source!DL158,O179)</f>
        <v>0</v>
      </c>
      <c r="Q179" s="5"/>
      <c r="R179" s="5"/>
      <c r="S179" s="5"/>
      <c r="T179" s="5"/>
      <c r="U179" s="5"/>
      <c r="V179" s="5"/>
      <c r="W179" s="5"/>
    </row>
    <row r="180" spans="1:23" ht="12.75">
      <c r="A180" s="5">
        <v>50</v>
      </c>
      <c r="B180" s="5">
        <v>0</v>
      </c>
      <c r="C180" s="5">
        <v>0</v>
      </c>
      <c r="D180" s="5">
        <v>1</v>
      </c>
      <c r="E180" s="5">
        <v>207</v>
      </c>
      <c r="F180" s="5">
        <f>Source!U158</f>
        <v>0</v>
      </c>
      <c r="G180" s="5" t="s">
        <v>125</v>
      </c>
      <c r="H180" s="5" t="s">
        <v>126</v>
      </c>
      <c r="I180" s="5"/>
      <c r="J180" s="5"/>
      <c r="K180" s="5">
        <v>207</v>
      </c>
      <c r="L180" s="5">
        <v>21</v>
      </c>
      <c r="M180" s="5">
        <v>3</v>
      </c>
      <c r="N180" s="5" t="s">
        <v>3</v>
      </c>
      <c r="O180" s="5">
        <v>-1</v>
      </c>
      <c r="P180" s="5">
        <f>Source!DM158</f>
        <v>0</v>
      </c>
      <c r="Q180" s="5"/>
      <c r="R180" s="5"/>
      <c r="S180" s="5"/>
      <c r="T180" s="5"/>
      <c r="U180" s="5"/>
      <c r="V180" s="5"/>
      <c r="W180" s="5"/>
    </row>
    <row r="181" spans="1:23" ht="12.75">
      <c r="A181" s="5">
        <v>50</v>
      </c>
      <c r="B181" s="5">
        <v>0</v>
      </c>
      <c r="C181" s="5">
        <v>0</v>
      </c>
      <c r="D181" s="5">
        <v>1</v>
      </c>
      <c r="E181" s="5">
        <v>208</v>
      </c>
      <c r="F181" s="5">
        <f>Source!V158</f>
        <v>0</v>
      </c>
      <c r="G181" s="5" t="s">
        <v>127</v>
      </c>
      <c r="H181" s="5" t="s">
        <v>128</v>
      </c>
      <c r="I181" s="5"/>
      <c r="J181" s="5"/>
      <c r="K181" s="5">
        <v>208</v>
      </c>
      <c r="L181" s="5">
        <v>22</v>
      </c>
      <c r="M181" s="5">
        <v>3</v>
      </c>
      <c r="N181" s="5" t="s">
        <v>3</v>
      </c>
      <c r="O181" s="5">
        <v>-1</v>
      </c>
      <c r="P181" s="5">
        <f>Source!DN158</f>
        <v>0</v>
      </c>
      <c r="Q181" s="5"/>
      <c r="R181" s="5"/>
      <c r="S181" s="5"/>
      <c r="T181" s="5"/>
      <c r="U181" s="5"/>
      <c r="V181" s="5"/>
      <c r="W181" s="5"/>
    </row>
    <row r="182" spans="1:23" ht="12.75">
      <c r="A182" s="5">
        <v>50</v>
      </c>
      <c r="B182" s="5">
        <v>0</v>
      </c>
      <c r="C182" s="5">
        <v>0</v>
      </c>
      <c r="D182" s="5">
        <v>1</v>
      </c>
      <c r="E182" s="5">
        <v>209</v>
      </c>
      <c r="F182" s="5">
        <f>ROUND(Source!W158,O182)</f>
        <v>0</v>
      </c>
      <c r="G182" s="5" t="s">
        <v>129</v>
      </c>
      <c r="H182" s="5" t="s">
        <v>130</v>
      </c>
      <c r="I182" s="5"/>
      <c r="J182" s="5"/>
      <c r="K182" s="5">
        <v>209</v>
      </c>
      <c r="L182" s="5">
        <v>23</v>
      </c>
      <c r="M182" s="5">
        <v>3</v>
      </c>
      <c r="N182" s="5" t="s">
        <v>3</v>
      </c>
      <c r="O182" s="5">
        <v>2</v>
      </c>
      <c r="P182" s="5">
        <f>ROUND(Source!DO158,O182)</f>
        <v>0</v>
      </c>
      <c r="Q182" s="5"/>
      <c r="R182" s="5"/>
      <c r="S182" s="5"/>
      <c r="T182" s="5"/>
      <c r="U182" s="5"/>
      <c r="V182" s="5"/>
      <c r="W182" s="5"/>
    </row>
    <row r="183" spans="1:23" ht="12.75">
      <c r="A183" s="5">
        <v>50</v>
      </c>
      <c r="B183" s="5">
        <v>0</v>
      </c>
      <c r="C183" s="5">
        <v>0</v>
      </c>
      <c r="D183" s="5">
        <v>1</v>
      </c>
      <c r="E183" s="5">
        <v>233</v>
      </c>
      <c r="F183" s="5">
        <f>ROUND(Source!BD158,O183)</f>
        <v>50.59</v>
      </c>
      <c r="G183" s="5" t="s">
        <v>131</v>
      </c>
      <c r="H183" s="5" t="s">
        <v>132</v>
      </c>
      <c r="I183" s="5"/>
      <c r="J183" s="5"/>
      <c r="K183" s="5">
        <v>233</v>
      </c>
      <c r="L183" s="5">
        <v>24</v>
      </c>
      <c r="M183" s="5">
        <v>3</v>
      </c>
      <c r="N183" s="5" t="s">
        <v>3</v>
      </c>
      <c r="O183" s="5">
        <v>2</v>
      </c>
      <c r="P183" s="5">
        <f>ROUND(Source!EV158,O183)</f>
        <v>550.65</v>
      </c>
      <c r="Q183" s="5"/>
      <c r="R183" s="5"/>
      <c r="S183" s="5"/>
      <c r="T183" s="5"/>
      <c r="U183" s="5"/>
      <c r="V183" s="5"/>
      <c r="W183" s="5"/>
    </row>
    <row r="184" spans="1:23" ht="12.75">
      <c r="A184" s="5">
        <v>50</v>
      </c>
      <c r="B184" s="5">
        <v>0</v>
      </c>
      <c r="C184" s="5">
        <v>0</v>
      </c>
      <c r="D184" s="5">
        <v>1</v>
      </c>
      <c r="E184" s="5">
        <v>210</v>
      </c>
      <c r="F184" s="5">
        <f>ROUND(Source!X158,O184)</f>
        <v>0</v>
      </c>
      <c r="G184" s="5" t="s">
        <v>133</v>
      </c>
      <c r="H184" s="5" t="s">
        <v>134</v>
      </c>
      <c r="I184" s="5"/>
      <c r="J184" s="5"/>
      <c r="K184" s="5">
        <v>210</v>
      </c>
      <c r="L184" s="5">
        <v>25</v>
      </c>
      <c r="M184" s="5">
        <v>3</v>
      </c>
      <c r="N184" s="5" t="s">
        <v>3</v>
      </c>
      <c r="O184" s="5">
        <v>2</v>
      </c>
      <c r="P184" s="5">
        <f>ROUND(Source!DP158,O184)</f>
        <v>0</v>
      </c>
      <c r="Q184" s="5"/>
      <c r="R184" s="5"/>
      <c r="S184" s="5"/>
      <c r="T184" s="5"/>
      <c r="U184" s="5"/>
      <c r="V184" s="5"/>
      <c r="W184" s="5"/>
    </row>
    <row r="185" spans="1:23" ht="12.75">
      <c r="A185" s="5">
        <v>50</v>
      </c>
      <c r="B185" s="5">
        <v>0</v>
      </c>
      <c r="C185" s="5">
        <v>0</v>
      </c>
      <c r="D185" s="5">
        <v>1</v>
      </c>
      <c r="E185" s="5">
        <v>211</v>
      </c>
      <c r="F185" s="5">
        <f>ROUND(Source!Y158,O185)</f>
        <v>0</v>
      </c>
      <c r="G185" s="5" t="s">
        <v>135</v>
      </c>
      <c r="H185" s="5" t="s">
        <v>136</v>
      </c>
      <c r="I185" s="5"/>
      <c r="J185" s="5"/>
      <c r="K185" s="5">
        <v>211</v>
      </c>
      <c r="L185" s="5">
        <v>26</v>
      </c>
      <c r="M185" s="5">
        <v>3</v>
      </c>
      <c r="N185" s="5" t="s">
        <v>3</v>
      </c>
      <c r="O185" s="5">
        <v>2</v>
      </c>
      <c r="P185" s="5">
        <f>ROUND(Source!DQ158,O185)</f>
        <v>0</v>
      </c>
      <c r="Q185" s="5"/>
      <c r="R185" s="5"/>
      <c r="S185" s="5"/>
      <c r="T185" s="5"/>
      <c r="U185" s="5"/>
      <c r="V185" s="5"/>
      <c r="W185" s="5"/>
    </row>
    <row r="186" spans="1:23" ht="12.75">
      <c r="A186" s="5">
        <v>50</v>
      </c>
      <c r="B186" s="5">
        <v>0</v>
      </c>
      <c r="C186" s="5">
        <v>0</v>
      </c>
      <c r="D186" s="5">
        <v>1</v>
      </c>
      <c r="E186" s="5">
        <v>224</v>
      </c>
      <c r="F186" s="5">
        <f>ROUND(Source!AR158,O186)</f>
        <v>50.59</v>
      </c>
      <c r="G186" s="5" t="s">
        <v>137</v>
      </c>
      <c r="H186" s="5" t="s">
        <v>138</v>
      </c>
      <c r="I186" s="5"/>
      <c r="J186" s="5"/>
      <c r="K186" s="5">
        <v>224</v>
      </c>
      <c r="L186" s="5">
        <v>27</v>
      </c>
      <c r="M186" s="5">
        <v>3</v>
      </c>
      <c r="N186" s="5" t="s">
        <v>3</v>
      </c>
      <c r="O186" s="5">
        <v>2</v>
      </c>
      <c r="P186" s="5">
        <f>ROUND(Source!EJ158,O186)</f>
        <v>550.65</v>
      </c>
      <c r="Q186" s="5"/>
      <c r="R186" s="5"/>
      <c r="S186" s="5"/>
      <c r="T186" s="5"/>
      <c r="U186" s="5"/>
      <c r="V186" s="5"/>
      <c r="W186" s="5"/>
    </row>
    <row r="187" spans="1:23" ht="12.75">
      <c r="A187" s="5">
        <v>50</v>
      </c>
      <c r="B187" s="5">
        <v>1</v>
      </c>
      <c r="C187" s="5">
        <v>0</v>
      </c>
      <c r="D187" s="5">
        <v>2</v>
      </c>
      <c r="E187" s="5">
        <v>0</v>
      </c>
      <c r="F187" s="5">
        <f>ROUND(F186,O187)</f>
        <v>50.59</v>
      </c>
      <c r="G187" s="5" t="s">
        <v>139</v>
      </c>
      <c r="H187" s="5" t="s">
        <v>140</v>
      </c>
      <c r="I187" s="5"/>
      <c r="J187" s="5"/>
      <c r="K187" s="5">
        <v>212</v>
      </c>
      <c r="L187" s="5">
        <v>28</v>
      </c>
      <c r="M187" s="5">
        <v>0</v>
      </c>
      <c r="N187" s="5" t="s">
        <v>3</v>
      </c>
      <c r="O187" s="5">
        <v>2</v>
      </c>
      <c r="P187" s="5">
        <f>ROUND(P186,O187)</f>
        <v>550.65</v>
      </c>
      <c r="Q187" s="5"/>
      <c r="R187" s="5"/>
      <c r="S187" s="5"/>
      <c r="T187" s="5"/>
      <c r="U187" s="5"/>
      <c r="V187" s="5"/>
      <c r="W187" s="5"/>
    </row>
    <row r="189" spans="1:206" ht="12.75">
      <c r="A189" s="3">
        <v>51</v>
      </c>
      <c r="B189" s="3">
        <f>B20</f>
        <v>1</v>
      </c>
      <c r="C189" s="3">
        <f>A20</f>
        <v>3</v>
      </c>
      <c r="D189" s="3">
        <f>ROW(A20)</f>
        <v>20</v>
      </c>
      <c r="E189" s="3"/>
      <c r="F189" s="3">
        <f>IF(F20&lt;&gt;"",F20,"")</f>
      </c>
      <c r="G189" s="3" t="str">
        <f>IF(G20&lt;&gt;"",G20,"")</f>
        <v>Реализация выполнения работ по обеспечению пожарной безопастности объекта ИПУ РАН</v>
      </c>
      <c r="H189" s="3">
        <v>0</v>
      </c>
      <c r="I189" s="3"/>
      <c r="J189" s="3"/>
      <c r="K189" s="3"/>
      <c r="L189" s="3"/>
      <c r="M189" s="3"/>
      <c r="N189" s="3"/>
      <c r="O189" s="3">
        <f aca="true" t="shared" si="132" ref="O189:T189">ROUND(O51+O119+O158+AB189,2)</f>
        <v>2086897.6</v>
      </c>
      <c r="P189" s="3">
        <f t="shared" si="132"/>
        <v>2083357.68</v>
      </c>
      <c r="Q189" s="3">
        <f t="shared" si="132"/>
        <v>584.07</v>
      </c>
      <c r="R189" s="3">
        <f t="shared" si="132"/>
        <v>35.55</v>
      </c>
      <c r="S189" s="3">
        <f t="shared" si="132"/>
        <v>2955.85</v>
      </c>
      <c r="T189" s="3">
        <f t="shared" si="132"/>
        <v>0</v>
      </c>
      <c r="U189" s="3">
        <f>U51+U119+U158+AH189</f>
        <v>298.55661999999995</v>
      </c>
      <c r="V189" s="3">
        <f>V51+V119+V158+AI189</f>
        <v>2.7016999999999998</v>
      </c>
      <c r="W189" s="3">
        <f>ROUND(W51+W119+W158+AJ189,2)</f>
        <v>0</v>
      </c>
      <c r="X189" s="3">
        <f>ROUND(X51+X119+X158+AK189,2)</f>
        <v>2481.3</v>
      </c>
      <c r="Y189" s="3">
        <f>ROUND(Y51+Y119+Y158+AL189,2)</f>
        <v>2134.64</v>
      </c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>
        <f aca="true" t="shared" si="133" ref="AO189:BD189">ROUND(AO51+AO119+AO158+BX189,2)</f>
        <v>0</v>
      </c>
      <c r="AP189" s="3">
        <f t="shared" si="133"/>
        <v>0</v>
      </c>
      <c r="AQ189" s="3">
        <f t="shared" si="133"/>
        <v>0</v>
      </c>
      <c r="AR189" s="3">
        <f t="shared" si="133"/>
        <v>2091564.13</v>
      </c>
      <c r="AS189" s="3">
        <f t="shared" si="133"/>
        <v>2091564.13</v>
      </c>
      <c r="AT189" s="3">
        <f t="shared" si="133"/>
        <v>0</v>
      </c>
      <c r="AU189" s="3">
        <f t="shared" si="133"/>
        <v>0</v>
      </c>
      <c r="AV189" s="3">
        <f t="shared" si="133"/>
        <v>2083357.68</v>
      </c>
      <c r="AW189" s="3">
        <f t="shared" si="133"/>
        <v>2083357.68</v>
      </c>
      <c r="AX189" s="3">
        <f t="shared" si="133"/>
        <v>0</v>
      </c>
      <c r="AY189" s="3">
        <f t="shared" si="133"/>
        <v>2083357.68</v>
      </c>
      <c r="AZ189" s="3">
        <f t="shared" si="133"/>
        <v>0</v>
      </c>
      <c r="BA189" s="3">
        <f t="shared" si="133"/>
        <v>0</v>
      </c>
      <c r="BB189" s="3">
        <f t="shared" si="133"/>
        <v>0</v>
      </c>
      <c r="BC189" s="3">
        <f t="shared" si="133"/>
        <v>0</v>
      </c>
      <c r="BD189" s="3">
        <f t="shared" si="133"/>
        <v>50.59</v>
      </c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4">
        <f aca="true" t="shared" si="134" ref="DG189:DL189">ROUND(DG51+DG119+DG158+DT189,2)</f>
        <v>2190182.51</v>
      </c>
      <c r="DH189" s="4">
        <f t="shared" si="134"/>
        <v>2085482.36</v>
      </c>
      <c r="DI189" s="4">
        <f t="shared" si="134"/>
        <v>4171.6</v>
      </c>
      <c r="DJ189" s="4">
        <f t="shared" si="134"/>
        <v>1209.12</v>
      </c>
      <c r="DK189" s="4">
        <f t="shared" si="134"/>
        <v>100528.55</v>
      </c>
      <c r="DL189" s="4">
        <f t="shared" si="134"/>
        <v>0</v>
      </c>
      <c r="DM189" s="4">
        <f>DM51+DM119+DM158+DZ189</f>
        <v>298.55661999999995</v>
      </c>
      <c r="DN189" s="4">
        <f>DN51+DN119+DN158+EA189</f>
        <v>2.7016999999999998</v>
      </c>
      <c r="DO189" s="4">
        <f>ROUND(DO51+DO119+DO158+EB189,2)</f>
        <v>0</v>
      </c>
      <c r="DP189" s="4">
        <f>ROUND(DP51+DP119+DP158+EC189,2)</f>
        <v>84389</v>
      </c>
      <c r="DQ189" s="4">
        <f>ROUND(DQ51+DQ119+DQ158+ED189,2)</f>
        <v>72598.91</v>
      </c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>
        <f aca="true" t="shared" si="135" ref="EG189:EV189">ROUND(EG51+EG119+EG158+FP189,2)</f>
        <v>0</v>
      </c>
      <c r="EH189" s="4">
        <f t="shared" si="135"/>
        <v>0</v>
      </c>
      <c r="EI189" s="4">
        <f t="shared" si="135"/>
        <v>0</v>
      </c>
      <c r="EJ189" s="4">
        <f t="shared" si="135"/>
        <v>2347721.07</v>
      </c>
      <c r="EK189" s="4">
        <f t="shared" si="135"/>
        <v>2347721.07</v>
      </c>
      <c r="EL189" s="4">
        <f t="shared" si="135"/>
        <v>0</v>
      </c>
      <c r="EM189" s="4">
        <f t="shared" si="135"/>
        <v>0</v>
      </c>
      <c r="EN189" s="4">
        <f t="shared" si="135"/>
        <v>2085482.36</v>
      </c>
      <c r="EO189" s="4">
        <f t="shared" si="135"/>
        <v>2085482.36</v>
      </c>
      <c r="EP189" s="4">
        <f t="shared" si="135"/>
        <v>0</v>
      </c>
      <c r="EQ189" s="4">
        <f t="shared" si="135"/>
        <v>2085482.36</v>
      </c>
      <c r="ER189" s="4">
        <f t="shared" si="135"/>
        <v>0</v>
      </c>
      <c r="ES189" s="4">
        <f t="shared" si="135"/>
        <v>0</v>
      </c>
      <c r="ET189" s="4">
        <f t="shared" si="135"/>
        <v>0</v>
      </c>
      <c r="EU189" s="4">
        <f t="shared" si="135"/>
        <v>0</v>
      </c>
      <c r="EV189" s="4">
        <f t="shared" si="135"/>
        <v>550.65</v>
      </c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>
        <v>0</v>
      </c>
    </row>
    <row r="191" spans="1:23" ht="12.75">
      <c r="A191" s="5">
        <v>50</v>
      </c>
      <c r="B191" s="5">
        <v>0</v>
      </c>
      <c r="C191" s="5">
        <v>0</v>
      </c>
      <c r="D191" s="5">
        <v>1</v>
      </c>
      <c r="E191" s="5">
        <v>201</v>
      </c>
      <c r="F191" s="5">
        <f>ROUND(Source!O189,O191)</f>
        <v>2086897.6</v>
      </c>
      <c r="G191" s="5" t="s">
        <v>85</v>
      </c>
      <c r="H191" s="5" t="s">
        <v>86</v>
      </c>
      <c r="I191" s="5"/>
      <c r="J191" s="5"/>
      <c r="K191" s="5">
        <v>201</v>
      </c>
      <c r="L191" s="5">
        <v>1</v>
      </c>
      <c r="M191" s="5">
        <v>3</v>
      </c>
      <c r="N191" s="5" t="s">
        <v>3</v>
      </c>
      <c r="O191" s="5">
        <v>2</v>
      </c>
      <c r="P191" s="5">
        <f>ROUND(Source!DG189,O191)</f>
        <v>2190182.51</v>
      </c>
      <c r="Q191" s="5"/>
      <c r="R191" s="5"/>
      <c r="S191" s="5"/>
      <c r="T191" s="5"/>
      <c r="U191" s="5"/>
      <c r="V191" s="5"/>
      <c r="W191" s="5"/>
    </row>
    <row r="192" spans="1:23" ht="12.75">
      <c r="A192" s="5">
        <v>50</v>
      </c>
      <c r="B192" s="5">
        <v>0</v>
      </c>
      <c r="C192" s="5">
        <v>0</v>
      </c>
      <c r="D192" s="5">
        <v>1</v>
      </c>
      <c r="E192" s="5">
        <v>202</v>
      </c>
      <c r="F192" s="5">
        <f>ROUND(Source!P189,O192)</f>
        <v>2083357.68</v>
      </c>
      <c r="G192" s="5" t="s">
        <v>87</v>
      </c>
      <c r="H192" s="5" t="s">
        <v>88</v>
      </c>
      <c r="I192" s="5"/>
      <c r="J192" s="5"/>
      <c r="K192" s="5">
        <v>202</v>
      </c>
      <c r="L192" s="5">
        <v>2</v>
      </c>
      <c r="M192" s="5">
        <v>3</v>
      </c>
      <c r="N192" s="5" t="s">
        <v>3</v>
      </c>
      <c r="O192" s="5">
        <v>2</v>
      </c>
      <c r="P192" s="5">
        <f>ROUND(Source!DH189,O192)</f>
        <v>2085482.36</v>
      </c>
      <c r="Q192" s="5"/>
      <c r="R192" s="5"/>
      <c r="S192" s="5"/>
      <c r="T192" s="5"/>
      <c r="U192" s="5"/>
      <c r="V192" s="5"/>
      <c r="W192" s="5"/>
    </row>
    <row r="193" spans="1:23" ht="12.75">
      <c r="A193" s="5">
        <v>50</v>
      </c>
      <c r="B193" s="5">
        <v>0</v>
      </c>
      <c r="C193" s="5">
        <v>0</v>
      </c>
      <c r="D193" s="5">
        <v>1</v>
      </c>
      <c r="E193" s="5">
        <v>222</v>
      </c>
      <c r="F193" s="5">
        <f>ROUND(Source!AO189,O193)</f>
        <v>0</v>
      </c>
      <c r="G193" s="5" t="s">
        <v>89</v>
      </c>
      <c r="H193" s="5" t="s">
        <v>90</v>
      </c>
      <c r="I193" s="5"/>
      <c r="J193" s="5"/>
      <c r="K193" s="5">
        <v>222</v>
      </c>
      <c r="L193" s="5">
        <v>3</v>
      </c>
      <c r="M193" s="5">
        <v>3</v>
      </c>
      <c r="N193" s="5" t="s">
        <v>3</v>
      </c>
      <c r="O193" s="5">
        <v>2</v>
      </c>
      <c r="P193" s="5">
        <f>ROUND(Source!EG189,O193)</f>
        <v>0</v>
      </c>
      <c r="Q193" s="5"/>
      <c r="R193" s="5"/>
      <c r="S193" s="5"/>
      <c r="T193" s="5"/>
      <c r="U193" s="5"/>
      <c r="V193" s="5"/>
      <c r="W193" s="5"/>
    </row>
    <row r="194" spans="1:23" ht="12.75">
      <c r="A194" s="5">
        <v>50</v>
      </c>
      <c r="B194" s="5">
        <v>0</v>
      </c>
      <c r="C194" s="5">
        <v>0</v>
      </c>
      <c r="D194" s="5">
        <v>1</v>
      </c>
      <c r="E194" s="5">
        <v>225</v>
      </c>
      <c r="F194" s="5">
        <f>ROUND(Source!AV189,O194)</f>
        <v>2083357.68</v>
      </c>
      <c r="G194" s="5" t="s">
        <v>91</v>
      </c>
      <c r="H194" s="5" t="s">
        <v>92</v>
      </c>
      <c r="I194" s="5"/>
      <c r="J194" s="5"/>
      <c r="K194" s="5">
        <v>225</v>
      </c>
      <c r="L194" s="5">
        <v>4</v>
      </c>
      <c r="M194" s="5">
        <v>3</v>
      </c>
      <c r="N194" s="5" t="s">
        <v>3</v>
      </c>
      <c r="O194" s="5">
        <v>2</v>
      </c>
      <c r="P194" s="5">
        <f>ROUND(Source!EN189,O194)</f>
        <v>2085482.36</v>
      </c>
      <c r="Q194" s="5"/>
      <c r="R194" s="5"/>
      <c r="S194" s="5"/>
      <c r="T194" s="5"/>
      <c r="U194" s="5"/>
      <c r="V194" s="5"/>
      <c r="W194" s="5"/>
    </row>
    <row r="195" spans="1:23" ht="12.75">
      <c r="A195" s="5">
        <v>50</v>
      </c>
      <c r="B195" s="5">
        <v>0</v>
      </c>
      <c r="C195" s="5">
        <v>0</v>
      </c>
      <c r="D195" s="5">
        <v>1</v>
      </c>
      <c r="E195" s="5">
        <v>226</v>
      </c>
      <c r="F195" s="5">
        <f>ROUND(Source!AW189,O195)</f>
        <v>2083357.68</v>
      </c>
      <c r="G195" s="5" t="s">
        <v>93</v>
      </c>
      <c r="H195" s="5" t="s">
        <v>94</v>
      </c>
      <c r="I195" s="5"/>
      <c r="J195" s="5"/>
      <c r="K195" s="5">
        <v>226</v>
      </c>
      <c r="L195" s="5">
        <v>5</v>
      </c>
      <c r="M195" s="5">
        <v>3</v>
      </c>
      <c r="N195" s="5" t="s">
        <v>3</v>
      </c>
      <c r="O195" s="5">
        <v>2</v>
      </c>
      <c r="P195" s="5">
        <f>ROUND(Source!EO189,O195)</f>
        <v>2085482.36</v>
      </c>
      <c r="Q195" s="5"/>
      <c r="R195" s="5"/>
      <c r="S195" s="5"/>
      <c r="T195" s="5"/>
      <c r="U195" s="5"/>
      <c r="V195" s="5"/>
      <c r="W195" s="5"/>
    </row>
    <row r="196" spans="1:23" ht="12.75">
      <c r="A196" s="5">
        <v>50</v>
      </c>
      <c r="B196" s="5">
        <v>0</v>
      </c>
      <c r="C196" s="5">
        <v>0</v>
      </c>
      <c r="D196" s="5">
        <v>1</v>
      </c>
      <c r="E196" s="5">
        <v>227</v>
      </c>
      <c r="F196" s="5">
        <f>ROUND(Source!AX189,O196)</f>
        <v>0</v>
      </c>
      <c r="G196" s="5" t="s">
        <v>95</v>
      </c>
      <c r="H196" s="5" t="s">
        <v>96</v>
      </c>
      <c r="I196" s="5"/>
      <c r="J196" s="5"/>
      <c r="K196" s="5">
        <v>227</v>
      </c>
      <c r="L196" s="5">
        <v>6</v>
      </c>
      <c r="M196" s="5">
        <v>3</v>
      </c>
      <c r="N196" s="5" t="s">
        <v>3</v>
      </c>
      <c r="O196" s="5">
        <v>2</v>
      </c>
      <c r="P196" s="5">
        <f>ROUND(Source!EP189,O196)</f>
        <v>0</v>
      </c>
      <c r="Q196" s="5"/>
      <c r="R196" s="5"/>
      <c r="S196" s="5"/>
      <c r="T196" s="5"/>
      <c r="U196" s="5"/>
      <c r="V196" s="5"/>
      <c r="W196" s="5"/>
    </row>
    <row r="197" spans="1:23" ht="12.75">
      <c r="A197" s="5">
        <v>50</v>
      </c>
      <c r="B197" s="5">
        <v>0</v>
      </c>
      <c r="C197" s="5">
        <v>0</v>
      </c>
      <c r="D197" s="5">
        <v>1</v>
      </c>
      <c r="E197" s="5">
        <v>228</v>
      </c>
      <c r="F197" s="5">
        <f>ROUND(Source!AY189,O197)</f>
        <v>2083357.68</v>
      </c>
      <c r="G197" s="5" t="s">
        <v>97</v>
      </c>
      <c r="H197" s="5" t="s">
        <v>98</v>
      </c>
      <c r="I197" s="5"/>
      <c r="J197" s="5"/>
      <c r="K197" s="5">
        <v>228</v>
      </c>
      <c r="L197" s="5">
        <v>7</v>
      </c>
      <c r="M197" s="5">
        <v>3</v>
      </c>
      <c r="N197" s="5" t="s">
        <v>3</v>
      </c>
      <c r="O197" s="5">
        <v>2</v>
      </c>
      <c r="P197" s="5">
        <f>ROUND(Source!EQ189,O197)</f>
        <v>2085482.36</v>
      </c>
      <c r="Q197" s="5"/>
      <c r="R197" s="5"/>
      <c r="S197" s="5"/>
      <c r="T197" s="5"/>
      <c r="U197" s="5"/>
      <c r="V197" s="5"/>
      <c r="W197" s="5"/>
    </row>
    <row r="198" spans="1:23" ht="12.75">
      <c r="A198" s="5">
        <v>50</v>
      </c>
      <c r="B198" s="5">
        <v>0</v>
      </c>
      <c r="C198" s="5">
        <v>0</v>
      </c>
      <c r="D198" s="5">
        <v>1</v>
      </c>
      <c r="E198" s="5">
        <v>216</v>
      </c>
      <c r="F198" s="5">
        <f>ROUND(Source!AP189,O198)</f>
        <v>0</v>
      </c>
      <c r="G198" s="5" t="s">
        <v>99</v>
      </c>
      <c r="H198" s="5" t="s">
        <v>100</v>
      </c>
      <c r="I198" s="5"/>
      <c r="J198" s="5"/>
      <c r="K198" s="5">
        <v>216</v>
      </c>
      <c r="L198" s="5">
        <v>8</v>
      </c>
      <c r="M198" s="5">
        <v>3</v>
      </c>
      <c r="N198" s="5" t="s">
        <v>3</v>
      </c>
      <c r="O198" s="5">
        <v>2</v>
      </c>
      <c r="P198" s="5">
        <f>ROUND(Source!EH189,O198)</f>
        <v>0</v>
      </c>
      <c r="Q198" s="5"/>
      <c r="R198" s="5"/>
      <c r="S198" s="5"/>
      <c r="T198" s="5"/>
      <c r="U198" s="5"/>
      <c r="V198" s="5"/>
      <c r="W198" s="5"/>
    </row>
    <row r="199" spans="1:23" ht="12.75">
      <c r="A199" s="5">
        <v>50</v>
      </c>
      <c r="B199" s="5">
        <v>0</v>
      </c>
      <c r="C199" s="5">
        <v>0</v>
      </c>
      <c r="D199" s="5">
        <v>1</v>
      </c>
      <c r="E199" s="5">
        <v>223</v>
      </c>
      <c r="F199" s="5">
        <f>ROUND(Source!AQ189,O199)</f>
        <v>0</v>
      </c>
      <c r="G199" s="5" t="s">
        <v>101</v>
      </c>
      <c r="H199" s="5" t="s">
        <v>102</v>
      </c>
      <c r="I199" s="5"/>
      <c r="J199" s="5"/>
      <c r="K199" s="5">
        <v>223</v>
      </c>
      <c r="L199" s="5">
        <v>9</v>
      </c>
      <c r="M199" s="5">
        <v>3</v>
      </c>
      <c r="N199" s="5" t="s">
        <v>3</v>
      </c>
      <c r="O199" s="5">
        <v>2</v>
      </c>
      <c r="P199" s="5">
        <f>ROUND(Source!EI189,O199)</f>
        <v>0</v>
      </c>
      <c r="Q199" s="5"/>
      <c r="R199" s="5"/>
      <c r="S199" s="5"/>
      <c r="T199" s="5"/>
      <c r="U199" s="5"/>
      <c r="V199" s="5"/>
      <c r="W199" s="5"/>
    </row>
    <row r="200" spans="1:23" ht="12.75">
      <c r="A200" s="5">
        <v>50</v>
      </c>
      <c r="B200" s="5">
        <v>0</v>
      </c>
      <c r="C200" s="5">
        <v>0</v>
      </c>
      <c r="D200" s="5">
        <v>1</v>
      </c>
      <c r="E200" s="5">
        <v>229</v>
      </c>
      <c r="F200" s="5">
        <f>ROUND(Source!AZ189,O200)</f>
        <v>0</v>
      </c>
      <c r="G200" s="5" t="s">
        <v>103</v>
      </c>
      <c r="H200" s="5" t="s">
        <v>104</v>
      </c>
      <c r="I200" s="5"/>
      <c r="J200" s="5"/>
      <c r="K200" s="5">
        <v>229</v>
      </c>
      <c r="L200" s="5">
        <v>10</v>
      </c>
      <c r="M200" s="5">
        <v>3</v>
      </c>
      <c r="N200" s="5" t="s">
        <v>3</v>
      </c>
      <c r="O200" s="5">
        <v>2</v>
      </c>
      <c r="P200" s="5">
        <f>ROUND(Source!ER189,O200)</f>
        <v>0</v>
      </c>
      <c r="Q200" s="5"/>
      <c r="R200" s="5"/>
      <c r="S200" s="5"/>
      <c r="T200" s="5"/>
      <c r="U200" s="5"/>
      <c r="V200" s="5"/>
      <c r="W200" s="5"/>
    </row>
    <row r="201" spans="1:23" ht="12.75">
      <c r="A201" s="5">
        <v>50</v>
      </c>
      <c r="B201" s="5">
        <v>0</v>
      </c>
      <c r="C201" s="5">
        <v>0</v>
      </c>
      <c r="D201" s="5">
        <v>1</v>
      </c>
      <c r="E201" s="5">
        <v>203</v>
      </c>
      <c r="F201" s="5">
        <f>ROUND(Source!Q189,O201)</f>
        <v>584.07</v>
      </c>
      <c r="G201" s="5" t="s">
        <v>105</v>
      </c>
      <c r="H201" s="5" t="s">
        <v>106</v>
      </c>
      <c r="I201" s="5"/>
      <c r="J201" s="5"/>
      <c r="K201" s="5">
        <v>203</v>
      </c>
      <c r="L201" s="5">
        <v>11</v>
      </c>
      <c r="M201" s="5">
        <v>3</v>
      </c>
      <c r="N201" s="5" t="s">
        <v>3</v>
      </c>
      <c r="O201" s="5">
        <v>2</v>
      </c>
      <c r="P201" s="5">
        <f>ROUND(Source!DI189,O201)</f>
        <v>4171.6</v>
      </c>
      <c r="Q201" s="5"/>
      <c r="R201" s="5"/>
      <c r="S201" s="5"/>
      <c r="T201" s="5"/>
      <c r="U201" s="5"/>
      <c r="V201" s="5"/>
      <c r="W201" s="5"/>
    </row>
    <row r="202" spans="1:23" ht="12.75">
      <c r="A202" s="5">
        <v>50</v>
      </c>
      <c r="B202" s="5">
        <v>0</v>
      </c>
      <c r="C202" s="5">
        <v>0</v>
      </c>
      <c r="D202" s="5">
        <v>1</v>
      </c>
      <c r="E202" s="5">
        <v>231</v>
      </c>
      <c r="F202" s="5">
        <f>ROUND(Source!BB189,O202)</f>
        <v>0</v>
      </c>
      <c r="G202" s="5" t="s">
        <v>107</v>
      </c>
      <c r="H202" s="5" t="s">
        <v>108</v>
      </c>
      <c r="I202" s="5"/>
      <c r="J202" s="5"/>
      <c r="K202" s="5">
        <v>231</v>
      </c>
      <c r="L202" s="5">
        <v>12</v>
      </c>
      <c r="M202" s="5">
        <v>3</v>
      </c>
      <c r="N202" s="5" t="s">
        <v>3</v>
      </c>
      <c r="O202" s="5">
        <v>2</v>
      </c>
      <c r="P202" s="5">
        <f>ROUND(Source!ET189,O202)</f>
        <v>0</v>
      </c>
      <c r="Q202" s="5"/>
      <c r="R202" s="5"/>
      <c r="S202" s="5"/>
      <c r="T202" s="5"/>
      <c r="U202" s="5"/>
      <c r="V202" s="5"/>
      <c r="W202" s="5"/>
    </row>
    <row r="203" spans="1:23" ht="12.75">
      <c r="A203" s="5">
        <v>50</v>
      </c>
      <c r="B203" s="5">
        <v>0</v>
      </c>
      <c r="C203" s="5">
        <v>0</v>
      </c>
      <c r="D203" s="5">
        <v>1</v>
      </c>
      <c r="E203" s="5">
        <v>204</v>
      </c>
      <c r="F203" s="5">
        <f>ROUND(Source!R189,O203)</f>
        <v>35.55</v>
      </c>
      <c r="G203" s="5" t="s">
        <v>109</v>
      </c>
      <c r="H203" s="5" t="s">
        <v>110</v>
      </c>
      <c r="I203" s="5"/>
      <c r="J203" s="5"/>
      <c r="K203" s="5">
        <v>204</v>
      </c>
      <c r="L203" s="5">
        <v>13</v>
      </c>
      <c r="M203" s="5">
        <v>3</v>
      </c>
      <c r="N203" s="5" t="s">
        <v>3</v>
      </c>
      <c r="O203" s="5">
        <v>2</v>
      </c>
      <c r="P203" s="5">
        <f>ROUND(Source!DJ189,O203)</f>
        <v>1209.12</v>
      </c>
      <c r="Q203" s="5"/>
      <c r="R203" s="5"/>
      <c r="S203" s="5"/>
      <c r="T203" s="5"/>
      <c r="U203" s="5"/>
      <c r="V203" s="5"/>
      <c r="W203" s="5"/>
    </row>
    <row r="204" spans="1:23" ht="12.75">
      <c r="A204" s="5">
        <v>50</v>
      </c>
      <c r="B204" s="5">
        <v>0</v>
      </c>
      <c r="C204" s="5">
        <v>0</v>
      </c>
      <c r="D204" s="5">
        <v>1</v>
      </c>
      <c r="E204" s="5">
        <v>205</v>
      </c>
      <c r="F204" s="5">
        <f>ROUND(Source!S189,O204)</f>
        <v>2955.85</v>
      </c>
      <c r="G204" s="5" t="s">
        <v>111</v>
      </c>
      <c r="H204" s="5" t="s">
        <v>112</v>
      </c>
      <c r="I204" s="5"/>
      <c r="J204" s="5"/>
      <c r="K204" s="5">
        <v>205</v>
      </c>
      <c r="L204" s="5">
        <v>14</v>
      </c>
      <c r="M204" s="5">
        <v>3</v>
      </c>
      <c r="N204" s="5" t="s">
        <v>3</v>
      </c>
      <c r="O204" s="5">
        <v>2</v>
      </c>
      <c r="P204" s="5">
        <f>ROUND(Source!DK189,O204)</f>
        <v>100528.55</v>
      </c>
      <c r="Q204" s="5"/>
      <c r="R204" s="5"/>
      <c r="S204" s="5"/>
      <c r="T204" s="5"/>
      <c r="U204" s="5"/>
      <c r="V204" s="5"/>
      <c r="W204" s="5"/>
    </row>
    <row r="205" spans="1:23" ht="12.75">
      <c r="A205" s="5">
        <v>50</v>
      </c>
      <c r="B205" s="5">
        <v>0</v>
      </c>
      <c r="C205" s="5">
        <v>0</v>
      </c>
      <c r="D205" s="5">
        <v>1</v>
      </c>
      <c r="E205" s="5">
        <v>232</v>
      </c>
      <c r="F205" s="5">
        <f>ROUND(Source!BC189,O205)</f>
        <v>0</v>
      </c>
      <c r="G205" s="5" t="s">
        <v>113</v>
      </c>
      <c r="H205" s="5" t="s">
        <v>114</v>
      </c>
      <c r="I205" s="5"/>
      <c r="J205" s="5"/>
      <c r="K205" s="5">
        <v>232</v>
      </c>
      <c r="L205" s="5">
        <v>15</v>
      </c>
      <c r="M205" s="5">
        <v>3</v>
      </c>
      <c r="N205" s="5" t="s">
        <v>3</v>
      </c>
      <c r="O205" s="5">
        <v>2</v>
      </c>
      <c r="P205" s="5">
        <f>ROUND(Source!EU189,O205)</f>
        <v>0</v>
      </c>
      <c r="Q205" s="5"/>
      <c r="R205" s="5"/>
      <c r="S205" s="5"/>
      <c r="T205" s="5"/>
      <c r="U205" s="5"/>
      <c r="V205" s="5"/>
      <c r="W205" s="5"/>
    </row>
    <row r="206" spans="1:23" ht="12.75">
      <c r="A206" s="5">
        <v>50</v>
      </c>
      <c r="B206" s="5">
        <v>0</v>
      </c>
      <c r="C206" s="5">
        <v>0</v>
      </c>
      <c r="D206" s="5">
        <v>1</v>
      </c>
      <c r="E206" s="5">
        <v>214</v>
      </c>
      <c r="F206" s="5">
        <f>ROUND(Source!AS189,O206)</f>
        <v>2091564.13</v>
      </c>
      <c r="G206" s="5" t="s">
        <v>115</v>
      </c>
      <c r="H206" s="5" t="s">
        <v>116</v>
      </c>
      <c r="I206" s="5"/>
      <c r="J206" s="5"/>
      <c r="K206" s="5">
        <v>214</v>
      </c>
      <c r="L206" s="5">
        <v>16</v>
      </c>
      <c r="M206" s="5">
        <v>3</v>
      </c>
      <c r="N206" s="5" t="s">
        <v>3</v>
      </c>
      <c r="O206" s="5">
        <v>2</v>
      </c>
      <c r="P206" s="5">
        <f>ROUND(Source!EK189,O206)</f>
        <v>2347721.07</v>
      </c>
      <c r="Q206" s="5"/>
      <c r="R206" s="5"/>
      <c r="S206" s="5"/>
      <c r="T206" s="5"/>
      <c r="U206" s="5"/>
      <c r="V206" s="5"/>
      <c r="W206" s="5"/>
    </row>
    <row r="207" spans="1:23" ht="12.75">
      <c r="A207" s="5">
        <v>50</v>
      </c>
      <c r="B207" s="5">
        <v>0</v>
      </c>
      <c r="C207" s="5">
        <v>0</v>
      </c>
      <c r="D207" s="5">
        <v>1</v>
      </c>
      <c r="E207" s="5">
        <v>215</v>
      </c>
      <c r="F207" s="5">
        <f>ROUND(Source!AT189,O207)</f>
        <v>0</v>
      </c>
      <c r="G207" s="5" t="s">
        <v>117</v>
      </c>
      <c r="H207" s="5" t="s">
        <v>118</v>
      </c>
      <c r="I207" s="5"/>
      <c r="J207" s="5"/>
      <c r="K207" s="5">
        <v>215</v>
      </c>
      <c r="L207" s="5">
        <v>17</v>
      </c>
      <c r="M207" s="5">
        <v>3</v>
      </c>
      <c r="N207" s="5" t="s">
        <v>3</v>
      </c>
      <c r="O207" s="5">
        <v>2</v>
      </c>
      <c r="P207" s="5">
        <f>ROUND(Source!EL189,O207)</f>
        <v>0</v>
      </c>
      <c r="Q207" s="5"/>
      <c r="R207" s="5"/>
      <c r="S207" s="5"/>
      <c r="T207" s="5"/>
      <c r="U207" s="5"/>
      <c r="V207" s="5"/>
      <c r="W207" s="5"/>
    </row>
    <row r="208" spans="1:23" ht="12.75">
      <c r="A208" s="5">
        <v>50</v>
      </c>
      <c r="B208" s="5">
        <v>0</v>
      </c>
      <c r="C208" s="5">
        <v>0</v>
      </c>
      <c r="D208" s="5">
        <v>1</v>
      </c>
      <c r="E208" s="5">
        <v>217</v>
      </c>
      <c r="F208" s="5">
        <f>ROUND(Source!AU189,O208)</f>
        <v>0</v>
      </c>
      <c r="G208" s="5" t="s">
        <v>119</v>
      </c>
      <c r="H208" s="5" t="s">
        <v>120</v>
      </c>
      <c r="I208" s="5"/>
      <c r="J208" s="5"/>
      <c r="K208" s="5">
        <v>217</v>
      </c>
      <c r="L208" s="5">
        <v>18</v>
      </c>
      <c r="M208" s="5">
        <v>3</v>
      </c>
      <c r="N208" s="5" t="s">
        <v>3</v>
      </c>
      <c r="O208" s="5">
        <v>2</v>
      </c>
      <c r="P208" s="5">
        <f>ROUND(Source!EM189,O208)</f>
        <v>0</v>
      </c>
      <c r="Q208" s="5"/>
      <c r="R208" s="5"/>
      <c r="S208" s="5"/>
      <c r="T208" s="5"/>
      <c r="U208" s="5"/>
      <c r="V208" s="5"/>
      <c r="W208" s="5"/>
    </row>
    <row r="209" spans="1:23" ht="12.75">
      <c r="A209" s="5">
        <v>50</v>
      </c>
      <c r="B209" s="5">
        <v>0</v>
      </c>
      <c r="C209" s="5">
        <v>0</v>
      </c>
      <c r="D209" s="5">
        <v>1</v>
      </c>
      <c r="E209" s="5">
        <v>230</v>
      </c>
      <c r="F209" s="5">
        <f>ROUND(Source!BA189,O209)</f>
        <v>0</v>
      </c>
      <c r="G209" s="5" t="s">
        <v>121</v>
      </c>
      <c r="H209" s="5" t="s">
        <v>122</v>
      </c>
      <c r="I209" s="5"/>
      <c r="J209" s="5"/>
      <c r="K209" s="5">
        <v>230</v>
      </c>
      <c r="L209" s="5">
        <v>19</v>
      </c>
      <c r="M209" s="5">
        <v>3</v>
      </c>
      <c r="N209" s="5" t="s">
        <v>3</v>
      </c>
      <c r="O209" s="5">
        <v>2</v>
      </c>
      <c r="P209" s="5">
        <f>ROUND(Source!ES189,O209)</f>
        <v>0</v>
      </c>
      <c r="Q209" s="5"/>
      <c r="R209" s="5"/>
      <c r="S209" s="5"/>
      <c r="T209" s="5"/>
      <c r="U209" s="5"/>
      <c r="V209" s="5"/>
      <c r="W209" s="5"/>
    </row>
    <row r="210" spans="1:23" ht="12.75">
      <c r="A210" s="5">
        <v>50</v>
      </c>
      <c r="B210" s="5">
        <v>0</v>
      </c>
      <c r="C210" s="5">
        <v>0</v>
      </c>
      <c r="D210" s="5">
        <v>1</v>
      </c>
      <c r="E210" s="5">
        <v>206</v>
      </c>
      <c r="F210" s="5">
        <f>ROUND(Source!T189,O210)</f>
        <v>0</v>
      </c>
      <c r="G210" s="5" t="s">
        <v>123</v>
      </c>
      <c r="H210" s="5" t="s">
        <v>124</v>
      </c>
      <c r="I210" s="5"/>
      <c r="J210" s="5"/>
      <c r="K210" s="5">
        <v>206</v>
      </c>
      <c r="L210" s="5">
        <v>20</v>
      </c>
      <c r="M210" s="5">
        <v>3</v>
      </c>
      <c r="N210" s="5" t="s">
        <v>3</v>
      </c>
      <c r="O210" s="5">
        <v>2</v>
      </c>
      <c r="P210" s="5">
        <f>ROUND(Source!DL189,O210)</f>
        <v>0</v>
      </c>
      <c r="Q210" s="5"/>
      <c r="R210" s="5"/>
      <c r="S210" s="5"/>
      <c r="T210" s="5"/>
      <c r="U210" s="5"/>
      <c r="V210" s="5"/>
      <c r="W210" s="5"/>
    </row>
    <row r="211" spans="1:23" ht="12.75">
      <c r="A211" s="5">
        <v>50</v>
      </c>
      <c r="B211" s="5">
        <v>0</v>
      </c>
      <c r="C211" s="5">
        <v>0</v>
      </c>
      <c r="D211" s="5">
        <v>1</v>
      </c>
      <c r="E211" s="5">
        <v>207</v>
      </c>
      <c r="F211" s="5">
        <f>Source!U189</f>
        <v>298.55661999999995</v>
      </c>
      <c r="G211" s="5" t="s">
        <v>125</v>
      </c>
      <c r="H211" s="5" t="s">
        <v>126</v>
      </c>
      <c r="I211" s="5"/>
      <c r="J211" s="5"/>
      <c r="K211" s="5">
        <v>207</v>
      </c>
      <c r="L211" s="5">
        <v>21</v>
      </c>
      <c r="M211" s="5">
        <v>3</v>
      </c>
      <c r="N211" s="5" t="s">
        <v>3</v>
      </c>
      <c r="O211" s="5">
        <v>-1</v>
      </c>
      <c r="P211" s="5">
        <f>Source!DM189</f>
        <v>298.55661999999995</v>
      </c>
      <c r="Q211" s="5"/>
      <c r="R211" s="5"/>
      <c r="S211" s="5"/>
      <c r="T211" s="5"/>
      <c r="U211" s="5"/>
      <c r="V211" s="5"/>
      <c r="W211" s="5"/>
    </row>
    <row r="212" spans="1:23" ht="12.75">
      <c r="A212" s="5">
        <v>50</v>
      </c>
      <c r="B212" s="5">
        <v>0</v>
      </c>
      <c r="C212" s="5">
        <v>0</v>
      </c>
      <c r="D212" s="5">
        <v>1</v>
      </c>
      <c r="E212" s="5">
        <v>208</v>
      </c>
      <c r="F212" s="5">
        <f>Source!V189</f>
        <v>2.7016999999999998</v>
      </c>
      <c r="G212" s="5" t="s">
        <v>127</v>
      </c>
      <c r="H212" s="5" t="s">
        <v>128</v>
      </c>
      <c r="I212" s="5"/>
      <c r="J212" s="5"/>
      <c r="K212" s="5">
        <v>208</v>
      </c>
      <c r="L212" s="5">
        <v>22</v>
      </c>
      <c r="M212" s="5">
        <v>3</v>
      </c>
      <c r="N212" s="5" t="s">
        <v>3</v>
      </c>
      <c r="O212" s="5">
        <v>-1</v>
      </c>
      <c r="P212" s="5">
        <f>Source!DN189</f>
        <v>2.7016999999999998</v>
      </c>
      <c r="Q212" s="5"/>
      <c r="R212" s="5"/>
      <c r="S212" s="5"/>
      <c r="T212" s="5"/>
      <c r="U212" s="5"/>
      <c r="V212" s="5"/>
      <c r="W212" s="5"/>
    </row>
    <row r="213" spans="1:23" ht="12.75">
      <c r="A213" s="5">
        <v>50</v>
      </c>
      <c r="B213" s="5">
        <v>0</v>
      </c>
      <c r="C213" s="5">
        <v>0</v>
      </c>
      <c r="D213" s="5">
        <v>1</v>
      </c>
      <c r="E213" s="5">
        <v>209</v>
      </c>
      <c r="F213" s="5">
        <f>ROUND(Source!W189,O213)</f>
        <v>0</v>
      </c>
      <c r="G213" s="5" t="s">
        <v>129</v>
      </c>
      <c r="H213" s="5" t="s">
        <v>130</v>
      </c>
      <c r="I213" s="5"/>
      <c r="J213" s="5"/>
      <c r="K213" s="5">
        <v>209</v>
      </c>
      <c r="L213" s="5">
        <v>23</v>
      </c>
      <c r="M213" s="5">
        <v>3</v>
      </c>
      <c r="N213" s="5" t="s">
        <v>3</v>
      </c>
      <c r="O213" s="5">
        <v>2</v>
      </c>
      <c r="P213" s="5">
        <f>ROUND(Source!DO189,O213)</f>
        <v>0</v>
      </c>
      <c r="Q213" s="5"/>
      <c r="R213" s="5"/>
      <c r="S213" s="5"/>
      <c r="T213" s="5"/>
      <c r="U213" s="5"/>
      <c r="V213" s="5"/>
      <c r="W213" s="5"/>
    </row>
    <row r="214" spans="1:23" ht="12.75">
      <c r="A214" s="5">
        <v>50</v>
      </c>
      <c r="B214" s="5">
        <v>0</v>
      </c>
      <c r="C214" s="5">
        <v>0</v>
      </c>
      <c r="D214" s="5">
        <v>1</v>
      </c>
      <c r="E214" s="5">
        <v>233</v>
      </c>
      <c r="F214" s="5">
        <f>ROUND(Source!BD189,O214)</f>
        <v>50.59</v>
      </c>
      <c r="G214" s="5" t="s">
        <v>131</v>
      </c>
      <c r="H214" s="5" t="s">
        <v>132</v>
      </c>
      <c r="I214" s="5"/>
      <c r="J214" s="5"/>
      <c r="K214" s="5">
        <v>233</v>
      </c>
      <c r="L214" s="5">
        <v>24</v>
      </c>
      <c r="M214" s="5">
        <v>3</v>
      </c>
      <c r="N214" s="5" t="s">
        <v>3</v>
      </c>
      <c r="O214" s="5">
        <v>2</v>
      </c>
      <c r="P214" s="5">
        <f>ROUND(Source!EV189,O214)</f>
        <v>550.65</v>
      </c>
      <c r="Q214" s="5"/>
      <c r="R214" s="5"/>
      <c r="S214" s="5"/>
      <c r="T214" s="5"/>
      <c r="U214" s="5"/>
      <c r="V214" s="5"/>
      <c r="W214" s="5"/>
    </row>
    <row r="215" spans="1:23" ht="12.75">
      <c r="A215" s="5">
        <v>50</v>
      </c>
      <c r="B215" s="5">
        <v>0</v>
      </c>
      <c r="C215" s="5">
        <v>0</v>
      </c>
      <c r="D215" s="5">
        <v>1</v>
      </c>
      <c r="E215" s="5">
        <v>210</v>
      </c>
      <c r="F215" s="5">
        <f>ROUND(Source!X189,O215)</f>
        <v>2481.3</v>
      </c>
      <c r="G215" s="5" t="s">
        <v>133</v>
      </c>
      <c r="H215" s="5" t="s">
        <v>134</v>
      </c>
      <c r="I215" s="5"/>
      <c r="J215" s="5"/>
      <c r="K215" s="5">
        <v>210</v>
      </c>
      <c r="L215" s="5">
        <v>25</v>
      </c>
      <c r="M215" s="5">
        <v>3</v>
      </c>
      <c r="N215" s="5" t="s">
        <v>3</v>
      </c>
      <c r="O215" s="5">
        <v>2</v>
      </c>
      <c r="P215" s="5">
        <f>ROUND(Source!DP189,O215)</f>
        <v>84389</v>
      </c>
      <c r="Q215" s="5"/>
      <c r="R215" s="5"/>
      <c r="S215" s="5"/>
      <c r="T215" s="5"/>
      <c r="U215" s="5"/>
      <c r="V215" s="5"/>
      <c r="W215" s="5"/>
    </row>
    <row r="216" spans="1:23" ht="12.75">
      <c r="A216" s="5">
        <v>50</v>
      </c>
      <c r="B216" s="5">
        <v>0</v>
      </c>
      <c r="C216" s="5">
        <v>0</v>
      </c>
      <c r="D216" s="5">
        <v>1</v>
      </c>
      <c r="E216" s="5">
        <v>211</v>
      </c>
      <c r="F216" s="5">
        <f>ROUND(Source!Y189,O216)</f>
        <v>2134.64</v>
      </c>
      <c r="G216" s="5" t="s">
        <v>135</v>
      </c>
      <c r="H216" s="5" t="s">
        <v>136</v>
      </c>
      <c r="I216" s="5"/>
      <c r="J216" s="5"/>
      <c r="K216" s="5">
        <v>211</v>
      </c>
      <c r="L216" s="5">
        <v>26</v>
      </c>
      <c r="M216" s="5">
        <v>3</v>
      </c>
      <c r="N216" s="5" t="s">
        <v>3</v>
      </c>
      <c r="O216" s="5">
        <v>2</v>
      </c>
      <c r="P216" s="5">
        <f>ROUND(Source!DQ189,O216)</f>
        <v>72598.91</v>
      </c>
      <c r="Q216" s="5"/>
      <c r="R216" s="5"/>
      <c r="S216" s="5"/>
      <c r="T216" s="5"/>
      <c r="U216" s="5"/>
      <c r="V216" s="5"/>
      <c r="W216" s="5"/>
    </row>
    <row r="217" spans="1:23" ht="12.75">
      <c r="A217" s="5">
        <v>50</v>
      </c>
      <c r="B217" s="5">
        <v>0</v>
      </c>
      <c r="C217" s="5">
        <v>0</v>
      </c>
      <c r="D217" s="5">
        <v>1</v>
      </c>
      <c r="E217" s="5">
        <v>224</v>
      </c>
      <c r="F217" s="5">
        <f>ROUND(Source!AR189,O217)</f>
        <v>2091564.13</v>
      </c>
      <c r="G217" s="5" t="s">
        <v>137</v>
      </c>
      <c r="H217" s="5" t="s">
        <v>138</v>
      </c>
      <c r="I217" s="5"/>
      <c r="J217" s="5"/>
      <c r="K217" s="5">
        <v>224</v>
      </c>
      <c r="L217" s="5">
        <v>27</v>
      </c>
      <c r="M217" s="5">
        <v>3</v>
      </c>
      <c r="N217" s="5" t="s">
        <v>3</v>
      </c>
      <c r="O217" s="5">
        <v>2</v>
      </c>
      <c r="P217" s="5">
        <f>ROUND(Source!EJ189,O217)</f>
        <v>2347721.07</v>
      </c>
      <c r="Q217" s="5"/>
      <c r="R217" s="5"/>
      <c r="S217" s="5"/>
      <c r="T217" s="5"/>
      <c r="U217" s="5"/>
      <c r="V217" s="5"/>
      <c r="W217" s="5"/>
    </row>
    <row r="218" spans="1:23" ht="12.75">
      <c r="A218" s="5">
        <v>50</v>
      </c>
      <c r="B218" s="5">
        <v>0</v>
      </c>
      <c r="C218" s="5">
        <v>0</v>
      </c>
      <c r="D218" s="5">
        <v>2</v>
      </c>
      <c r="E218" s="5">
        <v>0</v>
      </c>
      <c r="F218" s="5">
        <f>ROUND(F217,O218)</f>
        <v>2091564.13</v>
      </c>
      <c r="G218" s="5" t="s">
        <v>139</v>
      </c>
      <c r="H218" s="5" t="s">
        <v>194</v>
      </c>
      <c r="I218" s="5"/>
      <c r="J218" s="5"/>
      <c r="K218" s="5">
        <v>212</v>
      </c>
      <c r="L218" s="5">
        <v>28</v>
      </c>
      <c r="M218" s="5">
        <v>3</v>
      </c>
      <c r="N218" s="5" t="s">
        <v>3</v>
      </c>
      <c r="O218" s="5">
        <v>2</v>
      </c>
      <c r="P218" s="5">
        <f>ROUND(P217,O218)</f>
        <v>2347721.07</v>
      </c>
      <c r="Q218" s="5"/>
      <c r="R218" s="5"/>
      <c r="S218" s="5"/>
      <c r="T218" s="5"/>
      <c r="U218" s="5"/>
      <c r="V218" s="5"/>
      <c r="W218" s="5"/>
    </row>
    <row r="219" spans="1:23" ht="12.75">
      <c r="A219" s="5">
        <v>50</v>
      </c>
      <c r="B219" s="5">
        <v>0</v>
      </c>
      <c r="C219" s="5">
        <v>0</v>
      </c>
      <c r="D219" s="5">
        <v>2</v>
      </c>
      <c r="E219" s="5">
        <v>0</v>
      </c>
      <c r="F219" s="5">
        <f>ROUND(F218*0.2,O219)</f>
        <v>418312.83</v>
      </c>
      <c r="G219" s="5" t="s">
        <v>195</v>
      </c>
      <c r="H219" s="5" t="s">
        <v>196</v>
      </c>
      <c r="I219" s="5"/>
      <c r="J219" s="5"/>
      <c r="K219" s="5">
        <v>212</v>
      </c>
      <c r="L219" s="5">
        <v>31</v>
      </c>
      <c r="M219" s="5">
        <v>3</v>
      </c>
      <c r="N219" s="5" t="s">
        <v>3</v>
      </c>
      <c r="O219" s="5">
        <v>2</v>
      </c>
      <c r="P219" s="5">
        <f>ROUND(P218*0.2,O219)</f>
        <v>469544.21</v>
      </c>
      <c r="Q219" s="5"/>
      <c r="R219" s="5"/>
      <c r="S219" s="5"/>
      <c r="T219" s="5"/>
      <c r="U219" s="5"/>
      <c r="V219" s="5"/>
      <c r="W219" s="5"/>
    </row>
    <row r="220" spans="1:23" ht="12.75">
      <c r="A220" s="5">
        <v>50</v>
      </c>
      <c r="B220" s="5">
        <v>0</v>
      </c>
      <c r="C220" s="5">
        <v>0</v>
      </c>
      <c r="D220" s="5">
        <v>2</v>
      </c>
      <c r="E220" s="5">
        <v>213</v>
      </c>
      <c r="F220" s="5">
        <f>ROUND(F218+F219,O220)</f>
        <v>2509876.96</v>
      </c>
      <c r="G220" s="5" t="s">
        <v>197</v>
      </c>
      <c r="H220" s="5" t="s">
        <v>198</v>
      </c>
      <c r="I220" s="5"/>
      <c r="J220" s="5"/>
      <c r="K220" s="5">
        <v>212</v>
      </c>
      <c r="L220" s="5">
        <v>32</v>
      </c>
      <c r="M220" s="5">
        <v>3</v>
      </c>
      <c r="N220" s="5" t="s">
        <v>3</v>
      </c>
      <c r="O220" s="5">
        <v>2</v>
      </c>
      <c r="P220" s="5">
        <f>ROUND(P218+P219,O220)</f>
        <v>2817265.28</v>
      </c>
      <c r="Q220" s="5"/>
      <c r="R220" s="5"/>
      <c r="S220" s="5"/>
      <c r="T220" s="5"/>
      <c r="U220" s="5"/>
      <c r="V220" s="5"/>
      <c r="W220" s="5"/>
    </row>
    <row r="222" spans="1:206" ht="12.75">
      <c r="A222" s="3">
        <v>51</v>
      </c>
      <c r="B222" s="3">
        <f>B12</f>
        <v>294</v>
      </c>
      <c r="C222" s="3">
        <f>A12</f>
        <v>1</v>
      </c>
      <c r="D222" s="3">
        <f>ROW(A12)</f>
        <v>12</v>
      </c>
      <c r="E222" s="3"/>
      <c r="F222" s="3">
        <f>IF(F12&lt;&gt;"",F12,"")</f>
      </c>
      <c r="G222" s="3" t="str">
        <f>IF(G12&lt;&gt;"",G12,"")</f>
        <v>Реализация выполнения работ по обеспечению пожарной безопасности объекта ИПУ РАН</v>
      </c>
      <c r="H222" s="3">
        <v>0</v>
      </c>
      <c r="I222" s="3"/>
      <c r="J222" s="3"/>
      <c r="K222" s="3"/>
      <c r="L222" s="3"/>
      <c r="M222" s="3"/>
      <c r="N222" s="3"/>
      <c r="O222" s="3">
        <f aca="true" t="shared" si="136" ref="O222:T222">ROUND(O189,2)</f>
        <v>2086897.6</v>
      </c>
      <c r="P222" s="3">
        <f t="shared" si="136"/>
        <v>2083357.68</v>
      </c>
      <c r="Q222" s="3">
        <f t="shared" si="136"/>
        <v>584.07</v>
      </c>
      <c r="R222" s="3">
        <f t="shared" si="136"/>
        <v>35.55</v>
      </c>
      <c r="S222" s="3">
        <f t="shared" si="136"/>
        <v>2955.85</v>
      </c>
      <c r="T222" s="3">
        <f t="shared" si="136"/>
        <v>0</v>
      </c>
      <c r="U222" s="3">
        <f>U189</f>
        <v>298.55661999999995</v>
      </c>
      <c r="V222" s="3">
        <f>V189</f>
        <v>2.7016999999999998</v>
      </c>
      <c r="W222" s="3">
        <f>ROUND(W189,2)</f>
        <v>0</v>
      </c>
      <c r="X222" s="3">
        <f>ROUND(X189,2)</f>
        <v>2481.3</v>
      </c>
      <c r="Y222" s="3">
        <f>ROUND(Y189,2)</f>
        <v>2134.64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>
        <f aca="true" t="shared" si="137" ref="AO222:BD222">ROUND(AO189,2)</f>
        <v>0</v>
      </c>
      <c r="AP222" s="3">
        <f t="shared" si="137"/>
        <v>0</v>
      </c>
      <c r="AQ222" s="3">
        <f t="shared" si="137"/>
        <v>0</v>
      </c>
      <c r="AR222" s="3">
        <f t="shared" si="137"/>
        <v>2091564.13</v>
      </c>
      <c r="AS222" s="3">
        <f t="shared" si="137"/>
        <v>2091564.13</v>
      </c>
      <c r="AT222" s="3">
        <f t="shared" si="137"/>
        <v>0</v>
      </c>
      <c r="AU222" s="3">
        <f t="shared" si="137"/>
        <v>0</v>
      </c>
      <c r="AV222" s="3">
        <f t="shared" si="137"/>
        <v>2083357.68</v>
      </c>
      <c r="AW222" s="3">
        <f t="shared" si="137"/>
        <v>2083357.68</v>
      </c>
      <c r="AX222" s="3">
        <f t="shared" si="137"/>
        <v>0</v>
      </c>
      <c r="AY222" s="3">
        <f t="shared" si="137"/>
        <v>2083357.68</v>
      </c>
      <c r="AZ222" s="3">
        <f t="shared" si="137"/>
        <v>0</v>
      </c>
      <c r="BA222" s="3">
        <f t="shared" si="137"/>
        <v>0</v>
      </c>
      <c r="BB222" s="3">
        <f t="shared" si="137"/>
        <v>0</v>
      </c>
      <c r="BC222" s="3">
        <f t="shared" si="137"/>
        <v>0</v>
      </c>
      <c r="BD222" s="3">
        <f t="shared" si="137"/>
        <v>50.59</v>
      </c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4">
        <f aca="true" t="shared" si="138" ref="DG222:DL222">ROUND(DG189,2)</f>
        <v>2190182.51</v>
      </c>
      <c r="DH222" s="4">
        <f t="shared" si="138"/>
        <v>2085482.36</v>
      </c>
      <c r="DI222" s="4">
        <f t="shared" si="138"/>
        <v>4171.6</v>
      </c>
      <c r="DJ222" s="4">
        <f t="shared" si="138"/>
        <v>1209.12</v>
      </c>
      <c r="DK222" s="4">
        <f t="shared" si="138"/>
        <v>100528.55</v>
      </c>
      <c r="DL222" s="4">
        <f t="shared" si="138"/>
        <v>0</v>
      </c>
      <c r="DM222" s="4">
        <f>DM189</f>
        <v>298.55661999999995</v>
      </c>
      <c r="DN222" s="4">
        <f>DN189</f>
        <v>2.7016999999999998</v>
      </c>
      <c r="DO222" s="4">
        <f>ROUND(DO189,2)</f>
        <v>0</v>
      </c>
      <c r="DP222" s="4">
        <f>ROUND(DP189,2)</f>
        <v>84389</v>
      </c>
      <c r="DQ222" s="4">
        <f>ROUND(DQ189,2)</f>
        <v>72598.91</v>
      </c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>
        <f aca="true" t="shared" si="139" ref="EG222:EV222">ROUND(EG189,2)</f>
        <v>0</v>
      </c>
      <c r="EH222" s="4">
        <f t="shared" si="139"/>
        <v>0</v>
      </c>
      <c r="EI222" s="4">
        <f t="shared" si="139"/>
        <v>0</v>
      </c>
      <c r="EJ222" s="4">
        <f t="shared" si="139"/>
        <v>2347721.07</v>
      </c>
      <c r="EK222" s="4">
        <f t="shared" si="139"/>
        <v>2347721.07</v>
      </c>
      <c r="EL222" s="4">
        <f t="shared" si="139"/>
        <v>0</v>
      </c>
      <c r="EM222" s="4">
        <f t="shared" si="139"/>
        <v>0</v>
      </c>
      <c r="EN222" s="4">
        <f t="shared" si="139"/>
        <v>2085482.36</v>
      </c>
      <c r="EO222" s="4">
        <f t="shared" si="139"/>
        <v>2085482.36</v>
      </c>
      <c r="EP222" s="4">
        <f t="shared" si="139"/>
        <v>0</v>
      </c>
      <c r="EQ222" s="4">
        <f t="shared" si="139"/>
        <v>2085482.36</v>
      </c>
      <c r="ER222" s="4">
        <f t="shared" si="139"/>
        <v>0</v>
      </c>
      <c r="ES222" s="4">
        <f t="shared" si="139"/>
        <v>0</v>
      </c>
      <c r="ET222" s="4">
        <f t="shared" si="139"/>
        <v>0</v>
      </c>
      <c r="EU222" s="4">
        <f t="shared" si="139"/>
        <v>0</v>
      </c>
      <c r="EV222" s="4">
        <f t="shared" si="139"/>
        <v>550.65</v>
      </c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>
        <v>0</v>
      </c>
    </row>
    <row r="224" spans="1:23" ht="12.75">
      <c r="A224" s="5">
        <v>50</v>
      </c>
      <c r="B224" s="5">
        <v>0</v>
      </c>
      <c r="C224" s="5">
        <v>0</v>
      </c>
      <c r="D224" s="5">
        <v>1</v>
      </c>
      <c r="E224" s="5">
        <v>201</v>
      </c>
      <c r="F224" s="5">
        <f>ROUND(Source!O222,O224)</f>
        <v>2086897.6</v>
      </c>
      <c r="G224" s="5" t="s">
        <v>85</v>
      </c>
      <c r="H224" s="5" t="s">
        <v>86</v>
      </c>
      <c r="I224" s="5"/>
      <c r="J224" s="5"/>
      <c r="K224" s="5">
        <v>201</v>
      </c>
      <c r="L224" s="5">
        <v>1</v>
      </c>
      <c r="M224" s="5">
        <v>3</v>
      </c>
      <c r="N224" s="5" t="s">
        <v>3</v>
      </c>
      <c r="O224" s="5">
        <v>2</v>
      </c>
      <c r="P224" s="5">
        <f>ROUND(Source!DG222,O224)</f>
        <v>2190182.51</v>
      </c>
      <c r="Q224" s="5"/>
      <c r="R224" s="5"/>
      <c r="S224" s="5"/>
      <c r="T224" s="5"/>
      <c r="U224" s="5"/>
      <c r="V224" s="5"/>
      <c r="W224" s="5"/>
    </row>
    <row r="225" spans="1:23" ht="12.75">
      <c r="A225" s="5">
        <v>50</v>
      </c>
      <c r="B225" s="5">
        <v>0</v>
      </c>
      <c r="C225" s="5">
        <v>0</v>
      </c>
      <c r="D225" s="5">
        <v>1</v>
      </c>
      <c r="E225" s="5">
        <v>202</v>
      </c>
      <c r="F225" s="5">
        <f>ROUND(Source!P222,O225)</f>
        <v>2083357.68</v>
      </c>
      <c r="G225" s="5" t="s">
        <v>87</v>
      </c>
      <c r="H225" s="5" t="s">
        <v>88</v>
      </c>
      <c r="I225" s="5"/>
      <c r="J225" s="5"/>
      <c r="K225" s="5">
        <v>202</v>
      </c>
      <c r="L225" s="5">
        <v>2</v>
      </c>
      <c r="M225" s="5">
        <v>3</v>
      </c>
      <c r="N225" s="5" t="s">
        <v>3</v>
      </c>
      <c r="O225" s="5">
        <v>2</v>
      </c>
      <c r="P225" s="5">
        <f>ROUND(Source!DH222,O225)</f>
        <v>2085482.36</v>
      </c>
      <c r="Q225" s="5"/>
      <c r="R225" s="5"/>
      <c r="S225" s="5"/>
      <c r="T225" s="5"/>
      <c r="U225" s="5"/>
      <c r="V225" s="5"/>
      <c r="W225" s="5"/>
    </row>
    <row r="226" spans="1:23" ht="12.75">
      <c r="A226" s="5">
        <v>50</v>
      </c>
      <c r="B226" s="5">
        <v>0</v>
      </c>
      <c r="C226" s="5">
        <v>0</v>
      </c>
      <c r="D226" s="5">
        <v>1</v>
      </c>
      <c r="E226" s="5">
        <v>222</v>
      </c>
      <c r="F226" s="5">
        <f>ROUND(Source!AO222,O226)</f>
        <v>0</v>
      </c>
      <c r="G226" s="5" t="s">
        <v>89</v>
      </c>
      <c r="H226" s="5" t="s">
        <v>90</v>
      </c>
      <c r="I226" s="5"/>
      <c r="J226" s="5"/>
      <c r="K226" s="5">
        <v>222</v>
      </c>
      <c r="L226" s="5">
        <v>3</v>
      </c>
      <c r="M226" s="5">
        <v>3</v>
      </c>
      <c r="N226" s="5" t="s">
        <v>3</v>
      </c>
      <c r="O226" s="5">
        <v>2</v>
      </c>
      <c r="P226" s="5">
        <f>ROUND(Source!EG222,O226)</f>
        <v>0</v>
      </c>
      <c r="Q226" s="5"/>
      <c r="R226" s="5"/>
      <c r="S226" s="5"/>
      <c r="T226" s="5"/>
      <c r="U226" s="5"/>
      <c r="V226" s="5"/>
      <c r="W226" s="5"/>
    </row>
    <row r="227" spans="1:23" ht="12.75">
      <c r="A227" s="5">
        <v>50</v>
      </c>
      <c r="B227" s="5">
        <v>0</v>
      </c>
      <c r="C227" s="5">
        <v>0</v>
      </c>
      <c r="D227" s="5">
        <v>1</v>
      </c>
      <c r="E227" s="5">
        <v>225</v>
      </c>
      <c r="F227" s="5">
        <f>ROUND(Source!AV222,O227)</f>
        <v>2083357.68</v>
      </c>
      <c r="G227" s="5" t="s">
        <v>91</v>
      </c>
      <c r="H227" s="5" t="s">
        <v>92</v>
      </c>
      <c r="I227" s="5"/>
      <c r="J227" s="5"/>
      <c r="K227" s="5">
        <v>225</v>
      </c>
      <c r="L227" s="5">
        <v>4</v>
      </c>
      <c r="M227" s="5">
        <v>3</v>
      </c>
      <c r="N227" s="5" t="s">
        <v>3</v>
      </c>
      <c r="O227" s="5">
        <v>2</v>
      </c>
      <c r="P227" s="5">
        <f>ROUND(Source!EN222,O227)</f>
        <v>2085482.36</v>
      </c>
      <c r="Q227" s="5"/>
      <c r="R227" s="5"/>
      <c r="S227" s="5"/>
      <c r="T227" s="5"/>
      <c r="U227" s="5"/>
      <c r="V227" s="5"/>
      <c r="W227" s="5"/>
    </row>
    <row r="228" spans="1:23" ht="12.75">
      <c r="A228" s="5">
        <v>50</v>
      </c>
      <c r="B228" s="5">
        <v>0</v>
      </c>
      <c r="C228" s="5">
        <v>0</v>
      </c>
      <c r="D228" s="5">
        <v>1</v>
      </c>
      <c r="E228" s="5">
        <v>226</v>
      </c>
      <c r="F228" s="5">
        <f>ROUND(Source!AW222,O228)</f>
        <v>2083357.68</v>
      </c>
      <c r="G228" s="5" t="s">
        <v>93</v>
      </c>
      <c r="H228" s="5" t="s">
        <v>94</v>
      </c>
      <c r="I228" s="5"/>
      <c r="J228" s="5"/>
      <c r="K228" s="5">
        <v>226</v>
      </c>
      <c r="L228" s="5">
        <v>5</v>
      </c>
      <c r="M228" s="5">
        <v>3</v>
      </c>
      <c r="N228" s="5" t="s">
        <v>3</v>
      </c>
      <c r="O228" s="5">
        <v>2</v>
      </c>
      <c r="P228" s="5">
        <f>ROUND(Source!EO222,O228)</f>
        <v>2085482.36</v>
      </c>
      <c r="Q228" s="5"/>
      <c r="R228" s="5"/>
      <c r="S228" s="5"/>
      <c r="T228" s="5"/>
      <c r="U228" s="5"/>
      <c r="V228" s="5"/>
      <c r="W228" s="5"/>
    </row>
    <row r="229" spans="1:23" ht="12.75">
      <c r="A229" s="5">
        <v>50</v>
      </c>
      <c r="B229" s="5">
        <v>0</v>
      </c>
      <c r="C229" s="5">
        <v>0</v>
      </c>
      <c r="D229" s="5">
        <v>1</v>
      </c>
      <c r="E229" s="5">
        <v>227</v>
      </c>
      <c r="F229" s="5">
        <f>ROUND(Source!AX222,O229)</f>
        <v>0</v>
      </c>
      <c r="G229" s="5" t="s">
        <v>95</v>
      </c>
      <c r="H229" s="5" t="s">
        <v>96</v>
      </c>
      <c r="I229" s="5"/>
      <c r="J229" s="5"/>
      <c r="K229" s="5">
        <v>227</v>
      </c>
      <c r="L229" s="5">
        <v>6</v>
      </c>
      <c r="M229" s="5">
        <v>3</v>
      </c>
      <c r="N229" s="5" t="s">
        <v>3</v>
      </c>
      <c r="O229" s="5">
        <v>2</v>
      </c>
      <c r="P229" s="5">
        <f>ROUND(Source!EP222,O229)</f>
        <v>0</v>
      </c>
      <c r="Q229" s="5"/>
      <c r="R229" s="5"/>
      <c r="S229" s="5"/>
      <c r="T229" s="5"/>
      <c r="U229" s="5"/>
      <c r="V229" s="5"/>
      <c r="W229" s="5"/>
    </row>
    <row r="230" spans="1:23" ht="12.75">
      <c r="A230" s="5">
        <v>50</v>
      </c>
      <c r="B230" s="5">
        <v>0</v>
      </c>
      <c r="C230" s="5">
        <v>0</v>
      </c>
      <c r="D230" s="5">
        <v>1</v>
      </c>
      <c r="E230" s="5">
        <v>228</v>
      </c>
      <c r="F230" s="5">
        <f>ROUND(Source!AY222,O230)</f>
        <v>2083357.68</v>
      </c>
      <c r="G230" s="5" t="s">
        <v>97</v>
      </c>
      <c r="H230" s="5" t="s">
        <v>98</v>
      </c>
      <c r="I230" s="5"/>
      <c r="J230" s="5"/>
      <c r="K230" s="5">
        <v>228</v>
      </c>
      <c r="L230" s="5">
        <v>7</v>
      </c>
      <c r="M230" s="5">
        <v>3</v>
      </c>
      <c r="N230" s="5" t="s">
        <v>3</v>
      </c>
      <c r="O230" s="5">
        <v>2</v>
      </c>
      <c r="P230" s="5">
        <f>ROUND(Source!EQ222,O230)</f>
        <v>2085482.36</v>
      </c>
      <c r="Q230" s="5"/>
      <c r="R230" s="5"/>
      <c r="S230" s="5"/>
      <c r="T230" s="5"/>
      <c r="U230" s="5"/>
      <c r="V230" s="5"/>
      <c r="W230" s="5"/>
    </row>
    <row r="231" spans="1:23" ht="12.75">
      <c r="A231" s="5">
        <v>50</v>
      </c>
      <c r="B231" s="5">
        <v>0</v>
      </c>
      <c r="C231" s="5">
        <v>0</v>
      </c>
      <c r="D231" s="5">
        <v>1</v>
      </c>
      <c r="E231" s="5">
        <v>216</v>
      </c>
      <c r="F231" s="5">
        <f>ROUND(Source!AP222,O231)</f>
        <v>0</v>
      </c>
      <c r="G231" s="5" t="s">
        <v>99</v>
      </c>
      <c r="H231" s="5" t="s">
        <v>100</v>
      </c>
      <c r="I231" s="5"/>
      <c r="J231" s="5"/>
      <c r="K231" s="5">
        <v>216</v>
      </c>
      <c r="L231" s="5">
        <v>8</v>
      </c>
      <c r="M231" s="5">
        <v>3</v>
      </c>
      <c r="N231" s="5" t="s">
        <v>3</v>
      </c>
      <c r="O231" s="5">
        <v>2</v>
      </c>
      <c r="P231" s="5">
        <f>ROUND(Source!EH222,O231)</f>
        <v>0</v>
      </c>
      <c r="Q231" s="5"/>
      <c r="R231" s="5"/>
      <c r="S231" s="5"/>
      <c r="T231" s="5"/>
      <c r="U231" s="5"/>
      <c r="V231" s="5"/>
      <c r="W231" s="5"/>
    </row>
    <row r="232" spans="1:23" ht="12.75">
      <c r="A232" s="5">
        <v>50</v>
      </c>
      <c r="B232" s="5">
        <v>0</v>
      </c>
      <c r="C232" s="5">
        <v>0</v>
      </c>
      <c r="D232" s="5">
        <v>1</v>
      </c>
      <c r="E232" s="5">
        <v>223</v>
      </c>
      <c r="F232" s="5">
        <f>ROUND(Source!AQ222,O232)</f>
        <v>0</v>
      </c>
      <c r="G232" s="5" t="s">
        <v>101</v>
      </c>
      <c r="H232" s="5" t="s">
        <v>102</v>
      </c>
      <c r="I232" s="5"/>
      <c r="J232" s="5"/>
      <c r="K232" s="5">
        <v>223</v>
      </c>
      <c r="L232" s="5">
        <v>9</v>
      </c>
      <c r="M232" s="5">
        <v>3</v>
      </c>
      <c r="N232" s="5" t="s">
        <v>3</v>
      </c>
      <c r="O232" s="5">
        <v>2</v>
      </c>
      <c r="P232" s="5">
        <f>ROUND(Source!EI222,O232)</f>
        <v>0</v>
      </c>
      <c r="Q232" s="5"/>
      <c r="R232" s="5"/>
      <c r="S232" s="5"/>
      <c r="T232" s="5"/>
      <c r="U232" s="5"/>
      <c r="V232" s="5"/>
      <c r="W232" s="5"/>
    </row>
    <row r="233" spans="1:23" ht="12.75">
      <c r="A233" s="5">
        <v>50</v>
      </c>
      <c r="B233" s="5">
        <v>0</v>
      </c>
      <c r="C233" s="5">
        <v>0</v>
      </c>
      <c r="D233" s="5">
        <v>1</v>
      </c>
      <c r="E233" s="5">
        <v>229</v>
      </c>
      <c r="F233" s="5">
        <f>ROUND(Source!AZ222,O233)</f>
        <v>0</v>
      </c>
      <c r="G233" s="5" t="s">
        <v>103</v>
      </c>
      <c r="H233" s="5" t="s">
        <v>104</v>
      </c>
      <c r="I233" s="5"/>
      <c r="J233" s="5"/>
      <c r="K233" s="5">
        <v>229</v>
      </c>
      <c r="L233" s="5">
        <v>10</v>
      </c>
      <c r="M233" s="5">
        <v>3</v>
      </c>
      <c r="N233" s="5" t="s">
        <v>3</v>
      </c>
      <c r="O233" s="5">
        <v>2</v>
      </c>
      <c r="P233" s="5">
        <f>ROUND(Source!ER222,O233)</f>
        <v>0</v>
      </c>
      <c r="Q233" s="5"/>
      <c r="R233" s="5"/>
      <c r="S233" s="5"/>
      <c r="T233" s="5"/>
      <c r="U233" s="5"/>
      <c r="V233" s="5"/>
      <c r="W233" s="5"/>
    </row>
    <row r="234" spans="1:23" ht="12.75">
      <c r="A234" s="5">
        <v>50</v>
      </c>
      <c r="B234" s="5">
        <v>0</v>
      </c>
      <c r="C234" s="5">
        <v>0</v>
      </c>
      <c r="D234" s="5">
        <v>1</v>
      </c>
      <c r="E234" s="5">
        <v>203</v>
      </c>
      <c r="F234" s="5">
        <f>ROUND(Source!Q222,O234)</f>
        <v>584.07</v>
      </c>
      <c r="G234" s="5" t="s">
        <v>105</v>
      </c>
      <c r="H234" s="5" t="s">
        <v>106</v>
      </c>
      <c r="I234" s="5"/>
      <c r="J234" s="5"/>
      <c r="K234" s="5">
        <v>203</v>
      </c>
      <c r="L234" s="5">
        <v>11</v>
      </c>
      <c r="M234" s="5">
        <v>3</v>
      </c>
      <c r="N234" s="5" t="s">
        <v>3</v>
      </c>
      <c r="O234" s="5">
        <v>2</v>
      </c>
      <c r="P234" s="5">
        <f>ROUND(Source!DI222,O234)</f>
        <v>4171.6</v>
      </c>
      <c r="Q234" s="5"/>
      <c r="R234" s="5"/>
      <c r="S234" s="5"/>
      <c r="T234" s="5"/>
      <c r="U234" s="5"/>
      <c r="V234" s="5"/>
      <c r="W234" s="5"/>
    </row>
    <row r="235" spans="1:23" ht="12.75">
      <c r="A235" s="5">
        <v>50</v>
      </c>
      <c r="B235" s="5">
        <v>0</v>
      </c>
      <c r="C235" s="5">
        <v>0</v>
      </c>
      <c r="D235" s="5">
        <v>1</v>
      </c>
      <c r="E235" s="5">
        <v>231</v>
      </c>
      <c r="F235" s="5">
        <f>ROUND(Source!BB222,O235)</f>
        <v>0</v>
      </c>
      <c r="G235" s="5" t="s">
        <v>107</v>
      </c>
      <c r="H235" s="5" t="s">
        <v>108</v>
      </c>
      <c r="I235" s="5"/>
      <c r="J235" s="5"/>
      <c r="K235" s="5">
        <v>231</v>
      </c>
      <c r="L235" s="5">
        <v>12</v>
      </c>
      <c r="M235" s="5">
        <v>3</v>
      </c>
      <c r="N235" s="5" t="s">
        <v>3</v>
      </c>
      <c r="O235" s="5">
        <v>2</v>
      </c>
      <c r="P235" s="5">
        <f>ROUND(Source!ET222,O235)</f>
        <v>0</v>
      </c>
      <c r="Q235" s="5"/>
      <c r="R235" s="5"/>
      <c r="S235" s="5"/>
      <c r="T235" s="5"/>
      <c r="U235" s="5"/>
      <c r="V235" s="5"/>
      <c r="W235" s="5"/>
    </row>
    <row r="236" spans="1:23" ht="12.75">
      <c r="A236" s="5">
        <v>50</v>
      </c>
      <c r="B236" s="5">
        <v>0</v>
      </c>
      <c r="C236" s="5">
        <v>0</v>
      </c>
      <c r="D236" s="5">
        <v>1</v>
      </c>
      <c r="E236" s="5">
        <v>204</v>
      </c>
      <c r="F236" s="5">
        <f>ROUND(Source!R222,O236)</f>
        <v>35.55</v>
      </c>
      <c r="G236" s="5" t="s">
        <v>109</v>
      </c>
      <c r="H236" s="5" t="s">
        <v>110</v>
      </c>
      <c r="I236" s="5"/>
      <c r="J236" s="5"/>
      <c r="K236" s="5">
        <v>204</v>
      </c>
      <c r="L236" s="5">
        <v>13</v>
      </c>
      <c r="M236" s="5">
        <v>3</v>
      </c>
      <c r="N236" s="5" t="s">
        <v>3</v>
      </c>
      <c r="O236" s="5">
        <v>2</v>
      </c>
      <c r="P236" s="5">
        <f>ROUND(Source!DJ222,O236)</f>
        <v>1209.12</v>
      </c>
      <c r="Q236" s="5"/>
      <c r="R236" s="5"/>
      <c r="S236" s="5"/>
      <c r="T236" s="5"/>
      <c r="U236" s="5"/>
      <c r="V236" s="5"/>
      <c r="W236" s="5"/>
    </row>
    <row r="237" spans="1:23" ht="12.75">
      <c r="A237" s="5">
        <v>50</v>
      </c>
      <c r="B237" s="5">
        <v>0</v>
      </c>
      <c r="C237" s="5">
        <v>0</v>
      </c>
      <c r="D237" s="5">
        <v>1</v>
      </c>
      <c r="E237" s="5">
        <v>205</v>
      </c>
      <c r="F237" s="5">
        <f>ROUND(Source!S222,O237)</f>
        <v>2955.85</v>
      </c>
      <c r="G237" s="5" t="s">
        <v>111</v>
      </c>
      <c r="H237" s="5" t="s">
        <v>112</v>
      </c>
      <c r="I237" s="5"/>
      <c r="J237" s="5"/>
      <c r="K237" s="5">
        <v>205</v>
      </c>
      <c r="L237" s="5">
        <v>14</v>
      </c>
      <c r="M237" s="5">
        <v>3</v>
      </c>
      <c r="N237" s="5" t="s">
        <v>3</v>
      </c>
      <c r="O237" s="5">
        <v>2</v>
      </c>
      <c r="P237" s="5">
        <f>ROUND(Source!DK222,O237)</f>
        <v>100528.55</v>
      </c>
      <c r="Q237" s="5"/>
      <c r="R237" s="5"/>
      <c r="S237" s="5"/>
      <c r="T237" s="5"/>
      <c r="U237" s="5"/>
      <c r="V237" s="5"/>
      <c r="W237" s="5"/>
    </row>
    <row r="238" spans="1:23" ht="12.75">
      <c r="A238" s="5">
        <v>50</v>
      </c>
      <c r="B238" s="5">
        <v>0</v>
      </c>
      <c r="C238" s="5">
        <v>0</v>
      </c>
      <c r="D238" s="5">
        <v>1</v>
      </c>
      <c r="E238" s="5">
        <v>232</v>
      </c>
      <c r="F238" s="5">
        <f>ROUND(Source!BC222,O238)</f>
        <v>0</v>
      </c>
      <c r="G238" s="5" t="s">
        <v>113</v>
      </c>
      <c r="H238" s="5" t="s">
        <v>114</v>
      </c>
      <c r="I238" s="5"/>
      <c r="J238" s="5"/>
      <c r="K238" s="5">
        <v>232</v>
      </c>
      <c r="L238" s="5">
        <v>15</v>
      </c>
      <c r="M238" s="5">
        <v>3</v>
      </c>
      <c r="N238" s="5" t="s">
        <v>3</v>
      </c>
      <c r="O238" s="5">
        <v>2</v>
      </c>
      <c r="P238" s="5">
        <f>ROUND(Source!EU222,O238)</f>
        <v>0</v>
      </c>
      <c r="Q238" s="5"/>
      <c r="R238" s="5"/>
      <c r="S238" s="5"/>
      <c r="T238" s="5"/>
      <c r="U238" s="5"/>
      <c r="V238" s="5"/>
      <c r="W238" s="5"/>
    </row>
    <row r="239" spans="1:23" ht="12.75">
      <c r="A239" s="5">
        <v>50</v>
      </c>
      <c r="B239" s="5">
        <v>0</v>
      </c>
      <c r="C239" s="5">
        <v>0</v>
      </c>
      <c r="D239" s="5">
        <v>1</v>
      </c>
      <c r="E239" s="5">
        <v>214</v>
      </c>
      <c r="F239" s="5">
        <f>ROUND(Source!AS222,O239)</f>
        <v>2091564.13</v>
      </c>
      <c r="G239" s="5" t="s">
        <v>115</v>
      </c>
      <c r="H239" s="5" t="s">
        <v>116</v>
      </c>
      <c r="I239" s="5"/>
      <c r="J239" s="5"/>
      <c r="K239" s="5">
        <v>214</v>
      </c>
      <c r="L239" s="5">
        <v>16</v>
      </c>
      <c r="M239" s="5">
        <v>3</v>
      </c>
      <c r="N239" s="5" t="s">
        <v>3</v>
      </c>
      <c r="O239" s="5">
        <v>2</v>
      </c>
      <c r="P239" s="5">
        <f>ROUND(Source!EK222,O239)</f>
        <v>2347721.07</v>
      </c>
      <c r="Q239" s="5"/>
      <c r="R239" s="5"/>
      <c r="S239" s="5"/>
      <c r="T239" s="5"/>
      <c r="U239" s="5"/>
      <c r="V239" s="5"/>
      <c r="W239" s="5"/>
    </row>
    <row r="240" spans="1:23" ht="12.75">
      <c r="A240" s="5">
        <v>50</v>
      </c>
      <c r="B240" s="5">
        <v>0</v>
      </c>
      <c r="C240" s="5">
        <v>0</v>
      </c>
      <c r="D240" s="5">
        <v>1</v>
      </c>
      <c r="E240" s="5">
        <v>215</v>
      </c>
      <c r="F240" s="5">
        <f>ROUND(Source!AT222,O240)</f>
        <v>0</v>
      </c>
      <c r="G240" s="5" t="s">
        <v>117</v>
      </c>
      <c r="H240" s="5" t="s">
        <v>118</v>
      </c>
      <c r="I240" s="5"/>
      <c r="J240" s="5"/>
      <c r="K240" s="5">
        <v>215</v>
      </c>
      <c r="L240" s="5">
        <v>17</v>
      </c>
      <c r="M240" s="5">
        <v>3</v>
      </c>
      <c r="N240" s="5" t="s">
        <v>3</v>
      </c>
      <c r="O240" s="5">
        <v>2</v>
      </c>
      <c r="P240" s="5">
        <f>ROUND(Source!EL222,O240)</f>
        <v>0</v>
      </c>
      <c r="Q240" s="5"/>
      <c r="R240" s="5"/>
      <c r="S240" s="5"/>
      <c r="T240" s="5"/>
      <c r="U240" s="5"/>
      <c r="V240" s="5"/>
      <c r="W240" s="5"/>
    </row>
    <row r="241" spans="1:23" ht="12.75">
      <c r="A241" s="5">
        <v>50</v>
      </c>
      <c r="B241" s="5">
        <v>0</v>
      </c>
      <c r="C241" s="5">
        <v>0</v>
      </c>
      <c r="D241" s="5">
        <v>1</v>
      </c>
      <c r="E241" s="5">
        <v>217</v>
      </c>
      <c r="F241" s="5">
        <f>ROUND(Source!AU222,O241)</f>
        <v>0</v>
      </c>
      <c r="G241" s="5" t="s">
        <v>119</v>
      </c>
      <c r="H241" s="5" t="s">
        <v>120</v>
      </c>
      <c r="I241" s="5"/>
      <c r="J241" s="5"/>
      <c r="K241" s="5">
        <v>217</v>
      </c>
      <c r="L241" s="5">
        <v>18</v>
      </c>
      <c r="M241" s="5">
        <v>3</v>
      </c>
      <c r="N241" s="5" t="s">
        <v>3</v>
      </c>
      <c r="O241" s="5">
        <v>2</v>
      </c>
      <c r="P241" s="5">
        <f>ROUND(Source!EM222,O241)</f>
        <v>0</v>
      </c>
      <c r="Q241" s="5"/>
      <c r="R241" s="5"/>
      <c r="S241" s="5"/>
      <c r="T241" s="5"/>
      <c r="U241" s="5"/>
      <c r="V241" s="5"/>
      <c r="W241" s="5"/>
    </row>
    <row r="242" spans="1:23" ht="12.75">
      <c r="A242" s="5">
        <v>50</v>
      </c>
      <c r="B242" s="5">
        <v>0</v>
      </c>
      <c r="C242" s="5">
        <v>0</v>
      </c>
      <c r="D242" s="5">
        <v>1</v>
      </c>
      <c r="E242" s="5">
        <v>230</v>
      </c>
      <c r="F242" s="5">
        <f>ROUND(Source!BA222,O242)</f>
        <v>0</v>
      </c>
      <c r="G242" s="5" t="s">
        <v>121</v>
      </c>
      <c r="H242" s="5" t="s">
        <v>122</v>
      </c>
      <c r="I242" s="5"/>
      <c r="J242" s="5"/>
      <c r="K242" s="5">
        <v>230</v>
      </c>
      <c r="L242" s="5">
        <v>19</v>
      </c>
      <c r="M242" s="5">
        <v>3</v>
      </c>
      <c r="N242" s="5" t="s">
        <v>3</v>
      </c>
      <c r="O242" s="5">
        <v>2</v>
      </c>
      <c r="P242" s="5">
        <f>ROUND(Source!ES222,O242)</f>
        <v>0</v>
      </c>
      <c r="Q242" s="5"/>
      <c r="R242" s="5"/>
      <c r="S242" s="5"/>
      <c r="T242" s="5"/>
      <c r="U242" s="5"/>
      <c r="V242" s="5"/>
      <c r="W242" s="5"/>
    </row>
    <row r="243" spans="1:23" ht="12.75">
      <c r="A243" s="5">
        <v>50</v>
      </c>
      <c r="B243" s="5">
        <v>0</v>
      </c>
      <c r="C243" s="5">
        <v>0</v>
      </c>
      <c r="D243" s="5">
        <v>1</v>
      </c>
      <c r="E243" s="5">
        <v>206</v>
      </c>
      <c r="F243" s="5">
        <f>ROUND(Source!T222,O243)</f>
        <v>0</v>
      </c>
      <c r="G243" s="5" t="s">
        <v>123</v>
      </c>
      <c r="H243" s="5" t="s">
        <v>124</v>
      </c>
      <c r="I243" s="5"/>
      <c r="J243" s="5"/>
      <c r="K243" s="5">
        <v>206</v>
      </c>
      <c r="L243" s="5">
        <v>20</v>
      </c>
      <c r="M243" s="5">
        <v>3</v>
      </c>
      <c r="N243" s="5" t="s">
        <v>3</v>
      </c>
      <c r="O243" s="5">
        <v>2</v>
      </c>
      <c r="P243" s="5">
        <f>ROUND(Source!DL222,O243)</f>
        <v>0</v>
      </c>
      <c r="Q243" s="5"/>
      <c r="R243" s="5"/>
      <c r="S243" s="5"/>
      <c r="T243" s="5"/>
      <c r="U243" s="5"/>
      <c r="V243" s="5"/>
      <c r="W243" s="5"/>
    </row>
    <row r="244" spans="1:23" ht="12.75">
      <c r="A244" s="5">
        <v>50</v>
      </c>
      <c r="B244" s="5">
        <v>0</v>
      </c>
      <c r="C244" s="5">
        <v>0</v>
      </c>
      <c r="D244" s="5">
        <v>1</v>
      </c>
      <c r="E244" s="5">
        <v>207</v>
      </c>
      <c r="F244" s="5">
        <f>Source!U222</f>
        <v>298.55661999999995</v>
      </c>
      <c r="G244" s="5" t="s">
        <v>125</v>
      </c>
      <c r="H244" s="5" t="s">
        <v>126</v>
      </c>
      <c r="I244" s="5"/>
      <c r="J244" s="5"/>
      <c r="K244" s="5">
        <v>207</v>
      </c>
      <c r="L244" s="5">
        <v>21</v>
      </c>
      <c r="M244" s="5">
        <v>3</v>
      </c>
      <c r="N244" s="5" t="s">
        <v>3</v>
      </c>
      <c r="O244" s="5">
        <v>-1</v>
      </c>
      <c r="P244" s="5">
        <f>Source!DM222</f>
        <v>298.55661999999995</v>
      </c>
      <c r="Q244" s="5"/>
      <c r="R244" s="5"/>
      <c r="S244" s="5"/>
      <c r="T244" s="5"/>
      <c r="U244" s="5"/>
      <c r="V244" s="5"/>
      <c r="W244" s="5"/>
    </row>
    <row r="245" spans="1:23" ht="12.75">
      <c r="A245" s="5">
        <v>50</v>
      </c>
      <c r="B245" s="5">
        <v>0</v>
      </c>
      <c r="C245" s="5">
        <v>0</v>
      </c>
      <c r="D245" s="5">
        <v>1</v>
      </c>
      <c r="E245" s="5">
        <v>208</v>
      </c>
      <c r="F245" s="5">
        <f>Source!V222</f>
        <v>2.7016999999999998</v>
      </c>
      <c r="G245" s="5" t="s">
        <v>127</v>
      </c>
      <c r="H245" s="5" t="s">
        <v>128</v>
      </c>
      <c r="I245" s="5"/>
      <c r="J245" s="5"/>
      <c r="K245" s="5">
        <v>208</v>
      </c>
      <c r="L245" s="5">
        <v>22</v>
      </c>
      <c r="M245" s="5">
        <v>3</v>
      </c>
      <c r="N245" s="5" t="s">
        <v>3</v>
      </c>
      <c r="O245" s="5">
        <v>-1</v>
      </c>
      <c r="P245" s="5">
        <f>Source!DN222</f>
        <v>2.7016999999999998</v>
      </c>
      <c r="Q245" s="5"/>
      <c r="R245" s="5"/>
      <c r="S245" s="5"/>
      <c r="T245" s="5"/>
      <c r="U245" s="5"/>
      <c r="V245" s="5"/>
      <c r="W245" s="5"/>
    </row>
    <row r="246" spans="1:23" ht="12.75">
      <c r="A246" s="5">
        <v>50</v>
      </c>
      <c r="B246" s="5">
        <v>0</v>
      </c>
      <c r="C246" s="5">
        <v>0</v>
      </c>
      <c r="D246" s="5">
        <v>1</v>
      </c>
      <c r="E246" s="5">
        <v>209</v>
      </c>
      <c r="F246" s="5">
        <f>ROUND(Source!W222,O246)</f>
        <v>0</v>
      </c>
      <c r="G246" s="5" t="s">
        <v>129</v>
      </c>
      <c r="H246" s="5" t="s">
        <v>130</v>
      </c>
      <c r="I246" s="5"/>
      <c r="J246" s="5"/>
      <c r="K246" s="5">
        <v>209</v>
      </c>
      <c r="L246" s="5">
        <v>23</v>
      </c>
      <c r="M246" s="5">
        <v>3</v>
      </c>
      <c r="N246" s="5" t="s">
        <v>3</v>
      </c>
      <c r="O246" s="5">
        <v>2</v>
      </c>
      <c r="P246" s="5">
        <f>ROUND(Source!DO222,O246)</f>
        <v>0</v>
      </c>
      <c r="Q246" s="5"/>
      <c r="R246" s="5"/>
      <c r="S246" s="5"/>
      <c r="T246" s="5"/>
      <c r="U246" s="5"/>
      <c r="V246" s="5"/>
      <c r="W246" s="5"/>
    </row>
    <row r="247" spans="1:23" ht="12.75">
      <c r="A247" s="5">
        <v>50</v>
      </c>
      <c r="B247" s="5">
        <v>0</v>
      </c>
      <c r="C247" s="5">
        <v>0</v>
      </c>
      <c r="D247" s="5">
        <v>1</v>
      </c>
      <c r="E247" s="5">
        <v>233</v>
      </c>
      <c r="F247" s="5">
        <f>ROUND(Source!BD222,O247)</f>
        <v>50.59</v>
      </c>
      <c r="G247" s="5" t="s">
        <v>131</v>
      </c>
      <c r="H247" s="5" t="s">
        <v>132</v>
      </c>
      <c r="I247" s="5"/>
      <c r="J247" s="5"/>
      <c r="K247" s="5">
        <v>233</v>
      </c>
      <c r="L247" s="5">
        <v>24</v>
      </c>
      <c r="M247" s="5">
        <v>3</v>
      </c>
      <c r="N247" s="5" t="s">
        <v>3</v>
      </c>
      <c r="O247" s="5">
        <v>2</v>
      </c>
      <c r="P247" s="5">
        <f>ROUND(Source!EV222,O247)</f>
        <v>550.65</v>
      </c>
      <c r="Q247" s="5"/>
      <c r="R247" s="5"/>
      <c r="S247" s="5"/>
      <c r="T247" s="5"/>
      <c r="U247" s="5"/>
      <c r="V247" s="5"/>
      <c r="W247" s="5"/>
    </row>
    <row r="248" spans="1:23" ht="12.75">
      <c r="A248" s="5">
        <v>50</v>
      </c>
      <c r="B248" s="5">
        <v>0</v>
      </c>
      <c r="C248" s="5">
        <v>0</v>
      </c>
      <c r="D248" s="5">
        <v>1</v>
      </c>
      <c r="E248" s="5">
        <v>210</v>
      </c>
      <c r="F248" s="5">
        <f>ROUND(Source!X222,O248)</f>
        <v>2481.3</v>
      </c>
      <c r="G248" s="5" t="s">
        <v>133</v>
      </c>
      <c r="H248" s="5" t="s">
        <v>134</v>
      </c>
      <c r="I248" s="5"/>
      <c r="J248" s="5"/>
      <c r="K248" s="5">
        <v>210</v>
      </c>
      <c r="L248" s="5">
        <v>25</v>
      </c>
      <c r="M248" s="5">
        <v>3</v>
      </c>
      <c r="N248" s="5" t="s">
        <v>3</v>
      </c>
      <c r="O248" s="5">
        <v>2</v>
      </c>
      <c r="P248" s="5">
        <f>ROUND(Source!DP222,O248)</f>
        <v>84389</v>
      </c>
      <c r="Q248" s="5"/>
      <c r="R248" s="5"/>
      <c r="S248" s="5"/>
      <c r="T248" s="5"/>
      <c r="U248" s="5"/>
      <c r="V248" s="5"/>
      <c r="W248" s="5"/>
    </row>
    <row r="249" spans="1:23" ht="12.75">
      <c r="A249" s="5">
        <v>50</v>
      </c>
      <c r="B249" s="5">
        <v>0</v>
      </c>
      <c r="C249" s="5">
        <v>0</v>
      </c>
      <c r="D249" s="5">
        <v>1</v>
      </c>
      <c r="E249" s="5">
        <v>211</v>
      </c>
      <c r="F249" s="5">
        <f>ROUND(Source!Y222,O249)</f>
        <v>2134.64</v>
      </c>
      <c r="G249" s="5" t="s">
        <v>135</v>
      </c>
      <c r="H249" s="5" t="s">
        <v>136</v>
      </c>
      <c r="I249" s="5"/>
      <c r="J249" s="5"/>
      <c r="K249" s="5">
        <v>211</v>
      </c>
      <c r="L249" s="5">
        <v>26</v>
      </c>
      <c r="M249" s="5">
        <v>3</v>
      </c>
      <c r="N249" s="5" t="s">
        <v>3</v>
      </c>
      <c r="O249" s="5">
        <v>2</v>
      </c>
      <c r="P249" s="5">
        <f>ROUND(Source!DQ222,O249)</f>
        <v>72598.91</v>
      </c>
      <c r="Q249" s="5"/>
      <c r="R249" s="5"/>
      <c r="S249" s="5"/>
      <c r="T249" s="5"/>
      <c r="U249" s="5"/>
      <c r="V249" s="5"/>
      <c r="W249" s="5"/>
    </row>
    <row r="250" spans="1:23" ht="12.75">
      <c r="A250" s="5">
        <v>50</v>
      </c>
      <c r="B250" s="5">
        <v>0</v>
      </c>
      <c r="C250" s="5">
        <v>0</v>
      </c>
      <c r="D250" s="5">
        <v>1</v>
      </c>
      <c r="E250" s="5">
        <v>224</v>
      </c>
      <c r="F250" s="5">
        <f>ROUND(Source!AR222,O250)</f>
        <v>2091564.13</v>
      </c>
      <c r="G250" s="5" t="s">
        <v>137</v>
      </c>
      <c r="H250" s="5" t="s">
        <v>138</v>
      </c>
      <c r="I250" s="5"/>
      <c r="J250" s="5"/>
      <c r="K250" s="5">
        <v>224</v>
      </c>
      <c r="L250" s="5">
        <v>27</v>
      </c>
      <c r="M250" s="5">
        <v>3</v>
      </c>
      <c r="N250" s="5" t="s">
        <v>3</v>
      </c>
      <c r="O250" s="5">
        <v>2</v>
      </c>
      <c r="P250" s="5">
        <f>ROUND(Source!EJ222,O250)</f>
        <v>2347721.07</v>
      </c>
      <c r="Q250" s="5"/>
      <c r="R250" s="5"/>
      <c r="S250" s="5"/>
      <c r="T250" s="5"/>
      <c r="U250" s="5"/>
      <c r="V250" s="5"/>
      <c r="W250" s="5"/>
    </row>
    <row r="251" spans="1:23" ht="12.75">
      <c r="A251" s="5">
        <v>50</v>
      </c>
      <c r="B251" s="5">
        <v>1</v>
      </c>
      <c r="C251" s="5">
        <v>0</v>
      </c>
      <c r="D251" s="5">
        <v>2</v>
      </c>
      <c r="E251" s="5">
        <v>0</v>
      </c>
      <c r="F251" s="5">
        <f>ROUND(F250,O251)</f>
        <v>2091564.13</v>
      </c>
      <c r="G251" s="5" t="s">
        <v>199</v>
      </c>
      <c r="H251" s="5" t="s">
        <v>137</v>
      </c>
      <c r="I251" s="5"/>
      <c r="J251" s="5"/>
      <c r="K251" s="5">
        <v>212</v>
      </c>
      <c r="L251" s="5">
        <v>28</v>
      </c>
      <c r="M251" s="5">
        <v>0</v>
      </c>
      <c r="N251" s="5" t="s">
        <v>3</v>
      </c>
      <c r="O251" s="5">
        <v>2</v>
      </c>
      <c r="P251" s="5">
        <f>ROUND(P250,O251)</f>
        <v>2347721.07</v>
      </c>
      <c r="Q251" s="5"/>
      <c r="R251" s="5"/>
      <c r="S251" s="5"/>
      <c r="T251" s="5"/>
      <c r="U251" s="5"/>
      <c r="V251" s="5"/>
      <c r="W251" s="5"/>
    </row>
    <row r="252" spans="1:23" ht="12.75">
      <c r="A252" s="5">
        <v>50</v>
      </c>
      <c r="B252" s="5">
        <v>1</v>
      </c>
      <c r="C252" s="5">
        <v>0</v>
      </c>
      <c r="D252" s="5">
        <v>2</v>
      </c>
      <c r="E252" s="5">
        <v>0</v>
      </c>
      <c r="F252" s="5">
        <f>ROUND(F251*0.02,O252)</f>
        <v>41831.28</v>
      </c>
      <c r="G252" s="5" t="s">
        <v>200</v>
      </c>
      <c r="H252" s="5" t="s">
        <v>201</v>
      </c>
      <c r="I252" s="5"/>
      <c r="J252" s="5"/>
      <c r="K252" s="5">
        <v>212</v>
      </c>
      <c r="L252" s="5">
        <v>29</v>
      </c>
      <c r="M252" s="5">
        <v>0</v>
      </c>
      <c r="N252" s="5" t="s">
        <v>3</v>
      </c>
      <c r="O252" s="5">
        <v>2</v>
      </c>
      <c r="P252" s="5">
        <f>ROUND(P251*0.02,O252)</f>
        <v>46954.42</v>
      </c>
      <c r="Q252" s="5"/>
      <c r="R252" s="5"/>
      <c r="S252" s="5"/>
      <c r="T252" s="5"/>
      <c r="U252" s="5"/>
      <c r="V252" s="5"/>
      <c r="W252" s="5"/>
    </row>
    <row r="253" spans="1:23" ht="12.75">
      <c r="A253" s="5">
        <v>50</v>
      </c>
      <c r="B253" s="5">
        <v>1</v>
      </c>
      <c r="C253" s="5">
        <v>0</v>
      </c>
      <c r="D253" s="5">
        <v>2</v>
      </c>
      <c r="E253" s="5">
        <v>0</v>
      </c>
      <c r="F253" s="5">
        <f>ROUND(F251+F252,O253)</f>
        <v>2133395.41</v>
      </c>
      <c r="G253" s="5" t="s">
        <v>202</v>
      </c>
      <c r="H253" s="5" t="s">
        <v>199</v>
      </c>
      <c r="I253" s="5"/>
      <c r="J253" s="5"/>
      <c r="K253" s="5">
        <v>212</v>
      </c>
      <c r="L253" s="5">
        <v>30</v>
      </c>
      <c r="M253" s="5">
        <v>0</v>
      </c>
      <c r="N253" s="5" t="s">
        <v>3</v>
      </c>
      <c r="O253" s="5">
        <v>2</v>
      </c>
      <c r="P253" s="5">
        <f>ROUND(P251+P252,O253)</f>
        <v>2394675.49</v>
      </c>
      <c r="Q253" s="5"/>
      <c r="R253" s="5"/>
      <c r="S253" s="5"/>
      <c r="T253" s="5"/>
      <c r="U253" s="5"/>
      <c r="V253" s="5"/>
      <c r="W253" s="5"/>
    </row>
    <row r="254" spans="1:23" ht="12.75">
      <c r="A254" s="5">
        <v>50</v>
      </c>
      <c r="B254" s="5">
        <v>1</v>
      </c>
      <c r="C254" s="5">
        <v>0</v>
      </c>
      <c r="D254" s="5">
        <v>2</v>
      </c>
      <c r="E254" s="5">
        <v>0</v>
      </c>
      <c r="F254" s="5">
        <f>ROUND(F253*0.2,O254)</f>
        <v>426679.08</v>
      </c>
      <c r="G254" s="5" t="s">
        <v>195</v>
      </c>
      <c r="H254" s="5" t="s">
        <v>203</v>
      </c>
      <c r="I254" s="5"/>
      <c r="J254" s="5"/>
      <c r="K254" s="5">
        <v>212</v>
      </c>
      <c r="L254" s="5">
        <v>31</v>
      </c>
      <c r="M254" s="5">
        <v>0</v>
      </c>
      <c r="N254" s="5" t="s">
        <v>3</v>
      </c>
      <c r="O254" s="5">
        <v>2</v>
      </c>
      <c r="P254" s="5">
        <f>ROUND(P253*0.2,O254)</f>
        <v>478935.1</v>
      </c>
      <c r="Q254" s="5"/>
      <c r="R254" s="5"/>
      <c r="S254" s="5"/>
      <c r="T254" s="5"/>
      <c r="U254" s="5"/>
      <c r="V254" s="5"/>
      <c r="W254" s="5"/>
    </row>
    <row r="255" spans="1:23" ht="12.75">
      <c r="A255" s="5">
        <v>50</v>
      </c>
      <c r="B255" s="5">
        <v>1</v>
      </c>
      <c r="C255" s="5">
        <v>0</v>
      </c>
      <c r="D255" s="5">
        <v>2</v>
      </c>
      <c r="E255" s="5">
        <v>213</v>
      </c>
      <c r="F255" s="5">
        <f>ROUND(F253+F254,O255)</f>
        <v>2560074.49</v>
      </c>
      <c r="G255" s="5" t="s">
        <v>204</v>
      </c>
      <c r="H255" s="5" t="s">
        <v>205</v>
      </c>
      <c r="I255" s="5"/>
      <c r="J255" s="5"/>
      <c r="K255" s="5">
        <v>212</v>
      </c>
      <c r="L255" s="5">
        <v>32</v>
      </c>
      <c r="M255" s="5">
        <v>0</v>
      </c>
      <c r="N255" s="5" t="s">
        <v>3</v>
      </c>
      <c r="O255" s="5">
        <v>2</v>
      </c>
      <c r="P255" s="5">
        <f>ROUND(P253+P254,O255)</f>
        <v>2873610.59</v>
      </c>
      <c r="Q255" s="5"/>
      <c r="R255" s="5"/>
      <c r="S255" s="5"/>
      <c r="T255" s="5"/>
      <c r="U255" s="5"/>
      <c r="V255" s="5"/>
      <c r="W255" s="5"/>
    </row>
    <row r="257" spans="1:8" ht="12.75">
      <c r="A257" s="6">
        <v>61</v>
      </c>
      <c r="B257" s="6"/>
      <c r="C257" s="6"/>
      <c r="D257" s="6"/>
      <c r="E257" s="6"/>
      <c r="F257" s="6">
        <v>3</v>
      </c>
      <c r="G257" s="6" t="s">
        <v>206</v>
      </c>
      <c r="H257" s="6" t="s">
        <v>207</v>
      </c>
    </row>
    <row r="258" spans="1:8" ht="12.75">
      <c r="A258" s="6">
        <v>61</v>
      </c>
      <c r="B258" s="6"/>
      <c r="C258" s="6"/>
      <c r="D258" s="6"/>
      <c r="E258" s="6"/>
      <c r="F258" s="6">
        <v>2</v>
      </c>
      <c r="G258" s="6" t="s">
        <v>208</v>
      </c>
      <c r="H258" s="6" t="s">
        <v>207</v>
      </c>
    </row>
    <row r="259" spans="1:8" ht="12.75">
      <c r="A259" s="6">
        <v>61</v>
      </c>
      <c r="B259" s="6"/>
      <c r="C259" s="6"/>
      <c r="D259" s="6"/>
      <c r="E259" s="6"/>
      <c r="F259" s="6">
        <v>1</v>
      </c>
      <c r="G259" s="6" t="s">
        <v>209</v>
      </c>
      <c r="H259" s="6" t="s">
        <v>207</v>
      </c>
    </row>
    <row r="262" spans="1:16" ht="12.75">
      <c r="A262">
        <v>70</v>
      </c>
      <c r="B262">
        <v>1</v>
      </c>
      <c r="D262">
        <v>1</v>
      </c>
      <c r="E262" t="s">
        <v>210</v>
      </c>
      <c r="F262" t="s">
        <v>211</v>
      </c>
      <c r="G262">
        <v>0</v>
      </c>
      <c r="H262">
        <v>0</v>
      </c>
      <c r="J262">
        <v>1</v>
      </c>
      <c r="K262">
        <v>0</v>
      </c>
      <c r="N262">
        <v>0</v>
      </c>
      <c r="O262">
        <v>0</v>
      </c>
      <c r="P262" t="s">
        <v>212</v>
      </c>
    </row>
    <row r="263" spans="1:16" ht="12.75">
      <c r="A263">
        <v>70</v>
      </c>
      <c r="B263">
        <v>1</v>
      </c>
      <c r="D263">
        <v>2</v>
      </c>
      <c r="E263" t="s">
        <v>213</v>
      </c>
      <c r="F263" t="s">
        <v>214</v>
      </c>
      <c r="G263">
        <v>1</v>
      </c>
      <c r="H263">
        <v>0</v>
      </c>
      <c r="J263">
        <v>1</v>
      </c>
      <c r="K263">
        <v>0</v>
      </c>
      <c r="N263">
        <v>0</v>
      </c>
      <c r="O263">
        <v>1</v>
      </c>
      <c r="P263" t="s">
        <v>215</v>
      </c>
    </row>
    <row r="264" spans="1:16" ht="12.75">
      <c r="A264">
        <v>70</v>
      </c>
      <c r="B264">
        <v>1</v>
      </c>
      <c r="D264">
        <v>3</v>
      </c>
      <c r="E264" t="s">
        <v>216</v>
      </c>
      <c r="F264" t="s">
        <v>217</v>
      </c>
      <c r="G264">
        <v>0</v>
      </c>
      <c r="H264">
        <v>0</v>
      </c>
      <c r="J264">
        <v>1</v>
      </c>
      <c r="K264">
        <v>0</v>
      </c>
      <c r="N264">
        <v>0</v>
      </c>
      <c r="O264">
        <v>0</v>
      </c>
      <c r="P264" t="s">
        <v>218</v>
      </c>
    </row>
    <row r="265" spans="1:16" ht="12.75">
      <c r="A265">
        <v>70</v>
      </c>
      <c r="B265">
        <v>1</v>
      </c>
      <c r="D265">
        <v>4</v>
      </c>
      <c r="E265" t="s">
        <v>219</v>
      </c>
      <c r="F265" t="s">
        <v>220</v>
      </c>
      <c r="G265">
        <v>1</v>
      </c>
      <c r="H265">
        <v>0</v>
      </c>
      <c r="J265">
        <v>2</v>
      </c>
      <c r="K265">
        <v>0</v>
      </c>
      <c r="N265">
        <v>0</v>
      </c>
      <c r="O265">
        <v>1</v>
      </c>
    </row>
    <row r="266" spans="1:16" ht="12.75">
      <c r="A266">
        <v>70</v>
      </c>
      <c r="B266">
        <v>1</v>
      </c>
      <c r="D266">
        <v>5</v>
      </c>
      <c r="E266" t="s">
        <v>221</v>
      </c>
      <c r="F266" t="s">
        <v>222</v>
      </c>
      <c r="G266">
        <v>0</v>
      </c>
      <c r="H266">
        <v>0</v>
      </c>
      <c r="J266">
        <v>2</v>
      </c>
      <c r="K266">
        <v>0</v>
      </c>
      <c r="N266">
        <v>0</v>
      </c>
      <c r="O266">
        <v>0</v>
      </c>
    </row>
    <row r="267" spans="1:16" ht="12.75">
      <c r="A267">
        <v>70</v>
      </c>
      <c r="B267">
        <v>1</v>
      </c>
      <c r="D267">
        <v>6</v>
      </c>
      <c r="E267" t="s">
        <v>223</v>
      </c>
      <c r="F267" t="s">
        <v>224</v>
      </c>
      <c r="G267">
        <v>0</v>
      </c>
      <c r="H267">
        <v>0</v>
      </c>
      <c r="J267">
        <v>2</v>
      </c>
      <c r="K267">
        <v>0</v>
      </c>
      <c r="N267">
        <v>0</v>
      </c>
      <c r="O267">
        <v>0</v>
      </c>
    </row>
    <row r="268" spans="1:16" ht="12.75">
      <c r="A268">
        <v>70</v>
      </c>
      <c r="B268">
        <v>1</v>
      </c>
      <c r="D268">
        <v>7</v>
      </c>
      <c r="E268" t="s">
        <v>225</v>
      </c>
      <c r="F268" t="s">
        <v>226</v>
      </c>
      <c r="G268">
        <v>0</v>
      </c>
      <c r="H268">
        <v>0</v>
      </c>
      <c r="I268" t="s">
        <v>227</v>
      </c>
      <c r="J268">
        <v>0</v>
      </c>
      <c r="K268">
        <v>0</v>
      </c>
      <c r="N268">
        <v>0</v>
      </c>
      <c r="O268">
        <v>0</v>
      </c>
      <c r="P268" t="s">
        <v>228</v>
      </c>
    </row>
    <row r="269" spans="1:16" ht="12.75">
      <c r="A269">
        <v>70</v>
      </c>
      <c r="B269">
        <v>1</v>
      </c>
      <c r="D269">
        <v>8</v>
      </c>
      <c r="E269" t="s">
        <v>229</v>
      </c>
      <c r="F269" t="s">
        <v>230</v>
      </c>
      <c r="G269">
        <v>0</v>
      </c>
      <c r="H269">
        <v>0</v>
      </c>
      <c r="I269" t="s">
        <v>231</v>
      </c>
      <c r="J269">
        <v>0</v>
      </c>
      <c r="K269">
        <v>0</v>
      </c>
      <c r="N269">
        <v>0</v>
      </c>
      <c r="O269">
        <v>0</v>
      </c>
      <c r="P269" t="s">
        <v>232</v>
      </c>
    </row>
    <row r="270" spans="1:16" ht="12.75">
      <c r="A270">
        <v>70</v>
      </c>
      <c r="B270">
        <v>1</v>
      </c>
      <c r="D270">
        <v>9</v>
      </c>
      <c r="E270" t="s">
        <v>233</v>
      </c>
      <c r="F270" t="s">
        <v>234</v>
      </c>
      <c r="G270">
        <v>0</v>
      </c>
      <c r="H270">
        <v>0</v>
      </c>
      <c r="I270" t="s">
        <v>235</v>
      </c>
      <c r="J270">
        <v>0</v>
      </c>
      <c r="K270">
        <v>0</v>
      </c>
      <c r="N270">
        <v>0</v>
      </c>
      <c r="O270">
        <v>0</v>
      </c>
      <c r="P270" t="s">
        <v>236</v>
      </c>
    </row>
    <row r="271" spans="1:16" ht="12.75">
      <c r="A271">
        <v>70</v>
      </c>
      <c r="B271">
        <v>1</v>
      </c>
      <c r="D271">
        <v>10</v>
      </c>
      <c r="E271" t="s">
        <v>237</v>
      </c>
      <c r="F271" t="s">
        <v>238</v>
      </c>
      <c r="G271">
        <v>1</v>
      </c>
      <c r="H271">
        <v>0</v>
      </c>
      <c r="J271">
        <v>0</v>
      </c>
      <c r="K271">
        <v>0</v>
      </c>
      <c r="N271">
        <v>0</v>
      </c>
      <c r="O271">
        <v>1</v>
      </c>
      <c r="P271" t="s">
        <v>239</v>
      </c>
    </row>
    <row r="272" spans="1:16" ht="12.75">
      <c r="A272">
        <v>70</v>
      </c>
      <c r="B272">
        <v>1</v>
      </c>
      <c r="D272">
        <v>11</v>
      </c>
      <c r="E272" t="s">
        <v>240</v>
      </c>
      <c r="F272" t="s">
        <v>241</v>
      </c>
      <c r="G272">
        <v>0</v>
      </c>
      <c r="H272">
        <v>0</v>
      </c>
      <c r="I272" t="s">
        <v>242</v>
      </c>
      <c r="J272">
        <v>0</v>
      </c>
      <c r="K272">
        <v>0</v>
      </c>
      <c r="N272">
        <v>0</v>
      </c>
      <c r="O272">
        <v>0</v>
      </c>
      <c r="P272" t="s">
        <v>243</v>
      </c>
    </row>
    <row r="273" spans="1:16" ht="12.75">
      <c r="A273">
        <v>70</v>
      </c>
      <c r="B273">
        <v>1</v>
      </c>
      <c r="D273">
        <v>12</v>
      </c>
      <c r="E273" t="s">
        <v>244</v>
      </c>
      <c r="F273" t="s">
        <v>245</v>
      </c>
      <c r="G273">
        <v>0</v>
      </c>
      <c r="H273">
        <v>0</v>
      </c>
      <c r="I273" t="s">
        <v>246</v>
      </c>
      <c r="J273">
        <v>0</v>
      </c>
      <c r="K273">
        <v>0</v>
      </c>
      <c r="N273">
        <v>0</v>
      </c>
      <c r="O273">
        <v>0</v>
      </c>
      <c r="P273" t="s">
        <v>247</v>
      </c>
    </row>
    <row r="274" spans="1:16" ht="12.75">
      <c r="A274">
        <v>70</v>
      </c>
      <c r="B274">
        <v>1</v>
      </c>
      <c r="D274">
        <v>13</v>
      </c>
      <c r="E274" t="s">
        <v>248</v>
      </c>
      <c r="F274" t="s">
        <v>249</v>
      </c>
      <c r="G274">
        <v>0</v>
      </c>
      <c r="H274">
        <v>0</v>
      </c>
      <c r="I274" t="s">
        <v>250</v>
      </c>
      <c r="J274">
        <v>0</v>
      </c>
      <c r="K274">
        <v>0</v>
      </c>
      <c r="N274">
        <v>0</v>
      </c>
      <c r="O274">
        <v>0</v>
      </c>
      <c r="P274" t="s">
        <v>251</v>
      </c>
    </row>
    <row r="275" spans="1:16" ht="12.75">
      <c r="A275">
        <v>70</v>
      </c>
      <c r="B275">
        <v>1</v>
      </c>
      <c r="D275">
        <v>14</v>
      </c>
      <c r="E275" t="s">
        <v>252</v>
      </c>
      <c r="F275" t="s">
        <v>253</v>
      </c>
      <c r="G275">
        <v>0</v>
      </c>
      <c r="H275">
        <v>0</v>
      </c>
      <c r="I275" t="s">
        <v>254</v>
      </c>
      <c r="J275">
        <v>0</v>
      </c>
      <c r="K275">
        <v>0</v>
      </c>
      <c r="N275">
        <v>0</v>
      </c>
      <c r="O275">
        <v>0</v>
      </c>
      <c r="P275" t="s">
        <v>255</v>
      </c>
    </row>
    <row r="276" spans="1:16" ht="12.75">
      <c r="A276">
        <v>70</v>
      </c>
      <c r="B276">
        <v>1</v>
      </c>
      <c r="D276">
        <v>15</v>
      </c>
      <c r="E276" t="s">
        <v>256</v>
      </c>
      <c r="F276" t="s">
        <v>257</v>
      </c>
      <c r="G276">
        <v>0</v>
      </c>
      <c r="H276">
        <v>0</v>
      </c>
      <c r="J276">
        <v>0</v>
      </c>
      <c r="K276">
        <v>0</v>
      </c>
      <c r="N276">
        <v>0</v>
      </c>
      <c r="O276">
        <v>0</v>
      </c>
    </row>
    <row r="277" spans="1:16" ht="12.75">
      <c r="A277">
        <v>70</v>
      </c>
      <c r="B277">
        <v>1</v>
      </c>
      <c r="D277">
        <v>1</v>
      </c>
      <c r="E277" t="s">
        <v>258</v>
      </c>
      <c r="F277" t="s">
        <v>259</v>
      </c>
      <c r="G277">
        <v>0.9</v>
      </c>
      <c r="H277">
        <v>1</v>
      </c>
      <c r="I277" t="s">
        <v>260</v>
      </c>
      <c r="J277">
        <v>0</v>
      </c>
      <c r="K277">
        <v>0</v>
      </c>
      <c r="N277">
        <v>0</v>
      </c>
      <c r="O277">
        <v>0.9</v>
      </c>
    </row>
    <row r="278" spans="1:16" ht="12.75">
      <c r="A278">
        <v>70</v>
      </c>
      <c r="B278">
        <v>1</v>
      </c>
      <c r="D278">
        <v>2</v>
      </c>
      <c r="E278" t="s">
        <v>261</v>
      </c>
      <c r="F278" t="s">
        <v>262</v>
      </c>
      <c r="G278">
        <v>0.85</v>
      </c>
      <c r="H278">
        <v>1</v>
      </c>
      <c r="I278" t="s">
        <v>263</v>
      </c>
      <c r="J278">
        <v>0</v>
      </c>
      <c r="K278">
        <v>0</v>
      </c>
      <c r="N278">
        <v>0</v>
      </c>
      <c r="O278">
        <v>0.85</v>
      </c>
    </row>
    <row r="279" spans="1:16" ht="12.75">
      <c r="A279">
        <v>70</v>
      </c>
      <c r="B279">
        <v>1</v>
      </c>
      <c r="D279">
        <v>3</v>
      </c>
      <c r="E279" t="s">
        <v>264</v>
      </c>
      <c r="F279" t="s">
        <v>265</v>
      </c>
      <c r="G279">
        <v>1</v>
      </c>
      <c r="H279">
        <v>0.85</v>
      </c>
      <c r="I279" t="s">
        <v>266</v>
      </c>
      <c r="J279">
        <v>0</v>
      </c>
      <c r="K279">
        <v>0</v>
      </c>
      <c r="N279">
        <v>0</v>
      </c>
      <c r="O279">
        <v>1</v>
      </c>
    </row>
    <row r="280" spans="1:16" ht="12.75">
      <c r="A280">
        <v>70</v>
      </c>
      <c r="B280">
        <v>1</v>
      </c>
      <c r="D280">
        <v>4</v>
      </c>
      <c r="E280" t="s">
        <v>267</v>
      </c>
      <c r="F280" t="s">
        <v>268</v>
      </c>
      <c r="G280">
        <v>1</v>
      </c>
      <c r="H280">
        <v>0</v>
      </c>
      <c r="J280">
        <v>0</v>
      </c>
      <c r="K280">
        <v>0</v>
      </c>
      <c r="N280">
        <v>0</v>
      </c>
      <c r="O280">
        <v>1</v>
      </c>
    </row>
    <row r="281" spans="1:16" ht="12.75">
      <c r="A281">
        <v>70</v>
      </c>
      <c r="B281">
        <v>1</v>
      </c>
      <c r="D281">
        <v>5</v>
      </c>
      <c r="E281" t="s">
        <v>269</v>
      </c>
      <c r="F281" t="s">
        <v>270</v>
      </c>
      <c r="G281">
        <v>1</v>
      </c>
      <c r="H281">
        <v>0.8</v>
      </c>
      <c r="I281" t="s">
        <v>271</v>
      </c>
      <c r="J281">
        <v>0</v>
      </c>
      <c r="K281">
        <v>0</v>
      </c>
      <c r="N281">
        <v>0</v>
      </c>
      <c r="O281">
        <v>1</v>
      </c>
    </row>
    <row r="282" spans="1:16" ht="12.75">
      <c r="A282">
        <v>70</v>
      </c>
      <c r="B282">
        <v>1</v>
      </c>
      <c r="D282">
        <v>6</v>
      </c>
      <c r="E282" t="s">
        <v>272</v>
      </c>
      <c r="F282" t="s">
        <v>273</v>
      </c>
      <c r="G282">
        <v>1</v>
      </c>
      <c r="H282">
        <v>0</v>
      </c>
      <c r="J282">
        <v>0</v>
      </c>
      <c r="K282">
        <v>0</v>
      </c>
      <c r="N282">
        <v>0</v>
      </c>
      <c r="O282">
        <v>0.85</v>
      </c>
    </row>
    <row r="283" spans="1:16" ht="12.75">
      <c r="A283">
        <v>70</v>
      </c>
      <c r="B283">
        <v>1</v>
      </c>
      <c r="D283">
        <v>7</v>
      </c>
      <c r="E283" t="s">
        <v>274</v>
      </c>
      <c r="F283" t="s">
        <v>275</v>
      </c>
      <c r="G283">
        <v>1</v>
      </c>
      <c r="H283">
        <v>0</v>
      </c>
      <c r="J283">
        <v>0</v>
      </c>
      <c r="K283">
        <v>0</v>
      </c>
      <c r="N283">
        <v>0</v>
      </c>
      <c r="O283">
        <v>0.8</v>
      </c>
    </row>
    <row r="284" spans="1:16" ht="12.75">
      <c r="A284">
        <v>70</v>
      </c>
      <c r="B284">
        <v>1</v>
      </c>
      <c r="D284">
        <v>8</v>
      </c>
      <c r="E284" t="s">
        <v>276</v>
      </c>
      <c r="F284" t="s">
        <v>277</v>
      </c>
      <c r="G284">
        <v>0.7</v>
      </c>
      <c r="H284">
        <v>0</v>
      </c>
      <c r="J284">
        <v>0</v>
      </c>
      <c r="K284">
        <v>0</v>
      </c>
      <c r="N284">
        <v>0</v>
      </c>
      <c r="O284">
        <v>0.7</v>
      </c>
    </row>
    <row r="285" spans="1:16" ht="12.75">
      <c r="A285">
        <v>70</v>
      </c>
      <c r="B285">
        <v>1</v>
      </c>
      <c r="D285">
        <v>9</v>
      </c>
      <c r="E285" t="s">
        <v>278</v>
      </c>
      <c r="F285" t="s">
        <v>279</v>
      </c>
      <c r="G285">
        <v>0.9</v>
      </c>
      <c r="H285">
        <v>0</v>
      </c>
      <c r="J285">
        <v>0</v>
      </c>
      <c r="K285">
        <v>0</v>
      </c>
      <c r="N285">
        <v>0</v>
      </c>
      <c r="O285">
        <v>0.9</v>
      </c>
    </row>
    <row r="286" spans="1:16" ht="12.75">
      <c r="A286">
        <v>70</v>
      </c>
      <c r="B286">
        <v>1</v>
      </c>
      <c r="D286">
        <v>10</v>
      </c>
      <c r="E286" t="s">
        <v>280</v>
      </c>
      <c r="F286" t="s">
        <v>281</v>
      </c>
      <c r="G286">
        <v>0.6</v>
      </c>
      <c r="H286">
        <v>0</v>
      </c>
      <c r="J286">
        <v>0</v>
      </c>
      <c r="K286">
        <v>0</v>
      </c>
      <c r="N286">
        <v>0</v>
      </c>
      <c r="O286">
        <v>0.6</v>
      </c>
    </row>
    <row r="287" spans="1:16" ht="12.75">
      <c r="A287">
        <v>70</v>
      </c>
      <c r="B287">
        <v>1</v>
      </c>
      <c r="D287">
        <v>11</v>
      </c>
      <c r="E287" t="s">
        <v>282</v>
      </c>
      <c r="F287" t="s">
        <v>283</v>
      </c>
      <c r="G287">
        <v>1.2</v>
      </c>
      <c r="H287">
        <v>0</v>
      </c>
      <c r="J287">
        <v>0</v>
      </c>
      <c r="K287">
        <v>0</v>
      </c>
      <c r="N287">
        <v>0</v>
      </c>
      <c r="O287">
        <v>1.2</v>
      </c>
    </row>
    <row r="288" spans="1:16" ht="12.75">
      <c r="A288">
        <v>70</v>
      </c>
      <c r="B288">
        <v>1</v>
      </c>
      <c r="D288">
        <v>12</v>
      </c>
      <c r="E288" t="s">
        <v>284</v>
      </c>
      <c r="F288" t="s">
        <v>285</v>
      </c>
      <c r="G288">
        <v>0</v>
      </c>
      <c r="H288">
        <v>0</v>
      </c>
      <c r="J288">
        <v>0</v>
      </c>
      <c r="K288">
        <v>0</v>
      </c>
      <c r="N288">
        <v>0</v>
      </c>
      <c r="O288">
        <v>0</v>
      </c>
    </row>
    <row r="289" spans="1:16" ht="12.75">
      <c r="A289">
        <v>70</v>
      </c>
      <c r="B289">
        <v>1</v>
      </c>
      <c r="D289">
        <v>13</v>
      </c>
      <c r="E289" t="s">
        <v>286</v>
      </c>
      <c r="F289" t="s">
        <v>287</v>
      </c>
      <c r="G289">
        <v>1</v>
      </c>
      <c r="H289">
        <v>0</v>
      </c>
      <c r="J289">
        <v>0</v>
      </c>
      <c r="K289">
        <v>0</v>
      </c>
      <c r="N289">
        <v>0</v>
      </c>
      <c r="O289">
        <v>1</v>
      </c>
    </row>
    <row r="290" spans="1:16" ht="12.75">
      <c r="A290">
        <v>70</v>
      </c>
      <c r="B290">
        <v>1</v>
      </c>
      <c r="D290">
        <v>14</v>
      </c>
      <c r="E290" t="s">
        <v>288</v>
      </c>
      <c r="G290">
        <v>1</v>
      </c>
      <c r="H290">
        <v>0</v>
      </c>
      <c r="J290">
        <v>0</v>
      </c>
      <c r="K290">
        <v>0</v>
      </c>
      <c r="N290">
        <v>0</v>
      </c>
      <c r="O290">
        <v>1</v>
      </c>
    </row>
    <row r="292" ht="12.75">
      <c r="A292">
        <v>-1</v>
      </c>
    </row>
    <row r="294" spans="1:15" ht="12.75">
      <c r="A294" s="4">
        <v>75</v>
      </c>
      <c r="B294" s="4" t="s">
        <v>289</v>
      </c>
      <c r="C294" s="4">
        <v>2000</v>
      </c>
      <c r="D294" s="4">
        <v>0</v>
      </c>
      <c r="E294" s="4">
        <v>1</v>
      </c>
      <c r="F294" s="4">
        <v>0</v>
      </c>
      <c r="G294" s="4">
        <v>0</v>
      </c>
      <c r="H294" s="4">
        <v>1</v>
      </c>
      <c r="I294" s="4">
        <v>0</v>
      </c>
      <c r="J294" s="4">
        <v>1</v>
      </c>
      <c r="K294" s="4">
        <v>0</v>
      </c>
      <c r="L294" s="4">
        <v>0</v>
      </c>
      <c r="M294" s="4">
        <v>0</v>
      </c>
      <c r="N294" s="4">
        <v>50947576</v>
      </c>
      <c r="O294" s="4">
        <v>1</v>
      </c>
    </row>
    <row r="295" spans="1:40" ht="12.75">
      <c r="A295" s="7">
        <v>2</v>
      </c>
      <c r="B295" s="7" t="s">
        <v>290</v>
      </c>
      <c r="C295" s="7" t="s">
        <v>3</v>
      </c>
      <c r="D295" s="7">
        <v>0</v>
      </c>
      <c r="E295" s="7">
        <v>0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>
        <v>50961529</v>
      </c>
    </row>
    <row r="296" spans="1:15" ht="12.75">
      <c r="A296" s="4">
        <v>75</v>
      </c>
      <c r="B296" s="4" t="s">
        <v>291</v>
      </c>
      <c r="C296" s="4">
        <v>2021</v>
      </c>
      <c r="D296" s="4">
        <v>0</v>
      </c>
      <c r="E296" s="4">
        <v>5</v>
      </c>
      <c r="F296" s="4"/>
      <c r="G296" s="4">
        <v>0</v>
      </c>
      <c r="H296" s="4">
        <v>1</v>
      </c>
      <c r="I296" s="4">
        <v>0</v>
      </c>
      <c r="J296" s="4">
        <v>1</v>
      </c>
      <c r="K296" s="4">
        <v>0</v>
      </c>
      <c r="L296" s="4">
        <v>0</v>
      </c>
      <c r="M296" s="4">
        <v>1</v>
      </c>
      <c r="N296" s="4">
        <v>50961513</v>
      </c>
      <c r="O296" s="4">
        <v>2</v>
      </c>
    </row>
    <row r="297" spans="1:40" ht="12.75">
      <c r="A297" s="7">
        <v>1</v>
      </c>
      <c r="B297" s="7" t="s">
        <v>292</v>
      </c>
      <c r="C297" s="7" t="s">
        <v>293</v>
      </c>
      <c r="D297" s="7">
        <v>2021</v>
      </c>
      <c r="E297" s="7">
        <v>5</v>
      </c>
      <c r="F297" s="7">
        <v>1</v>
      </c>
      <c r="G297" s="7">
        <v>1</v>
      </c>
      <c r="H297" s="7">
        <v>0</v>
      </c>
      <c r="I297" s="7">
        <v>2</v>
      </c>
      <c r="J297" s="7">
        <v>1</v>
      </c>
      <c r="K297" s="7">
        <v>1</v>
      </c>
      <c r="L297" s="7">
        <v>1</v>
      </c>
      <c r="M297" s="7">
        <v>1</v>
      </c>
      <c r="N297" s="7">
        <v>1</v>
      </c>
      <c r="O297" s="7">
        <v>1</v>
      </c>
      <c r="P297" s="7">
        <v>1</v>
      </c>
      <c r="Q297" s="7">
        <v>1</v>
      </c>
      <c r="R297" s="7" t="s">
        <v>3</v>
      </c>
      <c r="S297" s="7" t="s">
        <v>3</v>
      </c>
      <c r="T297" s="7" t="s">
        <v>3</v>
      </c>
      <c r="U297" s="7" t="s">
        <v>3</v>
      </c>
      <c r="V297" s="7" t="s">
        <v>3</v>
      </c>
      <c r="W297" s="7" t="s">
        <v>3</v>
      </c>
      <c r="X297" s="7" t="s">
        <v>3</v>
      </c>
      <c r="Y297" s="7" t="s">
        <v>3</v>
      </c>
      <c r="Z297" s="7" t="s">
        <v>3</v>
      </c>
      <c r="AA297" s="7" t="s">
        <v>3</v>
      </c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>
        <v>50961514</v>
      </c>
    </row>
    <row r="301" spans="1:5" ht="12.75">
      <c r="A301">
        <v>65</v>
      </c>
      <c r="C301">
        <v>1</v>
      </c>
      <c r="D301">
        <v>0</v>
      </c>
      <c r="E301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C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  <c r="N1">
        <v>11</v>
      </c>
      <c r="O1">
        <v>3</v>
      </c>
      <c r="P1">
        <v>0</v>
      </c>
      <c r="Q1">
        <v>3</v>
      </c>
    </row>
    <row r="12" spans="1:133" ht="12.75">
      <c r="A12" s="1">
        <v>1</v>
      </c>
      <c r="B12" s="1">
        <v>56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131083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11</v>
      </c>
      <c r="AI12" s="1" t="s">
        <v>12</v>
      </c>
      <c r="AJ12" s="1" t="s">
        <v>13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14</v>
      </c>
      <c r="BI12" s="1" t="s">
        <v>15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16</v>
      </c>
      <c r="BZ12" s="1" t="s">
        <v>17</v>
      </c>
      <c r="CA12" s="1" t="s">
        <v>18</v>
      </c>
      <c r="CB12" s="1" t="s">
        <v>18</v>
      </c>
      <c r="CC12" s="1" t="s">
        <v>18</v>
      </c>
      <c r="CD12" s="1" t="s">
        <v>18</v>
      </c>
      <c r="CE12" s="1" t="s">
        <v>19</v>
      </c>
      <c r="CF12" s="1">
        <v>0</v>
      </c>
      <c r="CG12" s="1">
        <v>0</v>
      </c>
      <c r="CH12" s="1">
        <v>405479432</v>
      </c>
      <c r="CI12" s="1" t="s">
        <v>3</v>
      </c>
      <c r="CJ12" s="1" t="s">
        <v>3</v>
      </c>
      <c r="CK12" s="1">
        <v>5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50947576</v>
      </c>
      <c r="E14" s="1">
        <v>50961513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1</v>
      </c>
      <c r="C16" s="8" t="s">
        <v>3</v>
      </c>
      <c r="D16" s="8" t="s">
        <v>20</v>
      </c>
      <c r="E16" s="9">
        <f>(Source!F206)/1000</f>
        <v>2091.5641299999997</v>
      </c>
      <c r="F16" s="9">
        <f>(Source!F207)/1000</f>
        <v>0</v>
      </c>
      <c r="G16" s="9">
        <f>(Source!F198)/1000</f>
        <v>0</v>
      </c>
      <c r="H16" s="9">
        <f>(Source!F208)/1000+(Source!F209)/1000</f>
        <v>0</v>
      </c>
      <c r="I16" s="9">
        <f>E16+F16+G16+H16</f>
        <v>2091.5641299999997</v>
      </c>
      <c r="J16" s="9">
        <f>(Source!F204)/1000</f>
        <v>2.95585</v>
      </c>
      <c r="T16" s="10">
        <f>(Source!P206)/1000</f>
        <v>2347.72107</v>
      </c>
      <c r="U16" s="10">
        <f>(Source!P207)/1000</f>
        <v>0</v>
      </c>
      <c r="V16" s="10">
        <f>(Source!P198)/1000</f>
        <v>0</v>
      </c>
      <c r="W16" s="10">
        <f>(Source!P208)/1000+(Source!P209)/1000</f>
        <v>0</v>
      </c>
      <c r="X16" s="10">
        <f>T16+U16+V16+W16</f>
        <v>2347.72107</v>
      </c>
      <c r="Y16" s="10">
        <f>(Source!P204)/1000</f>
        <v>100.52855000000001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2086897.6</v>
      </c>
      <c r="AU16" s="9">
        <v>2083357.68</v>
      </c>
      <c r="AV16" s="9">
        <v>0</v>
      </c>
      <c r="AW16" s="9">
        <v>0</v>
      </c>
      <c r="AX16" s="9">
        <v>0</v>
      </c>
      <c r="AY16" s="9">
        <v>584.07</v>
      </c>
      <c r="AZ16" s="9">
        <v>35.55</v>
      </c>
      <c r="BA16" s="9">
        <v>2955.85</v>
      </c>
      <c r="BB16" s="9">
        <v>2091564.13</v>
      </c>
      <c r="BC16" s="9">
        <v>0</v>
      </c>
      <c r="BD16" s="9">
        <v>0</v>
      </c>
      <c r="BE16" s="9">
        <v>0</v>
      </c>
      <c r="BF16" s="9">
        <v>298.55661999999995</v>
      </c>
      <c r="BG16" s="9">
        <v>2.7016999999999998</v>
      </c>
      <c r="BH16" s="9">
        <v>0</v>
      </c>
      <c r="BI16" s="9">
        <v>2481.3</v>
      </c>
      <c r="BJ16" s="9">
        <v>2134.64</v>
      </c>
      <c r="BK16" s="9">
        <v>2091564.13</v>
      </c>
      <c r="BR16" s="10">
        <v>2190182.51</v>
      </c>
      <c r="BS16" s="10">
        <v>2085482.36</v>
      </c>
      <c r="BT16" s="10">
        <v>0</v>
      </c>
      <c r="BU16" s="10">
        <v>0</v>
      </c>
      <c r="BV16" s="10">
        <v>0</v>
      </c>
      <c r="BW16" s="10">
        <v>4171.6</v>
      </c>
      <c r="BX16" s="10">
        <v>1209.12</v>
      </c>
      <c r="BY16" s="10">
        <v>100528.55</v>
      </c>
      <c r="BZ16" s="10">
        <v>2347721.07</v>
      </c>
      <c r="CA16" s="10">
        <v>0</v>
      </c>
      <c r="CB16" s="10">
        <v>0</v>
      </c>
      <c r="CC16" s="10">
        <v>0</v>
      </c>
      <c r="CD16" s="10">
        <v>298.55661999999995</v>
      </c>
      <c r="CE16" s="10">
        <v>2.7016999999999998</v>
      </c>
      <c r="CF16" s="10">
        <v>0</v>
      </c>
      <c r="CG16" s="10">
        <v>84389</v>
      </c>
      <c r="CH16" s="10">
        <v>72598.91</v>
      </c>
      <c r="CI16" s="10">
        <v>2347721.07</v>
      </c>
    </row>
    <row r="18" spans="1:40" ht="12.75">
      <c r="A18">
        <v>51</v>
      </c>
      <c r="E18" s="6">
        <f>SUMIF(A16:A17,3,E16:E17)</f>
        <v>2091.5641299999997</v>
      </c>
      <c r="F18" s="6">
        <f>SUMIF(A16:A17,3,F16:F17)</f>
        <v>0</v>
      </c>
      <c r="G18" s="6">
        <f>SUMIF(A16:A17,3,G16:G17)</f>
        <v>0</v>
      </c>
      <c r="H18" s="6">
        <f>SUMIF(A16:A17,3,H16:H17)</f>
        <v>0</v>
      </c>
      <c r="I18" s="6">
        <f>SUMIF(A16:A17,3,I16:I17)</f>
        <v>2091.5641299999997</v>
      </c>
      <c r="J18" s="6">
        <f>SUMIF(A16:A17,3,J16:J17)</f>
        <v>2.95585</v>
      </c>
      <c r="K18" s="6"/>
      <c r="L18" s="6"/>
      <c r="M18" s="6"/>
      <c r="N18" s="6"/>
      <c r="O18" s="6"/>
      <c r="P18" s="6"/>
      <c r="Q18" s="6"/>
      <c r="R18" s="6"/>
      <c r="S18" s="6"/>
      <c r="T18" s="3">
        <f>SUMIF(A16:A17,3,T16:T17)</f>
        <v>2347.72107</v>
      </c>
      <c r="U18" s="3">
        <f>SUMIF(A16:A17,3,U16:U17)</f>
        <v>0</v>
      </c>
      <c r="V18" s="3">
        <f>SUMIF(A16:A17,3,V16:V17)</f>
        <v>0</v>
      </c>
      <c r="W18" s="3">
        <f>SUMIF(A16:A17,3,W16:W17)</f>
        <v>0</v>
      </c>
      <c r="X18" s="3">
        <f>SUMIF(A16:A17,3,X16:X17)</f>
        <v>2347.72107</v>
      </c>
      <c r="Y18" s="3">
        <f>SUMIF(A16:A17,3,Y16:Y17)</f>
        <v>100.52855000000001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2086897.6</v>
      </c>
      <c r="G20" s="5" t="s">
        <v>85</v>
      </c>
      <c r="H20" s="5" t="s">
        <v>86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2190182.51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2083357.68</v>
      </c>
      <c r="G21" s="5" t="s">
        <v>87</v>
      </c>
      <c r="H21" s="5" t="s">
        <v>88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2085482.36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89</v>
      </c>
      <c r="H22" s="5" t="s">
        <v>90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2083357.68</v>
      </c>
      <c r="G23" s="5" t="s">
        <v>91</v>
      </c>
      <c r="H23" s="5" t="s">
        <v>92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2085482.36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2083357.68</v>
      </c>
      <c r="G24" s="5" t="s">
        <v>93</v>
      </c>
      <c r="H24" s="5" t="s">
        <v>94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2085482.36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95</v>
      </c>
      <c r="H25" s="5" t="s">
        <v>96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2083357.68</v>
      </c>
      <c r="G26" s="5" t="s">
        <v>97</v>
      </c>
      <c r="H26" s="5" t="s">
        <v>98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2085482.36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99</v>
      </c>
      <c r="H27" s="5" t="s">
        <v>100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101</v>
      </c>
      <c r="H28" s="5" t="s">
        <v>102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103</v>
      </c>
      <c r="H29" s="5" t="s">
        <v>104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584.07</v>
      </c>
      <c r="G30" s="5" t="s">
        <v>105</v>
      </c>
      <c r="H30" s="5" t="s">
        <v>106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4171.6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107</v>
      </c>
      <c r="H31" s="5" t="s">
        <v>108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35.55</v>
      </c>
      <c r="G32" s="5" t="s">
        <v>109</v>
      </c>
      <c r="H32" s="5" t="s">
        <v>110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1209.12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2955.85</v>
      </c>
      <c r="G33" s="5" t="s">
        <v>111</v>
      </c>
      <c r="H33" s="5" t="s">
        <v>112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100528.55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113</v>
      </c>
      <c r="H34" s="5" t="s">
        <v>114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2091564.13</v>
      </c>
      <c r="G35" s="5" t="s">
        <v>115</v>
      </c>
      <c r="H35" s="5" t="s">
        <v>116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2347721.07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0</v>
      </c>
      <c r="G36" s="5" t="s">
        <v>117</v>
      </c>
      <c r="H36" s="5" t="s">
        <v>118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119</v>
      </c>
      <c r="H37" s="5" t="s">
        <v>120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0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121</v>
      </c>
      <c r="H38" s="5" t="s">
        <v>122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123</v>
      </c>
      <c r="H39" s="5" t="s">
        <v>124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298.55661999999995</v>
      </c>
      <c r="G40" s="5" t="s">
        <v>125</v>
      </c>
      <c r="H40" s="5" t="s">
        <v>126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298.55661999999995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2.7016999999999998</v>
      </c>
      <c r="G41" s="5" t="s">
        <v>127</v>
      </c>
      <c r="H41" s="5" t="s">
        <v>128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2.7016999999999998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129</v>
      </c>
      <c r="H42" s="5" t="s">
        <v>130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ht="12.75">
      <c r="A43" s="5">
        <v>50</v>
      </c>
      <c r="B43" s="5">
        <v>0</v>
      </c>
      <c r="C43" s="5">
        <v>0</v>
      </c>
      <c r="D43" s="5">
        <v>1</v>
      </c>
      <c r="E43" s="5">
        <v>233</v>
      </c>
      <c r="F43" s="5">
        <v>50.59</v>
      </c>
      <c r="G43" s="5" t="s">
        <v>131</v>
      </c>
      <c r="H43" s="5" t="s">
        <v>132</v>
      </c>
      <c r="I43" s="5"/>
      <c r="J43" s="5"/>
      <c r="K43" s="5">
        <v>233</v>
      </c>
      <c r="L43" s="5">
        <v>24</v>
      </c>
      <c r="M43" s="5">
        <v>3</v>
      </c>
      <c r="N43" s="5" t="s">
        <v>3</v>
      </c>
      <c r="O43" s="5">
        <v>2</v>
      </c>
      <c r="P43" s="5">
        <v>550.65</v>
      </c>
    </row>
    <row r="44" spans="1:16" ht="12.75">
      <c r="A44" s="5">
        <v>50</v>
      </c>
      <c r="B44" s="5">
        <v>0</v>
      </c>
      <c r="C44" s="5">
        <v>0</v>
      </c>
      <c r="D44" s="5">
        <v>1</v>
      </c>
      <c r="E44" s="5">
        <v>210</v>
      </c>
      <c r="F44" s="5">
        <v>2481.3</v>
      </c>
      <c r="G44" s="5" t="s">
        <v>133</v>
      </c>
      <c r="H44" s="5" t="s">
        <v>134</v>
      </c>
      <c r="I44" s="5"/>
      <c r="J44" s="5"/>
      <c r="K44" s="5">
        <v>210</v>
      </c>
      <c r="L44" s="5">
        <v>25</v>
      </c>
      <c r="M44" s="5">
        <v>3</v>
      </c>
      <c r="N44" s="5" t="s">
        <v>3</v>
      </c>
      <c r="O44" s="5">
        <v>2</v>
      </c>
      <c r="P44" s="5">
        <v>84389</v>
      </c>
    </row>
    <row r="45" spans="1:16" ht="12.75">
      <c r="A45" s="5">
        <v>50</v>
      </c>
      <c r="B45" s="5">
        <v>0</v>
      </c>
      <c r="C45" s="5">
        <v>0</v>
      </c>
      <c r="D45" s="5">
        <v>1</v>
      </c>
      <c r="E45" s="5">
        <v>211</v>
      </c>
      <c r="F45" s="5">
        <v>2134.64</v>
      </c>
      <c r="G45" s="5" t="s">
        <v>135</v>
      </c>
      <c r="H45" s="5" t="s">
        <v>136</v>
      </c>
      <c r="I45" s="5"/>
      <c r="J45" s="5"/>
      <c r="K45" s="5">
        <v>211</v>
      </c>
      <c r="L45" s="5">
        <v>26</v>
      </c>
      <c r="M45" s="5">
        <v>3</v>
      </c>
      <c r="N45" s="5" t="s">
        <v>3</v>
      </c>
      <c r="O45" s="5">
        <v>2</v>
      </c>
      <c r="P45" s="5">
        <v>72598.91</v>
      </c>
    </row>
    <row r="46" spans="1:16" ht="12.75">
      <c r="A46" s="5">
        <v>50</v>
      </c>
      <c r="B46" s="5">
        <v>0</v>
      </c>
      <c r="C46" s="5">
        <v>0</v>
      </c>
      <c r="D46" s="5">
        <v>1</v>
      </c>
      <c r="E46" s="5">
        <v>224</v>
      </c>
      <c r="F46" s="5">
        <v>2091564.13</v>
      </c>
      <c r="G46" s="5" t="s">
        <v>137</v>
      </c>
      <c r="H46" s="5" t="s">
        <v>138</v>
      </c>
      <c r="I46" s="5"/>
      <c r="J46" s="5"/>
      <c r="K46" s="5">
        <v>224</v>
      </c>
      <c r="L46" s="5">
        <v>27</v>
      </c>
      <c r="M46" s="5">
        <v>3</v>
      </c>
      <c r="N46" s="5" t="s">
        <v>3</v>
      </c>
      <c r="O46" s="5">
        <v>2</v>
      </c>
      <c r="P46" s="5">
        <v>2347721.07</v>
      </c>
    </row>
    <row r="47" spans="1:16" ht="12.75">
      <c r="A47" s="5">
        <v>50</v>
      </c>
      <c r="B47" s="5">
        <v>1</v>
      </c>
      <c r="C47" s="5">
        <v>0</v>
      </c>
      <c r="D47" s="5">
        <v>2</v>
      </c>
      <c r="E47" s="5">
        <v>0</v>
      </c>
      <c r="F47" s="5">
        <v>2091564.13</v>
      </c>
      <c r="G47" s="5" t="s">
        <v>199</v>
      </c>
      <c r="H47" s="5" t="s">
        <v>137</v>
      </c>
      <c r="I47" s="5"/>
      <c r="J47" s="5"/>
      <c r="K47" s="5">
        <v>212</v>
      </c>
      <c r="L47" s="5">
        <v>28</v>
      </c>
      <c r="M47" s="5">
        <v>0</v>
      </c>
      <c r="N47" s="5" t="s">
        <v>3</v>
      </c>
      <c r="O47" s="5">
        <v>2</v>
      </c>
      <c r="P47" s="5">
        <v>2347721.07</v>
      </c>
    </row>
    <row r="48" spans="1:16" ht="12.75">
      <c r="A48" s="5">
        <v>50</v>
      </c>
      <c r="B48" s="5">
        <v>1</v>
      </c>
      <c r="C48" s="5">
        <v>0</v>
      </c>
      <c r="D48" s="5">
        <v>2</v>
      </c>
      <c r="E48" s="5">
        <v>0</v>
      </c>
      <c r="F48" s="5">
        <v>41831.28</v>
      </c>
      <c r="G48" s="5" t="s">
        <v>200</v>
      </c>
      <c r="H48" s="5" t="s">
        <v>201</v>
      </c>
      <c r="I48" s="5"/>
      <c r="J48" s="5"/>
      <c r="K48" s="5">
        <v>212</v>
      </c>
      <c r="L48" s="5">
        <v>29</v>
      </c>
      <c r="M48" s="5">
        <v>0</v>
      </c>
      <c r="N48" s="5" t="s">
        <v>3</v>
      </c>
      <c r="O48" s="5">
        <v>2</v>
      </c>
      <c r="P48" s="5">
        <v>46954.42</v>
      </c>
    </row>
    <row r="49" spans="1:16" ht="12.75">
      <c r="A49" s="5">
        <v>50</v>
      </c>
      <c r="B49" s="5">
        <v>1</v>
      </c>
      <c r="C49" s="5">
        <v>0</v>
      </c>
      <c r="D49" s="5">
        <v>2</v>
      </c>
      <c r="E49" s="5">
        <v>0</v>
      </c>
      <c r="F49" s="5">
        <v>2133395.41</v>
      </c>
      <c r="G49" s="5" t="s">
        <v>202</v>
      </c>
      <c r="H49" s="5" t="s">
        <v>199</v>
      </c>
      <c r="I49" s="5"/>
      <c r="J49" s="5"/>
      <c r="K49" s="5">
        <v>212</v>
      </c>
      <c r="L49" s="5">
        <v>30</v>
      </c>
      <c r="M49" s="5">
        <v>0</v>
      </c>
      <c r="N49" s="5" t="s">
        <v>3</v>
      </c>
      <c r="O49" s="5">
        <v>2</v>
      </c>
      <c r="P49" s="5">
        <v>2394675.49</v>
      </c>
    </row>
    <row r="50" spans="1:16" ht="12.75">
      <c r="A50" s="5">
        <v>50</v>
      </c>
      <c r="B50" s="5">
        <v>1</v>
      </c>
      <c r="C50" s="5">
        <v>0</v>
      </c>
      <c r="D50" s="5">
        <v>2</v>
      </c>
      <c r="E50" s="5">
        <v>0</v>
      </c>
      <c r="F50" s="5">
        <v>426679.08</v>
      </c>
      <c r="G50" s="5" t="s">
        <v>195</v>
      </c>
      <c r="H50" s="5" t="s">
        <v>203</v>
      </c>
      <c r="I50" s="5"/>
      <c r="J50" s="5"/>
      <c r="K50" s="5">
        <v>212</v>
      </c>
      <c r="L50" s="5">
        <v>31</v>
      </c>
      <c r="M50" s="5">
        <v>0</v>
      </c>
      <c r="N50" s="5" t="s">
        <v>3</v>
      </c>
      <c r="O50" s="5">
        <v>2</v>
      </c>
      <c r="P50" s="5">
        <v>478935.1</v>
      </c>
    </row>
    <row r="51" spans="1:16" ht="12.75">
      <c r="A51" s="5">
        <v>50</v>
      </c>
      <c r="B51" s="5">
        <v>1</v>
      </c>
      <c r="C51" s="5">
        <v>0</v>
      </c>
      <c r="D51" s="5">
        <v>2</v>
      </c>
      <c r="E51" s="5">
        <v>213</v>
      </c>
      <c r="F51" s="5">
        <v>2560074.49</v>
      </c>
      <c r="G51" s="5" t="s">
        <v>204</v>
      </c>
      <c r="H51" s="5" t="s">
        <v>205</v>
      </c>
      <c r="I51" s="5"/>
      <c r="J51" s="5"/>
      <c r="K51" s="5">
        <v>212</v>
      </c>
      <c r="L51" s="5">
        <v>32</v>
      </c>
      <c r="M51" s="5">
        <v>0</v>
      </c>
      <c r="N51" s="5" t="s">
        <v>3</v>
      </c>
      <c r="O51" s="5">
        <v>2</v>
      </c>
      <c r="P51" s="5">
        <v>2873610.59</v>
      </c>
    </row>
    <row r="53" ht="12.75">
      <c r="A53">
        <v>-1</v>
      </c>
    </row>
    <row r="56" spans="1:15" ht="12.75">
      <c r="A56" s="4">
        <v>75</v>
      </c>
      <c r="B56" s="4" t="s">
        <v>289</v>
      </c>
      <c r="C56" s="4">
        <v>2000</v>
      </c>
      <c r="D56" s="4">
        <v>0</v>
      </c>
      <c r="E56" s="4">
        <v>1</v>
      </c>
      <c r="F56" s="4">
        <v>0</v>
      </c>
      <c r="G56" s="4">
        <v>0</v>
      </c>
      <c r="H56" s="4">
        <v>1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50947576</v>
      </c>
      <c r="O56" s="4">
        <v>1</v>
      </c>
    </row>
    <row r="57" spans="1:40" ht="12.75">
      <c r="A57" s="7">
        <v>2</v>
      </c>
      <c r="B57" s="7" t="s">
        <v>290</v>
      </c>
      <c r="C57" s="7" t="s">
        <v>3</v>
      </c>
      <c r="D57" s="7">
        <v>0</v>
      </c>
      <c r="E57" s="7"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>
        <v>50961529</v>
      </c>
    </row>
    <row r="58" spans="1:15" ht="12.75">
      <c r="A58" s="4">
        <v>75</v>
      </c>
      <c r="B58" s="4" t="s">
        <v>291</v>
      </c>
      <c r="C58" s="4">
        <v>2021</v>
      </c>
      <c r="D58" s="4">
        <v>0</v>
      </c>
      <c r="E58" s="4">
        <v>5</v>
      </c>
      <c r="F58" s="4"/>
      <c r="G58" s="4">
        <v>0</v>
      </c>
      <c r="H58" s="4">
        <v>1</v>
      </c>
      <c r="I58" s="4">
        <v>0</v>
      </c>
      <c r="J58" s="4">
        <v>1</v>
      </c>
      <c r="K58" s="4">
        <v>0</v>
      </c>
      <c r="L58" s="4">
        <v>0</v>
      </c>
      <c r="M58" s="4">
        <v>1</v>
      </c>
      <c r="N58" s="4">
        <v>50961513</v>
      </c>
      <c r="O58" s="4">
        <v>2</v>
      </c>
    </row>
    <row r="59" spans="1:40" ht="12.75">
      <c r="A59" s="7">
        <v>1</v>
      </c>
      <c r="B59" s="7" t="s">
        <v>292</v>
      </c>
      <c r="C59" s="7" t="s">
        <v>293</v>
      </c>
      <c r="D59" s="7">
        <v>2021</v>
      </c>
      <c r="E59" s="7">
        <v>5</v>
      </c>
      <c r="F59" s="7">
        <v>1</v>
      </c>
      <c r="G59" s="7">
        <v>1</v>
      </c>
      <c r="H59" s="7">
        <v>0</v>
      </c>
      <c r="I59" s="7">
        <v>2</v>
      </c>
      <c r="J59" s="7">
        <v>1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 t="s">
        <v>3</v>
      </c>
      <c r="S59" s="7" t="s">
        <v>3</v>
      </c>
      <c r="T59" s="7" t="s">
        <v>3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>
        <v>50961514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C1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50947576</v>
      </c>
      <c r="C1">
        <v>50961388</v>
      </c>
      <c r="D1">
        <v>44800255</v>
      </c>
      <c r="E1">
        <v>54</v>
      </c>
      <c r="F1">
        <v>1</v>
      </c>
      <c r="G1">
        <v>1</v>
      </c>
      <c r="H1">
        <v>1</v>
      </c>
      <c r="I1" t="s">
        <v>295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1010519658</v>
      </c>
      <c r="Y1">
        <v>80.73</v>
      </c>
      <c r="AA1">
        <v>0</v>
      </c>
      <c r="AB1">
        <v>0</v>
      </c>
      <c r="AC1">
        <v>0</v>
      </c>
      <c r="AD1">
        <v>8.64</v>
      </c>
      <c r="AE1">
        <v>0</v>
      </c>
      <c r="AF1">
        <v>0</v>
      </c>
      <c r="AG1">
        <v>0</v>
      </c>
      <c r="AH1">
        <v>8.64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70.2</v>
      </c>
      <c r="AU1" t="s">
        <v>32</v>
      </c>
      <c r="AV1">
        <v>1</v>
      </c>
      <c r="AW1">
        <v>2</v>
      </c>
      <c r="AX1">
        <v>50961389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11.302200000000001</v>
      </c>
      <c r="CY1">
        <f>AD1</f>
        <v>8.64</v>
      </c>
      <c r="CZ1">
        <f>AH1</f>
        <v>8.64</v>
      </c>
      <c r="DA1">
        <f>AL1</f>
        <v>1</v>
      </c>
      <c r="DB1">
        <f>ROUND((ROUND(AT1*CZ1,2)*ROUND(1.15,7)),6)</f>
        <v>697.5095</v>
      </c>
      <c r="DC1">
        <f>ROUND((ROUND(AT1*AG1,2)*ROUND(1.15,7)),6)</f>
        <v>0</v>
      </c>
    </row>
    <row r="2" spans="1:107" ht="12.75">
      <c r="A2">
        <f>ROW(Source!A28)</f>
        <v>28</v>
      </c>
      <c r="B2">
        <v>50947576</v>
      </c>
      <c r="C2">
        <v>50961388</v>
      </c>
      <c r="D2">
        <v>44800452</v>
      </c>
      <c r="E2">
        <v>54</v>
      </c>
      <c r="F2">
        <v>1</v>
      </c>
      <c r="G2">
        <v>1</v>
      </c>
      <c r="H2">
        <v>1</v>
      </c>
      <c r="I2" t="s">
        <v>298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0.22499999999999998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0.18</v>
      </c>
      <c r="AU2" t="s">
        <v>31</v>
      </c>
      <c r="AV2">
        <v>2</v>
      </c>
      <c r="AW2">
        <v>2</v>
      </c>
      <c r="AX2">
        <v>50961390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0.0315</v>
      </c>
      <c r="CY2">
        <f>AD2</f>
        <v>0</v>
      </c>
      <c r="CZ2">
        <f>AH2</f>
        <v>0</v>
      </c>
      <c r="DA2">
        <f>AL2</f>
        <v>1</v>
      </c>
      <c r="DB2">
        <f>ROUND((ROUND(AT2*CZ2,2)*ROUND(1.25,7)),6)</f>
        <v>0</v>
      </c>
      <c r="DC2">
        <f>ROUND((ROUND(AT2*AG2,2)*ROUND(1.25,7)),6)</f>
        <v>0</v>
      </c>
    </row>
    <row r="3" spans="1:107" ht="12.75">
      <c r="A3">
        <f>ROW(Source!A28)</f>
        <v>28</v>
      </c>
      <c r="B3">
        <v>50947576</v>
      </c>
      <c r="C3">
        <v>50961388</v>
      </c>
      <c r="D3">
        <v>44977280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-1057454432</v>
      </c>
      <c r="Y3">
        <v>0.22499999999999998</v>
      </c>
      <c r="AA3">
        <v>0</v>
      </c>
      <c r="AB3">
        <v>65.71</v>
      </c>
      <c r="AC3">
        <v>11.6</v>
      </c>
      <c r="AD3">
        <v>0</v>
      </c>
      <c r="AE3">
        <v>0</v>
      </c>
      <c r="AF3">
        <v>65.71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0.18</v>
      </c>
      <c r="AU3" t="s">
        <v>31</v>
      </c>
      <c r="AV3">
        <v>0</v>
      </c>
      <c r="AW3">
        <v>2</v>
      </c>
      <c r="AX3">
        <v>50961391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0.0315</v>
      </c>
      <c r="CY3">
        <f>AB3</f>
        <v>65.71</v>
      </c>
      <c r="CZ3">
        <f>AF3</f>
        <v>65.71</v>
      </c>
      <c r="DA3">
        <f>AJ3</f>
        <v>1</v>
      </c>
      <c r="DB3">
        <f>ROUND((ROUND(AT3*CZ3,2)*ROUND(1.25,7)),6)</f>
        <v>14.7875</v>
      </c>
      <c r="DC3">
        <f>ROUND((ROUND(AT3*AG3,2)*ROUND(1.25,7)),6)</f>
        <v>2.6125</v>
      </c>
    </row>
    <row r="4" spans="1:107" ht="12.75">
      <c r="A4">
        <f>ROW(Source!A28)</f>
        <v>28</v>
      </c>
      <c r="B4">
        <v>50947576</v>
      </c>
      <c r="C4">
        <v>50961388</v>
      </c>
      <c r="D4">
        <v>44815662</v>
      </c>
      <c r="E4">
        <v>1</v>
      </c>
      <c r="F4">
        <v>1</v>
      </c>
      <c r="G4">
        <v>1</v>
      </c>
      <c r="H4">
        <v>3</v>
      </c>
      <c r="I4" t="s">
        <v>304</v>
      </c>
      <c r="J4" t="s">
        <v>305</v>
      </c>
      <c r="K4" t="s">
        <v>306</v>
      </c>
      <c r="L4">
        <v>1339</v>
      </c>
      <c r="N4">
        <v>1007</v>
      </c>
      <c r="O4" t="s">
        <v>70</v>
      </c>
      <c r="P4" t="s">
        <v>70</v>
      </c>
      <c r="Q4">
        <v>1</v>
      </c>
      <c r="W4">
        <v>0</v>
      </c>
      <c r="X4">
        <v>-1247958079</v>
      </c>
      <c r="Y4">
        <v>0.008</v>
      </c>
      <c r="AA4">
        <v>1100</v>
      </c>
      <c r="AB4">
        <v>0</v>
      </c>
      <c r="AC4">
        <v>0</v>
      </c>
      <c r="AD4">
        <v>0</v>
      </c>
      <c r="AE4">
        <v>1100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0.008</v>
      </c>
      <c r="AV4">
        <v>0</v>
      </c>
      <c r="AW4">
        <v>2</v>
      </c>
      <c r="AX4">
        <v>50961392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0.0011200000000000001</v>
      </c>
      <c r="CY4">
        <f>AA4</f>
        <v>1100</v>
      </c>
      <c r="CZ4">
        <f>AE4</f>
        <v>1100</v>
      </c>
      <c r="DA4">
        <f>AI4</f>
        <v>1</v>
      </c>
      <c r="DB4">
        <f>ROUND(ROUND(AT4*CZ4,2),6)</f>
        <v>8.8</v>
      </c>
      <c r="DC4">
        <f>ROUND(ROUND(AT4*AG4,2),6)</f>
        <v>0</v>
      </c>
    </row>
    <row r="5" spans="1:107" ht="12.75">
      <c r="A5">
        <f>ROW(Source!A28)</f>
        <v>28</v>
      </c>
      <c r="B5">
        <v>50947576</v>
      </c>
      <c r="C5">
        <v>50961388</v>
      </c>
      <c r="D5">
        <v>44815664</v>
      </c>
      <c r="E5">
        <v>1</v>
      </c>
      <c r="F5">
        <v>1</v>
      </c>
      <c r="G5">
        <v>1</v>
      </c>
      <c r="H5">
        <v>3</v>
      </c>
      <c r="I5" t="s">
        <v>307</v>
      </c>
      <c r="J5" t="s">
        <v>308</v>
      </c>
      <c r="K5" t="s">
        <v>309</v>
      </c>
      <c r="L5">
        <v>1348</v>
      </c>
      <c r="N5">
        <v>1009</v>
      </c>
      <c r="O5" t="s">
        <v>50</v>
      </c>
      <c r="P5" t="s">
        <v>50</v>
      </c>
      <c r="Q5">
        <v>1000</v>
      </c>
      <c r="W5">
        <v>0</v>
      </c>
      <c r="X5">
        <v>-1785850303</v>
      </c>
      <c r="Y5">
        <v>0.029</v>
      </c>
      <c r="AA5">
        <v>6102</v>
      </c>
      <c r="AB5">
        <v>0</v>
      </c>
      <c r="AC5">
        <v>0</v>
      </c>
      <c r="AD5">
        <v>0</v>
      </c>
      <c r="AE5">
        <v>6102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0.029</v>
      </c>
      <c r="AV5">
        <v>0</v>
      </c>
      <c r="AW5">
        <v>2</v>
      </c>
      <c r="AX5">
        <v>50961393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0.00406</v>
      </c>
      <c r="CY5">
        <f>AA5</f>
        <v>6102</v>
      </c>
      <c r="CZ5">
        <f>AE5</f>
        <v>6102</v>
      </c>
      <c r="DA5">
        <f>AI5</f>
        <v>1</v>
      </c>
      <c r="DB5">
        <f>ROUND(ROUND(AT5*CZ5,2),6)</f>
        <v>176.96</v>
      </c>
      <c r="DC5">
        <f>ROUND(ROUND(AT5*AG5,2),6)</f>
        <v>0</v>
      </c>
    </row>
    <row r="6" spans="1:107" ht="12.75">
      <c r="A6">
        <f>ROW(Source!A28)</f>
        <v>28</v>
      </c>
      <c r="B6">
        <v>50947576</v>
      </c>
      <c r="C6">
        <v>50961388</v>
      </c>
      <c r="D6">
        <v>44841949</v>
      </c>
      <c r="E6">
        <v>1</v>
      </c>
      <c r="F6">
        <v>1</v>
      </c>
      <c r="G6">
        <v>1</v>
      </c>
      <c r="H6">
        <v>3</v>
      </c>
      <c r="I6" t="s">
        <v>310</v>
      </c>
      <c r="J6" t="s">
        <v>311</v>
      </c>
      <c r="K6" t="s">
        <v>312</v>
      </c>
      <c r="L6">
        <v>1327</v>
      </c>
      <c r="N6">
        <v>1005</v>
      </c>
      <c r="O6" t="s">
        <v>174</v>
      </c>
      <c r="P6" t="s">
        <v>174</v>
      </c>
      <c r="Q6">
        <v>1</v>
      </c>
      <c r="W6">
        <v>0</v>
      </c>
      <c r="X6">
        <v>-1448376696</v>
      </c>
      <c r="Y6">
        <v>5.5</v>
      </c>
      <c r="AA6">
        <v>35.22</v>
      </c>
      <c r="AB6">
        <v>0</v>
      </c>
      <c r="AC6">
        <v>0</v>
      </c>
      <c r="AD6">
        <v>0</v>
      </c>
      <c r="AE6">
        <v>35.22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5.5</v>
      </c>
      <c r="AV6">
        <v>0</v>
      </c>
      <c r="AW6">
        <v>2</v>
      </c>
      <c r="AX6">
        <v>50961394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0.77</v>
      </c>
      <c r="CY6">
        <f>AA6</f>
        <v>35.22</v>
      </c>
      <c r="CZ6">
        <f>AE6</f>
        <v>35.22</v>
      </c>
      <c r="DA6">
        <f>AI6</f>
        <v>1</v>
      </c>
      <c r="DB6">
        <f>ROUND(ROUND(AT6*CZ6,2),6)</f>
        <v>193.71</v>
      </c>
      <c r="DC6">
        <f>ROUND(ROUND(AT6*AG6,2),6)</f>
        <v>0</v>
      </c>
    </row>
    <row r="7" spans="1:107" ht="12.75">
      <c r="A7">
        <f>ROW(Source!A29)</f>
        <v>29</v>
      </c>
      <c r="B7">
        <v>50961513</v>
      </c>
      <c r="C7">
        <v>50961388</v>
      </c>
      <c r="D7">
        <v>44800255</v>
      </c>
      <c r="E7">
        <v>54</v>
      </c>
      <c r="F7">
        <v>1</v>
      </c>
      <c r="G7">
        <v>1</v>
      </c>
      <c r="H7">
        <v>1</v>
      </c>
      <c r="I7" t="s">
        <v>295</v>
      </c>
      <c r="K7" t="s">
        <v>296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1010519658</v>
      </c>
      <c r="Y7">
        <v>80.73</v>
      </c>
      <c r="AA7">
        <v>0</v>
      </c>
      <c r="AB7">
        <v>0</v>
      </c>
      <c r="AC7">
        <v>0</v>
      </c>
      <c r="AD7">
        <v>8.64</v>
      </c>
      <c r="AE7">
        <v>0</v>
      </c>
      <c r="AF7">
        <v>0</v>
      </c>
      <c r="AG7">
        <v>0</v>
      </c>
      <c r="AH7">
        <v>8.64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70.2</v>
      </c>
      <c r="AU7" t="s">
        <v>32</v>
      </c>
      <c r="AV7">
        <v>1</v>
      </c>
      <c r="AW7">
        <v>2</v>
      </c>
      <c r="AX7">
        <v>50961389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Y7*Source!I29</f>
        <v>11.302200000000001</v>
      </c>
      <c r="CY7">
        <f>AD7</f>
        <v>8.64</v>
      </c>
      <c r="CZ7">
        <f>AH7</f>
        <v>8.64</v>
      </c>
      <c r="DA7">
        <f>AL7</f>
        <v>1</v>
      </c>
      <c r="DB7">
        <f>ROUND((ROUND(AT7*CZ7,2)*ROUND(1.15,7)),6)</f>
        <v>697.5095</v>
      </c>
      <c r="DC7">
        <f>ROUND((ROUND(AT7*AG7,2)*ROUND(1.15,7)),6)</f>
        <v>0</v>
      </c>
    </row>
    <row r="8" spans="1:107" ht="12.75">
      <c r="A8">
        <f>ROW(Source!A29)</f>
        <v>29</v>
      </c>
      <c r="B8">
        <v>50961513</v>
      </c>
      <c r="C8">
        <v>50961388</v>
      </c>
      <c r="D8">
        <v>44800452</v>
      </c>
      <c r="E8">
        <v>54</v>
      </c>
      <c r="F8">
        <v>1</v>
      </c>
      <c r="G8">
        <v>1</v>
      </c>
      <c r="H8">
        <v>1</v>
      </c>
      <c r="I8" t="s">
        <v>298</v>
      </c>
      <c r="K8" t="s">
        <v>299</v>
      </c>
      <c r="L8">
        <v>1191</v>
      </c>
      <c r="N8">
        <v>1013</v>
      </c>
      <c r="O8" t="s">
        <v>297</v>
      </c>
      <c r="P8" t="s">
        <v>297</v>
      </c>
      <c r="Q8">
        <v>1</v>
      </c>
      <c r="W8">
        <v>0</v>
      </c>
      <c r="X8">
        <v>-1417349443</v>
      </c>
      <c r="Y8">
        <v>0.22499999999999998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0.18</v>
      </c>
      <c r="AU8" t="s">
        <v>31</v>
      </c>
      <c r="AV8">
        <v>2</v>
      </c>
      <c r="AW8">
        <v>2</v>
      </c>
      <c r="AX8">
        <v>50961390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Y8*Source!I29</f>
        <v>0.0315</v>
      </c>
      <c r="CY8">
        <f>AD8</f>
        <v>0</v>
      </c>
      <c r="CZ8">
        <f>AH8</f>
        <v>0</v>
      </c>
      <c r="DA8">
        <f>AL8</f>
        <v>1</v>
      </c>
      <c r="DB8">
        <f>ROUND((ROUND(AT8*CZ8,2)*ROUND(1.25,7)),6)</f>
        <v>0</v>
      </c>
      <c r="DC8">
        <f>ROUND((ROUND(AT8*AG8,2)*ROUND(1.25,7)),6)</f>
        <v>0</v>
      </c>
    </row>
    <row r="9" spans="1:107" ht="12.75">
      <c r="A9">
        <f>ROW(Source!A29)</f>
        <v>29</v>
      </c>
      <c r="B9">
        <v>50961513</v>
      </c>
      <c r="C9">
        <v>50961388</v>
      </c>
      <c r="D9">
        <v>44977280</v>
      </c>
      <c r="E9">
        <v>1</v>
      </c>
      <c r="F9">
        <v>1</v>
      </c>
      <c r="G9">
        <v>1</v>
      </c>
      <c r="H9">
        <v>2</v>
      </c>
      <c r="I9" t="s">
        <v>300</v>
      </c>
      <c r="J9" t="s">
        <v>301</v>
      </c>
      <c r="K9" t="s">
        <v>302</v>
      </c>
      <c r="L9">
        <v>1368</v>
      </c>
      <c r="N9">
        <v>1011</v>
      </c>
      <c r="O9" t="s">
        <v>303</v>
      </c>
      <c r="P9" t="s">
        <v>303</v>
      </c>
      <c r="Q9">
        <v>1</v>
      </c>
      <c r="W9">
        <v>0</v>
      </c>
      <c r="X9">
        <v>-1057454432</v>
      </c>
      <c r="Y9">
        <v>0.22499999999999998</v>
      </c>
      <c r="AA9">
        <v>0</v>
      </c>
      <c r="AB9">
        <v>758.95</v>
      </c>
      <c r="AC9">
        <v>394.52</v>
      </c>
      <c r="AD9">
        <v>0</v>
      </c>
      <c r="AE9">
        <v>0</v>
      </c>
      <c r="AF9">
        <v>65.71</v>
      </c>
      <c r="AG9">
        <v>11.6</v>
      </c>
      <c r="AH9">
        <v>0</v>
      </c>
      <c r="AI9">
        <v>1</v>
      </c>
      <c r="AJ9">
        <v>11.55</v>
      </c>
      <c r="AK9">
        <v>34.01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0.18</v>
      </c>
      <c r="AU9" t="s">
        <v>31</v>
      </c>
      <c r="AV9">
        <v>0</v>
      </c>
      <c r="AW9">
        <v>2</v>
      </c>
      <c r="AX9">
        <v>50961391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Y9*Source!I29</f>
        <v>0.0315</v>
      </c>
      <c r="CY9">
        <f>AB9</f>
        <v>758.95</v>
      </c>
      <c r="CZ9">
        <f>AF9</f>
        <v>65.71</v>
      </c>
      <c r="DA9">
        <f>AJ9</f>
        <v>11.55</v>
      </c>
      <c r="DB9">
        <f>ROUND((ROUND(AT9*CZ9,2)*ROUND(1.25,7)),6)</f>
        <v>14.7875</v>
      </c>
      <c r="DC9">
        <f>ROUND((ROUND(AT9*AG9,2)*ROUND(1.25,7)),6)</f>
        <v>2.6125</v>
      </c>
    </row>
    <row r="10" spans="1:107" ht="12.75">
      <c r="A10">
        <f>ROW(Source!A29)</f>
        <v>29</v>
      </c>
      <c r="B10">
        <v>50961513</v>
      </c>
      <c r="C10">
        <v>50961388</v>
      </c>
      <c r="D10">
        <v>44815662</v>
      </c>
      <c r="E10">
        <v>1</v>
      </c>
      <c r="F10">
        <v>1</v>
      </c>
      <c r="G10">
        <v>1</v>
      </c>
      <c r="H10">
        <v>3</v>
      </c>
      <c r="I10" t="s">
        <v>304</v>
      </c>
      <c r="J10" t="s">
        <v>305</v>
      </c>
      <c r="K10" t="s">
        <v>306</v>
      </c>
      <c r="L10">
        <v>1339</v>
      </c>
      <c r="N10">
        <v>1007</v>
      </c>
      <c r="O10" t="s">
        <v>70</v>
      </c>
      <c r="P10" t="s">
        <v>70</v>
      </c>
      <c r="Q10">
        <v>1</v>
      </c>
      <c r="W10">
        <v>0</v>
      </c>
      <c r="X10">
        <v>-1247958079</v>
      </c>
      <c r="Y10">
        <v>0.008</v>
      </c>
      <c r="AA10">
        <v>4895</v>
      </c>
      <c r="AB10">
        <v>0</v>
      </c>
      <c r="AC10">
        <v>0</v>
      </c>
      <c r="AD10">
        <v>0</v>
      </c>
      <c r="AE10">
        <v>1100</v>
      </c>
      <c r="AF10">
        <v>0</v>
      </c>
      <c r="AG10">
        <v>0</v>
      </c>
      <c r="AH10">
        <v>0</v>
      </c>
      <c r="AI10">
        <v>4.45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0.008</v>
      </c>
      <c r="AV10">
        <v>0</v>
      </c>
      <c r="AW10">
        <v>2</v>
      </c>
      <c r="AX10">
        <v>50961392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0.0011200000000000001</v>
      </c>
      <c r="CY10">
        <f>AA10</f>
        <v>4895</v>
      </c>
      <c r="CZ10">
        <f>AE10</f>
        <v>1100</v>
      </c>
      <c r="DA10">
        <f>AI10</f>
        <v>4.45</v>
      </c>
      <c r="DB10">
        <f aca="true" t="shared" si="0" ref="DB10:DB20">ROUND(ROUND(AT10*CZ10,2),6)</f>
        <v>8.8</v>
      </c>
      <c r="DC10">
        <f aca="true" t="shared" si="1" ref="DC10:DC20">ROUND(ROUND(AT10*AG10,2),6)</f>
        <v>0</v>
      </c>
    </row>
    <row r="11" spans="1:107" ht="12.75">
      <c r="A11">
        <f>ROW(Source!A29)</f>
        <v>29</v>
      </c>
      <c r="B11">
        <v>50961513</v>
      </c>
      <c r="C11">
        <v>50961388</v>
      </c>
      <c r="D11">
        <v>44815664</v>
      </c>
      <c r="E11">
        <v>1</v>
      </c>
      <c r="F11">
        <v>1</v>
      </c>
      <c r="G11">
        <v>1</v>
      </c>
      <c r="H11">
        <v>3</v>
      </c>
      <c r="I11" t="s">
        <v>307</v>
      </c>
      <c r="J11" t="s">
        <v>308</v>
      </c>
      <c r="K11" t="s">
        <v>309</v>
      </c>
      <c r="L11">
        <v>1348</v>
      </c>
      <c r="N11">
        <v>1009</v>
      </c>
      <c r="O11" t="s">
        <v>50</v>
      </c>
      <c r="P11" t="s">
        <v>50</v>
      </c>
      <c r="Q11">
        <v>1000</v>
      </c>
      <c r="W11">
        <v>0</v>
      </c>
      <c r="X11">
        <v>-1785850303</v>
      </c>
      <c r="Y11">
        <v>0.029</v>
      </c>
      <c r="AA11">
        <v>36367.92</v>
      </c>
      <c r="AB11">
        <v>0</v>
      </c>
      <c r="AC11">
        <v>0</v>
      </c>
      <c r="AD11">
        <v>0</v>
      </c>
      <c r="AE11">
        <v>6102</v>
      </c>
      <c r="AF11">
        <v>0</v>
      </c>
      <c r="AG11">
        <v>0</v>
      </c>
      <c r="AH11">
        <v>0</v>
      </c>
      <c r="AI11">
        <v>5.96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0.029</v>
      </c>
      <c r="AV11">
        <v>0</v>
      </c>
      <c r="AW11">
        <v>2</v>
      </c>
      <c r="AX11">
        <v>50961393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0.00406</v>
      </c>
      <c r="CY11">
        <f>AA11</f>
        <v>36367.92</v>
      </c>
      <c r="CZ11">
        <f>AE11</f>
        <v>6102</v>
      </c>
      <c r="DA11">
        <f>AI11</f>
        <v>5.96</v>
      </c>
      <c r="DB11">
        <f t="shared" si="0"/>
        <v>176.96</v>
      </c>
      <c r="DC11">
        <f t="shared" si="1"/>
        <v>0</v>
      </c>
    </row>
    <row r="12" spans="1:107" ht="12.75">
      <c r="A12">
        <f>ROW(Source!A29)</f>
        <v>29</v>
      </c>
      <c r="B12">
        <v>50961513</v>
      </c>
      <c r="C12">
        <v>50961388</v>
      </c>
      <c r="D12">
        <v>44841949</v>
      </c>
      <c r="E12">
        <v>1</v>
      </c>
      <c r="F12">
        <v>1</v>
      </c>
      <c r="G12">
        <v>1</v>
      </c>
      <c r="H12">
        <v>3</v>
      </c>
      <c r="I12" t="s">
        <v>310</v>
      </c>
      <c r="J12" t="s">
        <v>311</v>
      </c>
      <c r="K12" t="s">
        <v>312</v>
      </c>
      <c r="L12">
        <v>1327</v>
      </c>
      <c r="N12">
        <v>1005</v>
      </c>
      <c r="O12" t="s">
        <v>174</v>
      </c>
      <c r="P12" t="s">
        <v>174</v>
      </c>
      <c r="Q12">
        <v>1</v>
      </c>
      <c r="W12">
        <v>0</v>
      </c>
      <c r="X12">
        <v>-1448376696</v>
      </c>
      <c r="Y12">
        <v>5.5</v>
      </c>
      <c r="AA12">
        <v>431.45</v>
      </c>
      <c r="AB12">
        <v>0</v>
      </c>
      <c r="AC12">
        <v>0</v>
      </c>
      <c r="AD12">
        <v>0</v>
      </c>
      <c r="AE12">
        <v>35.22</v>
      </c>
      <c r="AF12">
        <v>0</v>
      </c>
      <c r="AG12">
        <v>0</v>
      </c>
      <c r="AH12">
        <v>0</v>
      </c>
      <c r="AI12">
        <v>12.25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5.5</v>
      </c>
      <c r="AV12">
        <v>0</v>
      </c>
      <c r="AW12">
        <v>2</v>
      </c>
      <c r="AX12">
        <v>50961394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0.77</v>
      </c>
      <c r="CY12">
        <f>AA12</f>
        <v>431.45</v>
      </c>
      <c r="CZ12">
        <f>AE12</f>
        <v>35.22</v>
      </c>
      <c r="DA12">
        <f>AI12</f>
        <v>12.25</v>
      </c>
      <c r="DB12">
        <f t="shared" si="0"/>
        <v>193.71</v>
      </c>
      <c r="DC12">
        <f t="shared" si="1"/>
        <v>0</v>
      </c>
    </row>
    <row r="13" spans="1:107" ht="12.75">
      <c r="A13">
        <f>ROW(Source!A30)</f>
        <v>30</v>
      </c>
      <c r="B13">
        <v>50947576</v>
      </c>
      <c r="C13">
        <v>50961369</v>
      </c>
      <c r="D13">
        <v>49459365</v>
      </c>
      <c r="E13">
        <v>58</v>
      </c>
      <c r="F13">
        <v>1</v>
      </c>
      <c r="G13">
        <v>1</v>
      </c>
      <c r="H13">
        <v>1</v>
      </c>
      <c r="I13" t="s">
        <v>313</v>
      </c>
      <c r="K13" t="s">
        <v>314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-228054128</v>
      </c>
      <c r="Y13">
        <v>46.11</v>
      </c>
      <c r="AA13">
        <v>0</v>
      </c>
      <c r="AB13">
        <v>0</v>
      </c>
      <c r="AC13">
        <v>0</v>
      </c>
      <c r="AD13">
        <v>8.02</v>
      </c>
      <c r="AE13">
        <v>0</v>
      </c>
      <c r="AF13">
        <v>0</v>
      </c>
      <c r="AG13">
        <v>0</v>
      </c>
      <c r="AH13">
        <v>8.02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46.11</v>
      </c>
      <c r="AV13">
        <v>1</v>
      </c>
      <c r="AW13">
        <v>2</v>
      </c>
      <c r="AX13">
        <v>50961370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1.8444</v>
      </c>
      <c r="CY13">
        <f>AD13</f>
        <v>8.02</v>
      </c>
      <c r="CZ13">
        <f>AH13</f>
        <v>8.02</v>
      </c>
      <c r="DA13">
        <f>AL13</f>
        <v>1</v>
      </c>
      <c r="DB13">
        <f t="shared" si="0"/>
        <v>369.8</v>
      </c>
      <c r="DC13">
        <f t="shared" si="1"/>
        <v>0</v>
      </c>
    </row>
    <row r="14" spans="1:107" ht="12.75">
      <c r="A14">
        <f>ROW(Source!A30)</f>
        <v>30</v>
      </c>
      <c r="B14">
        <v>50947576</v>
      </c>
      <c r="C14">
        <v>50961369</v>
      </c>
      <c r="D14">
        <v>49459566</v>
      </c>
      <c r="E14">
        <v>58</v>
      </c>
      <c r="F14">
        <v>1</v>
      </c>
      <c r="G14">
        <v>1</v>
      </c>
      <c r="H14">
        <v>1</v>
      </c>
      <c r="I14" t="s">
        <v>315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-1173606021</v>
      </c>
      <c r="Y14">
        <v>0.93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0.93</v>
      </c>
      <c r="AV14">
        <v>2</v>
      </c>
      <c r="AW14">
        <v>2</v>
      </c>
      <c r="AX14">
        <v>50961371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0.037200000000000004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</row>
    <row r="15" spans="1:107" ht="12.75">
      <c r="A15">
        <f>ROW(Source!A30)</f>
        <v>30</v>
      </c>
      <c r="B15">
        <v>50947576</v>
      </c>
      <c r="C15">
        <v>50961369</v>
      </c>
      <c r="D15">
        <v>49620537</v>
      </c>
      <c r="E15">
        <v>1</v>
      </c>
      <c r="F15">
        <v>1</v>
      </c>
      <c r="G15">
        <v>1</v>
      </c>
      <c r="H15">
        <v>2</v>
      </c>
      <c r="I15" t="s">
        <v>316</v>
      </c>
      <c r="J15" t="s">
        <v>317</v>
      </c>
      <c r="K15" t="s">
        <v>318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-1360328220</v>
      </c>
      <c r="Y15">
        <v>0.93</v>
      </c>
      <c r="AA15">
        <v>0</v>
      </c>
      <c r="AB15">
        <v>31.26</v>
      </c>
      <c r="AC15">
        <v>13.5</v>
      </c>
      <c r="AD15">
        <v>0</v>
      </c>
      <c r="AE15">
        <v>0</v>
      </c>
      <c r="AF15">
        <v>31.26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0.93</v>
      </c>
      <c r="AV15">
        <v>0</v>
      </c>
      <c r="AW15">
        <v>2</v>
      </c>
      <c r="AX15">
        <v>50961372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0.037200000000000004</v>
      </c>
      <c r="CY15">
        <f>AB15</f>
        <v>31.26</v>
      </c>
      <c r="CZ15">
        <f>AF15</f>
        <v>31.26</v>
      </c>
      <c r="DA15">
        <f>AJ15</f>
        <v>1</v>
      </c>
      <c r="DB15">
        <f t="shared" si="0"/>
        <v>29.07</v>
      </c>
      <c r="DC15">
        <f t="shared" si="1"/>
        <v>12.56</v>
      </c>
    </row>
    <row r="16" spans="1:107" ht="12.75">
      <c r="A16">
        <f>ROW(Source!A30)</f>
        <v>30</v>
      </c>
      <c r="B16">
        <v>50947576</v>
      </c>
      <c r="C16">
        <v>50961369</v>
      </c>
      <c r="D16">
        <v>49463934</v>
      </c>
      <c r="E16">
        <v>58</v>
      </c>
      <c r="F16">
        <v>1</v>
      </c>
      <c r="G16">
        <v>1</v>
      </c>
      <c r="H16">
        <v>3</v>
      </c>
      <c r="I16" t="s">
        <v>48</v>
      </c>
      <c r="K16" t="s">
        <v>49</v>
      </c>
      <c r="L16">
        <v>1348</v>
      </c>
      <c r="N16">
        <v>1009</v>
      </c>
      <c r="O16" t="s">
        <v>50</v>
      </c>
      <c r="P16" t="s">
        <v>50</v>
      </c>
      <c r="Q16">
        <v>1000</v>
      </c>
      <c r="W16">
        <v>0</v>
      </c>
      <c r="X16">
        <v>2102561428</v>
      </c>
      <c r="Y16">
        <v>3.42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3.42</v>
      </c>
      <c r="AV16">
        <v>0</v>
      </c>
      <c r="AW16">
        <v>2</v>
      </c>
      <c r="AX16">
        <v>50961373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0.1368</v>
      </c>
      <c r="CY16">
        <f>AA16</f>
        <v>0</v>
      </c>
      <c r="CZ16">
        <f>AE16</f>
        <v>0</v>
      </c>
      <c r="DA16">
        <f>AI16</f>
        <v>1</v>
      </c>
      <c r="DB16">
        <f t="shared" si="0"/>
        <v>0</v>
      </c>
      <c r="DC16">
        <f t="shared" si="1"/>
        <v>0</v>
      </c>
    </row>
    <row r="17" spans="1:107" ht="12.75">
      <c r="A17">
        <f>ROW(Source!A31)</f>
        <v>31</v>
      </c>
      <c r="B17">
        <v>50961513</v>
      </c>
      <c r="C17">
        <v>50961369</v>
      </c>
      <c r="D17">
        <v>49459365</v>
      </c>
      <c r="E17">
        <v>58</v>
      </c>
      <c r="F17">
        <v>1</v>
      </c>
      <c r="G17">
        <v>1</v>
      </c>
      <c r="H17">
        <v>1</v>
      </c>
      <c r="I17" t="s">
        <v>313</v>
      </c>
      <c r="K17" t="s">
        <v>314</v>
      </c>
      <c r="L17">
        <v>1191</v>
      </c>
      <c r="N17">
        <v>1013</v>
      </c>
      <c r="O17" t="s">
        <v>297</v>
      </c>
      <c r="P17" t="s">
        <v>297</v>
      </c>
      <c r="Q17">
        <v>1</v>
      </c>
      <c r="W17">
        <v>0</v>
      </c>
      <c r="X17">
        <v>-228054128</v>
      </c>
      <c r="Y17">
        <v>46.11</v>
      </c>
      <c r="AA17">
        <v>0</v>
      </c>
      <c r="AB17">
        <v>0</v>
      </c>
      <c r="AC17">
        <v>0</v>
      </c>
      <c r="AD17">
        <v>8.02</v>
      </c>
      <c r="AE17">
        <v>0</v>
      </c>
      <c r="AF17">
        <v>0</v>
      </c>
      <c r="AG17">
        <v>0</v>
      </c>
      <c r="AH17">
        <v>8.02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46.11</v>
      </c>
      <c r="AV17">
        <v>1</v>
      </c>
      <c r="AW17">
        <v>2</v>
      </c>
      <c r="AX17">
        <v>50961370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1.8444</v>
      </c>
      <c r="CY17">
        <f>AD17</f>
        <v>8.02</v>
      </c>
      <c r="CZ17">
        <f>AH17</f>
        <v>8.02</v>
      </c>
      <c r="DA17">
        <f>AL17</f>
        <v>1</v>
      </c>
      <c r="DB17">
        <f t="shared" si="0"/>
        <v>369.8</v>
      </c>
      <c r="DC17">
        <f t="shared" si="1"/>
        <v>0</v>
      </c>
    </row>
    <row r="18" spans="1:107" ht="12.75">
      <c r="A18">
        <f>ROW(Source!A31)</f>
        <v>31</v>
      </c>
      <c r="B18">
        <v>50961513</v>
      </c>
      <c r="C18">
        <v>50961369</v>
      </c>
      <c r="D18">
        <v>49459566</v>
      </c>
      <c r="E18">
        <v>58</v>
      </c>
      <c r="F18">
        <v>1</v>
      </c>
      <c r="G18">
        <v>1</v>
      </c>
      <c r="H18">
        <v>1</v>
      </c>
      <c r="I18" t="s">
        <v>315</v>
      </c>
      <c r="K18" t="s">
        <v>299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-1173606021</v>
      </c>
      <c r="Y18">
        <v>0.93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0.93</v>
      </c>
      <c r="AV18">
        <v>2</v>
      </c>
      <c r="AW18">
        <v>2</v>
      </c>
      <c r="AX18">
        <v>50961371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0.037200000000000004</v>
      </c>
      <c r="CY18">
        <f>AD18</f>
        <v>0</v>
      </c>
      <c r="CZ18">
        <f>AH18</f>
        <v>0</v>
      </c>
      <c r="DA18">
        <f>AL18</f>
        <v>1</v>
      </c>
      <c r="DB18">
        <f t="shared" si="0"/>
        <v>0</v>
      </c>
      <c r="DC18">
        <f t="shared" si="1"/>
        <v>0</v>
      </c>
    </row>
    <row r="19" spans="1:107" ht="12.75">
      <c r="A19">
        <f>ROW(Source!A31)</f>
        <v>31</v>
      </c>
      <c r="B19">
        <v>50961513</v>
      </c>
      <c r="C19">
        <v>50961369</v>
      </c>
      <c r="D19">
        <v>49620537</v>
      </c>
      <c r="E19">
        <v>1</v>
      </c>
      <c r="F19">
        <v>1</v>
      </c>
      <c r="G19">
        <v>1</v>
      </c>
      <c r="H19">
        <v>2</v>
      </c>
      <c r="I19" t="s">
        <v>316</v>
      </c>
      <c r="J19" t="s">
        <v>317</v>
      </c>
      <c r="K19" t="s">
        <v>318</v>
      </c>
      <c r="L19">
        <v>1368</v>
      </c>
      <c r="N19">
        <v>1011</v>
      </c>
      <c r="O19" t="s">
        <v>303</v>
      </c>
      <c r="P19" t="s">
        <v>303</v>
      </c>
      <c r="Q19">
        <v>1</v>
      </c>
      <c r="W19">
        <v>0</v>
      </c>
      <c r="X19">
        <v>-1360328220</v>
      </c>
      <c r="Y19">
        <v>0.93</v>
      </c>
      <c r="AA19">
        <v>0</v>
      </c>
      <c r="AB19">
        <v>474.53</v>
      </c>
      <c r="AC19">
        <v>459.14</v>
      </c>
      <c r="AD19">
        <v>0</v>
      </c>
      <c r="AE19">
        <v>0</v>
      </c>
      <c r="AF19">
        <v>31.26</v>
      </c>
      <c r="AG19">
        <v>13.5</v>
      </c>
      <c r="AH19">
        <v>0</v>
      </c>
      <c r="AI19">
        <v>1</v>
      </c>
      <c r="AJ19">
        <v>15.18</v>
      </c>
      <c r="AK19">
        <v>34.01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0.93</v>
      </c>
      <c r="AV19">
        <v>0</v>
      </c>
      <c r="AW19">
        <v>2</v>
      </c>
      <c r="AX19">
        <v>50961372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0.037200000000000004</v>
      </c>
      <c r="CY19">
        <f>AB19</f>
        <v>474.53</v>
      </c>
      <c r="CZ19">
        <f>AF19</f>
        <v>31.26</v>
      </c>
      <c r="DA19">
        <f>AJ19</f>
        <v>15.18</v>
      </c>
      <c r="DB19">
        <f t="shared" si="0"/>
        <v>29.07</v>
      </c>
      <c r="DC19">
        <f t="shared" si="1"/>
        <v>12.56</v>
      </c>
    </row>
    <row r="20" spans="1:107" ht="12.75">
      <c r="A20">
        <f>ROW(Source!A31)</f>
        <v>31</v>
      </c>
      <c r="B20">
        <v>50961513</v>
      </c>
      <c r="C20">
        <v>50961369</v>
      </c>
      <c r="D20">
        <v>49463934</v>
      </c>
      <c r="E20">
        <v>58</v>
      </c>
      <c r="F20">
        <v>1</v>
      </c>
      <c r="G20">
        <v>1</v>
      </c>
      <c r="H20">
        <v>3</v>
      </c>
      <c r="I20" t="s">
        <v>48</v>
      </c>
      <c r="K20" t="s">
        <v>49</v>
      </c>
      <c r="L20">
        <v>1348</v>
      </c>
      <c r="N20">
        <v>1009</v>
      </c>
      <c r="O20" t="s">
        <v>50</v>
      </c>
      <c r="P20" t="s">
        <v>50</v>
      </c>
      <c r="Q20">
        <v>1000</v>
      </c>
      <c r="W20">
        <v>0</v>
      </c>
      <c r="X20">
        <v>2102561428</v>
      </c>
      <c r="Y20">
        <v>3.42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3.42</v>
      </c>
      <c r="AV20">
        <v>0</v>
      </c>
      <c r="AW20">
        <v>2</v>
      </c>
      <c r="AX20">
        <v>50961373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0.1368</v>
      </c>
      <c r="CY20">
        <f>AA20</f>
        <v>0</v>
      </c>
      <c r="CZ20">
        <f>AE20</f>
        <v>0</v>
      </c>
      <c r="DA20">
        <f>AI20</f>
        <v>1</v>
      </c>
      <c r="DB20">
        <f t="shared" si="0"/>
        <v>0</v>
      </c>
      <c r="DC20">
        <f t="shared" si="1"/>
        <v>0</v>
      </c>
    </row>
    <row r="21" spans="1:107" ht="12.75">
      <c r="A21">
        <f>ROW(Source!A34)</f>
        <v>34</v>
      </c>
      <c r="B21">
        <v>50947576</v>
      </c>
      <c r="C21">
        <v>50962916</v>
      </c>
      <c r="D21">
        <v>47860458</v>
      </c>
      <c r="E21">
        <v>56</v>
      </c>
      <c r="F21">
        <v>1</v>
      </c>
      <c r="G21">
        <v>1</v>
      </c>
      <c r="H21">
        <v>1</v>
      </c>
      <c r="I21" t="s">
        <v>319</v>
      </c>
      <c r="K21" t="s">
        <v>320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W21">
        <v>0</v>
      </c>
      <c r="X21">
        <v>687044855</v>
      </c>
      <c r="Y21">
        <v>342.7</v>
      </c>
      <c r="AA21">
        <v>0</v>
      </c>
      <c r="AB21">
        <v>0</v>
      </c>
      <c r="AC21">
        <v>0</v>
      </c>
      <c r="AD21">
        <v>10.06</v>
      </c>
      <c r="AE21">
        <v>0</v>
      </c>
      <c r="AF21">
        <v>0</v>
      </c>
      <c r="AG21">
        <v>0</v>
      </c>
      <c r="AH21">
        <v>10.06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298</v>
      </c>
      <c r="AU21" t="s">
        <v>32</v>
      </c>
      <c r="AV21">
        <v>1</v>
      </c>
      <c r="AW21">
        <v>2</v>
      </c>
      <c r="AX21">
        <v>50962917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140.50699999999998</v>
      </c>
      <c r="CY21">
        <f>AD21</f>
        <v>10.06</v>
      </c>
      <c r="CZ21">
        <f>AH21</f>
        <v>10.06</v>
      </c>
      <c r="DA21">
        <f>AL21</f>
        <v>1</v>
      </c>
      <c r="DB21">
        <f>ROUND((ROUND(AT21*CZ21,2)*ROUND(1.15,7)),6)</f>
        <v>3447.562</v>
      </c>
      <c r="DC21">
        <f>ROUND((ROUND(AT21*AG21,2)*ROUND(1.15,7)),6)</f>
        <v>0</v>
      </c>
    </row>
    <row r="22" spans="1:107" ht="12.75">
      <c r="A22">
        <f>ROW(Source!A34)</f>
        <v>34</v>
      </c>
      <c r="B22">
        <v>50947576</v>
      </c>
      <c r="C22">
        <v>50962916</v>
      </c>
      <c r="D22">
        <v>47860585</v>
      </c>
      <c r="E22">
        <v>56</v>
      </c>
      <c r="F22">
        <v>1</v>
      </c>
      <c r="G22">
        <v>1</v>
      </c>
      <c r="H22">
        <v>1</v>
      </c>
      <c r="I22" t="s">
        <v>298</v>
      </c>
      <c r="K22" t="s">
        <v>299</v>
      </c>
      <c r="L22">
        <v>1191</v>
      </c>
      <c r="N22">
        <v>1013</v>
      </c>
      <c r="O22" t="s">
        <v>297</v>
      </c>
      <c r="P22" t="s">
        <v>297</v>
      </c>
      <c r="Q22">
        <v>1</v>
      </c>
      <c r="W22">
        <v>0</v>
      </c>
      <c r="X22">
        <v>-1417349443</v>
      </c>
      <c r="Y22">
        <v>3.1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2.48</v>
      </c>
      <c r="AU22" t="s">
        <v>31</v>
      </c>
      <c r="AV22">
        <v>2</v>
      </c>
      <c r="AW22">
        <v>2</v>
      </c>
      <c r="AX22">
        <v>50962918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1.271</v>
      </c>
      <c r="CY22">
        <f>AD22</f>
        <v>0</v>
      </c>
      <c r="CZ22">
        <f>AH22</f>
        <v>0</v>
      </c>
      <c r="DA22">
        <f>AL22</f>
        <v>1</v>
      </c>
      <c r="DB22">
        <f>ROUND((ROUND(AT22*CZ22,2)*ROUND(1.25,7)),6)</f>
        <v>0</v>
      </c>
      <c r="DC22">
        <f>ROUND((ROUND(AT22*AG22,2)*ROUND(1.25,7)),6)</f>
        <v>0</v>
      </c>
    </row>
    <row r="23" spans="1:107" ht="12.75">
      <c r="A23">
        <f>ROW(Source!A34)</f>
        <v>34</v>
      </c>
      <c r="B23">
        <v>50947576</v>
      </c>
      <c r="C23">
        <v>50962916</v>
      </c>
      <c r="D23">
        <v>48021211</v>
      </c>
      <c r="E23">
        <v>1</v>
      </c>
      <c r="F23">
        <v>1</v>
      </c>
      <c r="G23">
        <v>1</v>
      </c>
      <c r="H23">
        <v>2</v>
      </c>
      <c r="I23" t="s">
        <v>321</v>
      </c>
      <c r="J23" t="s">
        <v>322</v>
      </c>
      <c r="K23" t="s">
        <v>323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W23">
        <v>0</v>
      </c>
      <c r="X23">
        <v>-1346461524</v>
      </c>
      <c r="Y23">
        <v>2.75</v>
      </c>
      <c r="AA23">
        <v>0</v>
      </c>
      <c r="AB23">
        <v>115.4</v>
      </c>
      <c r="AC23">
        <v>13.5</v>
      </c>
      <c r="AD23">
        <v>0</v>
      </c>
      <c r="AE23">
        <v>0</v>
      </c>
      <c r="AF23">
        <v>115.4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2.2</v>
      </c>
      <c r="AU23" t="s">
        <v>31</v>
      </c>
      <c r="AV23">
        <v>0</v>
      </c>
      <c r="AW23">
        <v>2</v>
      </c>
      <c r="AX23">
        <v>50962919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Y23*Source!I34</f>
        <v>1.1275</v>
      </c>
      <c r="CY23">
        <f>AB23</f>
        <v>115.4</v>
      </c>
      <c r="CZ23">
        <f>AF23</f>
        <v>115.4</v>
      </c>
      <c r="DA23">
        <f>AJ23</f>
        <v>1</v>
      </c>
      <c r="DB23">
        <f>ROUND((ROUND(AT23*CZ23,2)*ROUND(1.25,7)),6)</f>
        <v>317.35</v>
      </c>
      <c r="DC23">
        <f>ROUND((ROUND(AT23*AG23,2)*ROUND(1.25,7)),6)</f>
        <v>37.125</v>
      </c>
    </row>
    <row r="24" spans="1:107" ht="12.75">
      <c r="A24">
        <f>ROW(Source!A34)</f>
        <v>34</v>
      </c>
      <c r="B24">
        <v>50947576</v>
      </c>
      <c r="C24">
        <v>50962916</v>
      </c>
      <c r="D24">
        <v>48021352</v>
      </c>
      <c r="E24">
        <v>1</v>
      </c>
      <c r="F24">
        <v>1</v>
      </c>
      <c r="G24">
        <v>1</v>
      </c>
      <c r="H24">
        <v>2</v>
      </c>
      <c r="I24" t="s">
        <v>324</v>
      </c>
      <c r="J24" t="s">
        <v>325</v>
      </c>
      <c r="K24" t="s">
        <v>326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W24">
        <v>0</v>
      </c>
      <c r="X24">
        <v>-1595939894</v>
      </c>
      <c r="Y24">
        <v>54.875</v>
      </c>
      <c r="AA24">
        <v>0</v>
      </c>
      <c r="AB24">
        <v>6.9</v>
      </c>
      <c r="AC24">
        <v>0</v>
      </c>
      <c r="AD24">
        <v>0</v>
      </c>
      <c r="AE24">
        <v>0</v>
      </c>
      <c r="AF24">
        <v>6.9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43.9</v>
      </c>
      <c r="AU24" t="s">
        <v>31</v>
      </c>
      <c r="AV24">
        <v>0</v>
      </c>
      <c r="AW24">
        <v>2</v>
      </c>
      <c r="AX24">
        <v>50962920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Y24*Source!I34</f>
        <v>22.498749999999998</v>
      </c>
      <c r="CY24">
        <f>AB24</f>
        <v>6.9</v>
      </c>
      <c r="CZ24">
        <f>AF24</f>
        <v>6.9</v>
      </c>
      <c r="DA24">
        <f>AJ24</f>
        <v>1</v>
      </c>
      <c r="DB24">
        <f>ROUND((ROUND(AT24*CZ24,2)*ROUND(1.25,7)),6)</f>
        <v>378.6375</v>
      </c>
      <c r="DC24">
        <f>ROUND((ROUND(AT24*AG24,2)*ROUND(1.25,7)),6)</f>
        <v>0</v>
      </c>
    </row>
    <row r="25" spans="1:107" ht="12.75">
      <c r="A25">
        <f>ROW(Source!A34)</f>
        <v>34</v>
      </c>
      <c r="B25">
        <v>50947576</v>
      </c>
      <c r="C25">
        <v>50962916</v>
      </c>
      <c r="D25">
        <v>48022139</v>
      </c>
      <c r="E25">
        <v>1</v>
      </c>
      <c r="F25">
        <v>1</v>
      </c>
      <c r="G25">
        <v>1</v>
      </c>
      <c r="H25">
        <v>2</v>
      </c>
      <c r="I25" t="s">
        <v>300</v>
      </c>
      <c r="J25" t="s">
        <v>301</v>
      </c>
      <c r="K25" t="s">
        <v>302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-841254546</v>
      </c>
      <c r="Y25">
        <v>0.35000000000000003</v>
      </c>
      <c r="AA25">
        <v>0</v>
      </c>
      <c r="AB25">
        <v>65.71</v>
      </c>
      <c r="AC25">
        <v>11.6</v>
      </c>
      <c r="AD25">
        <v>0</v>
      </c>
      <c r="AE25">
        <v>0</v>
      </c>
      <c r="AF25">
        <v>65.71</v>
      </c>
      <c r="AG25">
        <v>11.6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0.28</v>
      </c>
      <c r="AU25" t="s">
        <v>31</v>
      </c>
      <c r="AV25">
        <v>0</v>
      </c>
      <c r="AW25">
        <v>2</v>
      </c>
      <c r="AX25">
        <v>50962921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0.14350000000000002</v>
      </c>
      <c r="CY25">
        <f>AB25</f>
        <v>65.71</v>
      </c>
      <c r="CZ25">
        <f>AF25</f>
        <v>65.71</v>
      </c>
      <c r="DA25">
        <f>AJ25</f>
        <v>1</v>
      </c>
      <c r="DB25">
        <f>ROUND((ROUND(AT25*CZ25,2)*ROUND(1.25,7)),6)</f>
        <v>23</v>
      </c>
      <c r="DC25">
        <f>ROUND((ROUND(AT25*AG25,2)*ROUND(1.25,7)),6)</f>
        <v>4.0625</v>
      </c>
    </row>
    <row r="26" spans="1:107" ht="12.75">
      <c r="A26">
        <f>ROW(Source!A34)</f>
        <v>34</v>
      </c>
      <c r="B26">
        <v>50947576</v>
      </c>
      <c r="C26">
        <v>50962916</v>
      </c>
      <c r="D26">
        <v>47875648</v>
      </c>
      <c r="E26">
        <v>1</v>
      </c>
      <c r="F26">
        <v>1</v>
      </c>
      <c r="G26">
        <v>1</v>
      </c>
      <c r="H26">
        <v>3</v>
      </c>
      <c r="I26" t="s">
        <v>82</v>
      </c>
      <c r="J26" t="s">
        <v>84</v>
      </c>
      <c r="K26" t="s">
        <v>83</v>
      </c>
      <c r="L26">
        <v>1348</v>
      </c>
      <c r="N26">
        <v>1009</v>
      </c>
      <c r="O26" t="s">
        <v>50</v>
      </c>
      <c r="P26" t="s">
        <v>50</v>
      </c>
      <c r="Q26">
        <v>1000</v>
      </c>
      <c r="W26">
        <v>1</v>
      </c>
      <c r="X26">
        <v>-1908218251</v>
      </c>
      <c r="Y26">
        <v>-0.00115</v>
      </c>
      <c r="AA26">
        <v>37900</v>
      </c>
      <c r="AB26">
        <v>0</v>
      </c>
      <c r="AC26">
        <v>0</v>
      </c>
      <c r="AD26">
        <v>0</v>
      </c>
      <c r="AE26">
        <v>37900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-0.00115</v>
      </c>
      <c r="AV26">
        <v>0</v>
      </c>
      <c r="AW26">
        <v>2</v>
      </c>
      <c r="AX26">
        <v>50962923</v>
      </c>
      <c r="AY26">
        <v>1</v>
      </c>
      <c r="AZ26">
        <v>6144</v>
      </c>
      <c r="BA26">
        <v>27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Y26*Source!I34</f>
        <v>-0.00047149999999999997</v>
      </c>
      <c r="CY26">
        <f aca="true" t="shared" si="2" ref="CY26:CY32">AA26</f>
        <v>37900</v>
      </c>
      <c r="CZ26">
        <f aca="true" t="shared" si="3" ref="CZ26:CZ32">AE26</f>
        <v>37900</v>
      </c>
      <c r="DA26">
        <f aca="true" t="shared" si="4" ref="DA26:DA32">AI26</f>
        <v>1</v>
      </c>
      <c r="DB26">
        <f aca="true" t="shared" si="5" ref="DB26:DB32">ROUND(ROUND(AT26*CZ26,2),6)</f>
        <v>-43.59</v>
      </c>
      <c r="DC26">
        <f aca="true" t="shared" si="6" ref="DC26:DC32">ROUND(ROUND(AT26*AG26,2),6)</f>
        <v>0</v>
      </c>
    </row>
    <row r="27" spans="1:107" ht="12.75">
      <c r="A27">
        <f>ROW(Source!A34)</f>
        <v>34</v>
      </c>
      <c r="B27">
        <v>50947576</v>
      </c>
      <c r="C27">
        <v>50962916</v>
      </c>
      <c r="D27">
        <v>47889287</v>
      </c>
      <c r="E27">
        <v>1</v>
      </c>
      <c r="F27">
        <v>1</v>
      </c>
      <c r="G27">
        <v>1</v>
      </c>
      <c r="H27">
        <v>3</v>
      </c>
      <c r="I27" t="s">
        <v>78</v>
      </c>
      <c r="J27" t="s">
        <v>80</v>
      </c>
      <c r="K27" t="s">
        <v>79</v>
      </c>
      <c r="L27">
        <v>1348</v>
      </c>
      <c r="N27">
        <v>1009</v>
      </c>
      <c r="O27" t="s">
        <v>50</v>
      </c>
      <c r="P27" t="s">
        <v>50</v>
      </c>
      <c r="Q27">
        <v>1000</v>
      </c>
      <c r="W27">
        <v>1</v>
      </c>
      <c r="X27">
        <v>1195780435</v>
      </c>
      <c r="Y27">
        <v>-0.02</v>
      </c>
      <c r="AA27">
        <v>7712</v>
      </c>
      <c r="AB27">
        <v>0</v>
      </c>
      <c r="AC27">
        <v>0</v>
      </c>
      <c r="AD27">
        <v>0</v>
      </c>
      <c r="AE27">
        <v>7712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-0.02</v>
      </c>
      <c r="AV27">
        <v>0</v>
      </c>
      <c r="AW27">
        <v>2</v>
      </c>
      <c r="AX27">
        <v>50962926</v>
      </c>
      <c r="AY27">
        <v>1</v>
      </c>
      <c r="AZ27">
        <v>6144</v>
      </c>
      <c r="BA27">
        <v>30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-0.008199999999999999</v>
      </c>
      <c r="CY27">
        <f t="shared" si="2"/>
        <v>7712</v>
      </c>
      <c r="CZ27">
        <f t="shared" si="3"/>
        <v>7712</v>
      </c>
      <c r="DA27">
        <f t="shared" si="4"/>
        <v>1</v>
      </c>
      <c r="DB27">
        <f t="shared" si="5"/>
        <v>-154.24</v>
      </c>
      <c r="DC27">
        <f t="shared" si="6"/>
        <v>0</v>
      </c>
    </row>
    <row r="28" spans="1:107" ht="12.75">
      <c r="A28">
        <f>ROW(Source!A34)</f>
        <v>34</v>
      </c>
      <c r="B28">
        <v>50947576</v>
      </c>
      <c r="C28">
        <v>50962916</v>
      </c>
      <c r="D28">
        <v>47891316</v>
      </c>
      <c r="E28">
        <v>1</v>
      </c>
      <c r="F28">
        <v>1</v>
      </c>
      <c r="G28">
        <v>1</v>
      </c>
      <c r="H28">
        <v>3</v>
      </c>
      <c r="I28" t="s">
        <v>73</v>
      </c>
      <c r="J28" t="s">
        <v>76</v>
      </c>
      <c r="K28" t="s">
        <v>74</v>
      </c>
      <c r="L28">
        <v>1302</v>
      </c>
      <c r="N28">
        <v>1003</v>
      </c>
      <c r="O28" t="s">
        <v>75</v>
      </c>
      <c r="P28" t="s">
        <v>75</v>
      </c>
      <c r="Q28">
        <v>10</v>
      </c>
      <c r="W28">
        <v>1</v>
      </c>
      <c r="X28">
        <v>660380256</v>
      </c>
      <c r="Y28">
        <v>-0.2</v>
      </c>
      <c r="AA28">
        <v>50.24</v>
      </c>
      <c r="AB28">
        <v>0</v>
      </c>
      <c r="AC28">
        <v>0</v>
      </c>
      <c r="AD28">
        <v>0</v>
      </c>
      <c r="AE28">
        <v>50.24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-0.2</v>
      </c>
      <c r="AV28">
        <v>0</v>
      </c>
      <c r="AW28">
        <v>2</v>
      </c>
      <c r="AX28">
        <v>50962927</v>
      </c>
      <c r="AY28">
        <v>1</v>
      </c>
      <c r="AZ28">
        <v>6144</v>
      </c>
      <c r="BA28">
        <v>31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-0.082</v>
      </c>
      <c r="CY28">
        <f t="shared" si="2"/>
        <v>50.24</v>
      </c>
      <c r="CZ28">
        <f t="shared" si="3"/>
        <v>50.24</v>
      </c>
      <c r="DA28">
        <f t="shared" si="4"/>
        <v>1</v>
      </c>
      <c r="DB28">
        <f t="shared" si="5"/>
        <v>-10.05</v>
      </c>
      <c r="DC28">
        <f t="shared" si="6"/>
        <v>0</v>
      </c>
    </row>
    <row r="29" spans="1:107" ht="12.75">
      <c r="A29">
        <f>ROW(Source!A34)</f>
        <v>34</v>
      </c>
      <c r="B29">
        <v>50947576</v>
      </c>
      <c r="C29">
        <v>50962916</v>
      </c>
      <c r="D29">
        <v>47895708</v>
      </c>
      <c r="E29">
        <v>1</v>
      </c>
      <c r="F29">
        <v>1</v>
      </c>
      <c r="G29">
        <v>1</v>
      </c>
      <c r="H29">
        <v>3</v>
      </c>
      <c r="I29" t="s">
        <v>68</v>
      </c>
      <c r="J29" t="s">
        <v>71</v>
      </c>
      <c r="K29" t="s">
        <v>69</v>
      </c>
      <c r="L29">
        <v>1339</v>
      </c>
      <c r="N29">
        <v>1007</v>
      </c>
      <c r="O29" t="s">
        <v>70</v>
      </c>
      <c r="P29" t="s">
        <v>70</v>
      </c>
      <c r="Q29">
        <v>1</v>
      </c>
      <c r="W29">
        <v>1</v>
      </c>
      <c r="X29">
        <v>-130131740</v>
      </c>
      <c r="Y29">
        <v>-0.04</v>
      </c>
      <c r="AA29">
        <v>1700</v>
      </c>
      <c r="AB29">
        <v>0</v>
      </c>
      <c r="AC29">
        <v>0</v>
      </c>
      <c r="AD29">
        <v>0</v>
      </c>
      <c r="AE29">
        <v>1700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-0.04</v>
      </c>
      <c r="AV29">
        <v>0</v>
      </c>
      <c r="AW29">
        <v>2</v>
      </c>
      <c r="AX29">
        <v>50962929</v>
      </c>
      <c r="AY29">
        <v>1</v>
      </c>
      <c r="AZ29">
        <v>6144</v>
      </c>
      <c r="BA29">
        <v>33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</f>
        <v>-0.016399999999999998</v>
      </c>
      <c r="CY29">
        <f t="shared" si="2"/>
        <v>1700</v>
      </c>
      <c r="CZ29">
        <f t="shared" si="3"/>
        <v>1700</v>
      </c>
      <c r="DA29">
        <f t="shared" si="4"/>
        <v>1</v>
      </c>
      <c r="DB29">
        <f t="shared" si="5"/>
        <v>-68</v>
      </c>
      <c r="DC29">
        <f t="shared" si="6"/>
        <v>0</v>
      </c>
    </row>
    <row r="30" spans="1:107" ht="12.75">
      <c r="A30">
        <f>ROW(Source!A34)</f>
        <v>34</v>
      </c>
      <c r="B30">
        <v>50947576</v>
      </c>
      <c r="C30">
        <v>50962916</v>
      </c>
      <c r="D30">
        <v>0</v>
      </c>
      <c r="E30">
        <v>1</v>
      </c>
      <c r="F30">
        <v>1</v>
      </c>
      <c r="G30">
        <v>1</v>
      </c>
      <c r="H30">
        <v>3</v>
      </c>
      <c r="I30" t="s">
        <v>59</v>
      </c>
      <c r="K30" t="s">
        <v>60</v>
      </c>
      <c r="L30">
        <v>1371</v>
      </c>
      <c r="N30">
        <v>1013</v>
      </c>
      <c r="O30" t="s">
        <v>61</v>
      </c>
      <c r="P30" t="s">
        <v>61</v>
      </c>
      <c r="Q30">
        <v>1</v>
      </c>
      <c r="W30">
        <v>0</v>
      </c>
      <c r="X30">
        <v>901786959</v>
      </c>
      <c r="Y30">
        <v>2.439024</v>
      </c>
      <c r="AA30">
        <v>108936.28</v>
      </c>
      <c r="AB30">
        <v>0</v>
      </c>
      <c r="AC30">
        <v>0</v>
      </c>
      <c r="AD30">
        <v>0</v>
      </c>
      <c r="AE30">
        <v>108936.28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2.439024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Y30*Source!I34</f>
        <v>0.9999998399999999</v>
      </c>
      <c r="CY30">
        <f t="shared" si="2"/>
        <v>108936.28</v>
      </c>
      <c r="CZ30">
        <f t="shared" si="3"/>
        <v>108936.28</v>
      </c>
      <c r="DA30">
        <f t="shared" si="4"/>
        <v>1</v>
      </c>
      <c r="DB30">
        <f t="shared" si="5"/>
        <v>265698.2</v>
      </c>
      <c r="DC30">
        <f t="shared" si="6"/>
        <v>0</v>
      </c>
    </row>
    <row r="31" spans="1:107" ht="12.75">
      <c r="A31">
        <f>ROW(Source!A34)</f>
        <v>34</v>
      </c>
      <c r="B31">
        <v>50947576</v>
      </c>
      <c r="C31">
        <v>50962916</v>
      </c>
      <c r="D31">
        <v>0</v>
      </c>
      <c r="E31">
        <v>1</v>
      </c>
      <c r="F31">
        <v>1</v>
      </c>
      <c r="G31">
        <v>1</v>
      </c>
      <c r="H31">
        <v>3</v>
      </c>
      <c r="I31" t="s">
        <v>59</v>
      </c>
      <c r="K31" t="s">
        <v>64</v>
      </c>
      <c r="L31">
        <v>1371</v>
      </c>
      <c r="N31">
        <v>1013</v>
      </c>
      <c r="O31" t="s">
        <v>61</v>
      </c>
      <c r="P31" t="s">
        <v>61</v>
      </c>
      <c r="Q31">
        <v>1</v>
      </c>
      <c r="W31">
        <v>0</v>
      </c>
      <c r="X31">
        <v>-1579696575</v>
      </c>
      <c r="Y31">
        <v>2.439024</v>
      </c>
      <c r="AA31">
        <v>241294.69</v>
      </c>
      <c r="AB31">
        <v>0</v>
      </c>
      <c r="AC31">
        <v>0</v>
      </c>
      <c r="AD31">
        <v>0</v>
      </c>
      <c r="AE31">
        <v>241294.69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T31">
        <v>2.439024</v>
      </c>
      <c r="AV31">
        <v>0</v>
      </c>
      <c r="AW31">
        <v>1</v>
      </c>
      <c r="AX31">
        <v>-1</v>
      </c>
      <c r="AY31">
        <v>0</v>
      </c>
      <c r="AZ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0.9999998399999999</v>
      </c>
      <c r="CY31">
        <f t="shared" si="2"/>
        <v>241294.69</v>
      </c>
      <c r="CZ31">
        <f t="shared" si="3"/>
        <v>241294.69</v>
      </c>
      <c r="DA31">
        <f t="shared" si="4"/>
        <v>1</v>
      </c>
      <c r="DB31">
        <f t="shared" si="5"/>
        <v>588523.54</v>
      </c>
      <c r="DC31">
        <f t="shared" si="6"/>
        <v>0</v>
      </c>
    </row>
    <row r="32" spans="1:107" ht="12.75">
      <c r="A32">
        <f>ROW(Source!A34)</f>
        <v>34</v>
      </c>
      <c r="B32">
        <v>50947576</v>
      </c>
      <c r="C32">
        <v>50962916</v>
      </c>
      <c r="D32">
        <v>0</v>
      </c>
      <c r="E32">
        <v>1</v>
      </c>
      <c r="F32">
        <v>1</v>
      </c>
      <c r="G32">
        <v>1</v>
      </c>
      <c r="H32">
        <v>3</v>
      </c>
      <c r="I32" t="s">
        <v>59</v>
      </c>
      <c r="K32" t="s">
        <v>66</v>
      </c>
      <c r="L32">
        <v>1371</v>
      </c>
      <c r="N32">
        <v>1013</v>
      </c>
      <c r="O32" t="s">
        <v>61</v>
      </c>
      <c r="P32" t="s">
        <v>61</v>
      </c>
      <c r="Q32">
        <v>1</v>
      </c>
      <c r="W32">
        <v>0</v>
      </c>
      <c r="X32">
        <v>-846146321</v>
      </c>
      <c r="Y32">
        <v>2.439024</v>
      </c>
      <c r="AA32">
        <v>587378.89</v>
      </c>
      <c r="AB32">
        <v>0</v>
      </c>
      <c r="AC32">
        <v>0</v>
      </c>
      <c r="AD32">
        <v>0</v>
      </c>
      <c r="AE32">
        <v>587378.89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2.439024</v>
      </c>
      <c r="AV32">
        <v>0</v>
      </c>
      <c r="AW32">
        <v>1</v>
      </c>
      <c r="AX32">
        <v>-1</v>
      </c>
      <c r="AY32">
        <v>0</v>
      </c>
      <c r="AZ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0.9999998399999999</v>
      </c>
      <c r="CY32">
        <f t="shared" si="2"/>
        <v>587378.89</v>
      </c>
      <c r="CZ32">
        <f t="shared" si="3"/>
        <v>587378.89</v>
      </c>
      <c r="DA32">
        <f t="shared" si="4"/>
        <v>1</v>
      </c>
      <c r="DB32">
        <f t="shared" si="5"/>
        <v>1432631.21</v>
      </c>
      <c r="DC32">
        <f t="shared" si="6"/>
        <v>0</v>
      </c>
    </row>
    <row r="33" spans="1:107" ht="12.75">
      <c r="A33">
        <f>ROW(Source!A35)</f>
        <v>35</v>
      </c>
      <c r="B33">
        <v>50961513</v>
      </c>
      <c r="C33">
        <v>50962916</v>
      </c>
      <c r="D33">
        <v>47860458</v>
      </c>
      <c r="E33">
        <v>56</v>
      </c>
      <c r="F33">
        <v>1</v>
      </c>
      <c r="G33">
        <v>1</v>
      </c>
      <c r="H33">
        <v>1</v>
      </c>
      <c r="I33" t="s">
        <v>319</v>
      </c>
      <c r="K33" t="s">
        <v>320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687044855</v>
      </c>
      <c r="Y33">
        <v>342.7</v>
      </c>
      <c r="AA33">
        <v>0</v>
      </c>
      <c r="AB33">
        <v>0</v>
      </c>
      <c r="AC33">
        <v>0</v>
      </c>
      <c r="AD33">
        <v>10.06</v>
      </c>
      <c r="AE33">
        <v>0</v>
      </c>
      <c r="AF33">
        <v>0</v>
      </c>
      <c r="AG33">
        <v>0</v>
      </c>
      <c r="AH33">
        <v>10.06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298</v>
      </c>
      <c r="AU33" t="s">
        <v>32</v>
      </c>
      <c r="AV33">
        <v>1</v>
      </c>
      <c r="AW33">
        <v>2</v>
      </c>
      <c r="AX33">
        <v>50962917</v>
      </c>
      <c r="AY33">
        <v>1</v>
      </c>
      <c r="AZ33">
        <v>0</v>
      </c>
      <c r="BA33">
        <v>34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Y33*Source!I35</f>
        <v>140.50699999999998</v>
      </c>
      <c r="CY33">
        <f>AD33</f>
        <v>10.06</v>
      </c>
      <c r="CZ33">
        <f>AH33</f>
        <v>10.06</v>
      </c>
      <c r="DA33">
        <f>AL33</f>
        <v>1</v>
      </c>
      <c r="DB33">
        <f>ROUND((ROUND(AT33*CZ33,2)*ROUND(1.15,7)),6)</f>
        <v>3447.562</v>
      </c>
      <c r="DC33">
        <f>ROUND((ROUND(AT33*AG33,2)*ROUND(1.15,7)),6)</f>
        <v>0</v>
      </c>
    </row>
    <row r="34" spans="1:107" ht="12.75">
      <c r="A34">
        <f>ROW(Source!A35)</f>
        <v>35</v>
      </c>
      <c r="B34">
        <v>50961513</v>
      </c>
      <c r="C34">
        <v>50962916</v>
      </c>
      <c r="D34">
        <v>47860585</v>
      </c>
      <c r="E34">
        <v>56</v>
      </c>
      <c r="F34">
        <v>1</v>
      </c>
      <c r="G34">
        <v>1</v>
      </c>
      <c r="H34">
        <v>1</v>
      </c>
      <c r="I34" t="s">
        <v>298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3.1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2.48</v>
      </c>
      <c r="AU34" t="s">
        <v>31</v>
      </c>
      <c r="AV34">
        <v>2</v>
      </c>
      <c r="AW34">
        <v>2</v>
      </c>
      <c r="AX34">
        <v>50962918</v>
      </c>
      <c r="AY34">
        <v>1</v>
      </c>
      <c r="AZ34">
        <v>0</v>
      </c>
      <c r="BA34">
        <v>35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Y34*Source!I35</f>
        <v>1.271</v>
      </c>
      <c r="CY34">
        <f>AD34</f>
        <v>0</v>
      </c>
      <c r="CZ34">
        <f>AH34</f>
        <v>0</v>
      </c>
      <c r="DA34">
        <f>AL34</f>
        <v>1</v>
      </c>
      <c r="DB34">
        <f>ROUND((ROUND(AT34*CZ34,2)*ROUND(1.25,7)),6)</f>
        <v>0</v>
      </c>
      <c r="DC34">
        <f>ROUND((ROUND(AT34*AG34,2)*ROUND(1.25,7)),6)</f>
        <v>0</v>
      </c>
    </row>
    <row r="35" spans="1:107" ht="12.75">
      <c r="A35">
        <f>ROW(Source!A35)</f>
        <v>35</v>
      </c>
      <c r="B35">
        <v>50961513</v>
      </c>
      <c r="C35">
        <v>50962916</v>
      </c>
      <c r="D35">
        <v>48021211</v>
      </c>
      <c r="E35">
        <v>1</v>
      </c>
      <c r="F35">
        <v>1</v>
      </c>
      <c r="G35">
        <v>1</v>
      </c>
      <c r="H35">
        <v>2</v>
      </c>
      <c r="I35" t="s">
        <v>321</v>
      </c>
      <c r="J35" t="s">
        <v>322</v>
      </c>
      <c r="K35" t="s">
        <v>323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-1346461524</v>
      </c>
      <c r="Y35">
        <v>2.75</v>
      </c>
      <c r="AA35">
        <v>0</v>
      </c>
      <c r="AB35">
        <v>1096.3</v>
      </c>
      <c r="AC35">
        <v>459.14</v>
      </c>
      <c r="AD35">
        <v>0</v>
      </c>
      <c r="AE35">
        <v>0</v>
      </c>
      <c r="AF35">
        <v>115.4</v>
      </c>
      <c r="AG35">
        <v>13.5</v>
      </c>
      <c r="AH35">
        <v>0</v>
      </c>
      <c r="AI35">
        <v>1</v>
      </c>
      <c r="AJ35">
        <v>9.5</v>
      </c>
      <c r="AK35">
        <v>34.01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2.2</v>
      </c>
      <c r="AU35" t="s">
        <v>31</v>
      </c>
      <c r="AV35">
        <v>0</v>
      </c>
      <c r="AW35">
        <v>2</v>
      </c>
      <c r="AX35">
        <v>50962919</v>
      </c>
      <c r="AY35">
        <v>1</v>
      </c>
      <c r="AZ35">
        <v>0</v>
      </c>
      <c r="BA35">
        <v>36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Y35*Source!I35</f>
        <v>1.1275</v>
      </c>
      <c r="CY35">
        <f>AB35</f>
        <v>1096.3</v>
      </c>
      <c r="CZ35">
        <f>AF35</f>
        <v>115.4</v>
      </c>
      <c r="DA35">
        <f>AJ35</f>
        <v>9.5</v>
      </c>
      <c r="DB35">
        <f>ROUND((ROUND(AT35*CZ35,2)*ROUND(1.25,7)),6)</f>
        <v>317.35</v>
      </c>
      <c r="DC35">
        <f>ROUND((ROUND(AT35*AG35,2)*ROUND(1.25,7)),6)</f>
        <v>37.125</v>
      </c>
    </row>
    <row r="36" spans="1:107" ht="12.75">
      <c r="A36">
        <f>ROW(Source!A35)</f>
        <v>35</v>
      </c>
      <c r="B36">
        <v>50961513</v>
      </c>
      <c r="C36">
        <v>50962916</v>
      </c>
      <c r="D36">
        <v>48021352</v>
      </c>
      <c r="E36">
        <v>1</v>
      </c>
      <c r="F36">
        <v>1</v>
      </c>
      <c r="G36">
        <v>1</v>
      </c>
      <c r="H36">
        <v>2</v>
      </c>
      <c r="I36" t="s">
        <v>324</v>
      </c>
      <c r="J36" t="s">
        <v>325</v>
      </c>
      <c r="K36" t="s">
        <v>326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-1595939894</v>
      </c>
      <c r="Y36">
        <v>54.875</v>
      </c>
      <c r="AA36">
        <v>0</v>
      </c>
      <c r="AB36">
        <v>32.5</v>
      </c>
      <c r="AC36">
        <v>0</v>
      </c>
      <c r="AD36">
        <v>0</v>
      </c>
      <c r="AE36">
        <v>0</v>
      </c>
      <c r="AF36">
        <v>6.9</v>
      </c>
      <c r="AG36">
        <v>0</v>
      </c>
      <c r="AH36">
        <v>0</v>
      </c>
      <c r="AI36">
        <v>1</v>
      </c>
      <c r="AJ36">
        <v>4.71</v>
      </c>
      <c r="AK36">
        <v>34.01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43.9</v>
      </c>
      <c r="AU36" t="s">
        <v>31</v>
      </c>
      <c r="AV36">
        <v>0</v>
      </c>
      <c r="AW36">
        <v>2</v>
      </c>
      <c r="AX36">
        <v>50962920</v>
      </c>
      <c r="AY36">
        <v>1</v>
      </c>
      <c r="AZ36">
        <v>0</v>
      </c>
      <c r="BA36">
        <v>37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Y36*Source!I35</f>
        <v>22.498749999999998</v>
      </c>
      <c r="CY36">
        <f>AB36</f>
        <v>32.5</v>
      </c>
      <c r="CZ36">
        <f>AF36</f>
        <v>6.9</v>
      </c>
      <c r="DA36">
        <f>AJ36</f>
        <v>4.71</v>
      </c>
      <c r="DB36">
        <f>ROUND((ROUND(AT36*CZ36,2)*ROUND(1.25,7)),6)</f>
        <v>378.6375</v>
      </c>
      <c r="DC36">
        <f>ROUND((ROUND(AT36*AG36,2)*ROUND(1.25,7)),6)</f>
        <v>0</v>
      </c>
    </row>
    <row r="37" spans="1:107" ht="12.75">
      <c r="A37">
        <f>ROW(Source!A35)</f>
        <v>35</v>
      </c>
      <c r="B37">
        <v>50961513</v>
      </c>
      <c r="C37">
        <v>50962916</v>
      </c>
      <c r="D37">
        <v>48022139</v>
      </c>
      <c r="E37">
        <v>1</v>
      </c>
      <c r="F37">
        <v>1</v>
      </c>
      <c r="G37">
        <v>1</v>
      </c>
      <c r="H37">
        <v>2</v>
      </c>
      <c r="I37" t="s">
        <v>300</v>
      </c>
      <c r="J37" t="s">
        <v>301</v>
      </c>
      <c r="K37" t="s">
        <v>302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-841254546</v>
      </c>
      <c r="Y37">
        <v>0.35000000000000003</v>
      </c>
      <c r="AA37">
        <v>0</v>
      </c>
      <c r="AB37">
        <v>758.95</v>
      </c>
      <c r="AC37">
        <v>394.52</v>
      </c>
      <c r="AD37">
        <v>0</v>
      </c>
      <c r="AE37">
        <v>0</v>
      </c>
      <c r="AF37">
        <v>65.71</v>
      </c>
      <c r="AG37">
        <v>11.6</v>
      </c>
      <c r="AH37">
        <v>0</v>
      </c>
      <c r="AI37">
        <v>1</v>
      </c>
      <c r="AJ37">
        <v>11.55</v>
      </c>
      <c r="AK37">
        <v>34.01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0.28</v>
      </c>
      <c r="AU37" t="s">
        <v>31</v>
      </c>
      <c r="AV37">
        <v>0</v>
      </c>
      <c r="AW37">
        <v>2</v>
      </c>
      <c r="AX37">
        <v>50962921</v>
      </c>
      <c r="AY37">
        <v>1</v>
      </c>
      <c r="AZ37">
        <v>0</v>
      </c>
      <c r="BA37">
        <v>38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0.14350000000000002</v>
      </c>
      <c r="CY37">
        <f>AB37</f>
        <v>758.95</v>
      </c>
      <c r="CZ37">
        <f>AF37</f>
        <v>65.71</v>
      </c>
      <c r="DA37">
        <f>AJ37</f>
        <v>11.55</v>
      </c>
      <c r="DB37">
        <f>ROUND((ROUND(AT37*CZ37,2)*ROUND(1.25,7)),6)</f>
        <v>23</v>
      </c>
      <c r="DC37">
        <f>ROUND((ROUND(AT37*AG37,2)*ROUND(1.25,7)),6)</f>
        <v>4.0625</v>
      </c>
    </row>
    <row r="38" spans="1:107" ht="12.75">
      <c r="A38">
        <f>ROW(Source!A35)</f>
        <v>35</v>
      </c>
      <c r="B38">
        <v>50961513</v>
      </c>
      <c r="C38">
        <v>50962916</v>
      </c>
      <c r="D38">
        <v>47875648</v>
      </c>
      <c r="E38">
        <v>1</v>
      </c>
      <c r="F38">
        <v>1</v>
      </c>
      <c r="G38">
        <v>1</v>
      </c>
      <c r="H38">
        <v>3</v>
      </c>
      <c r="I38" t="s">
        <v>82</v>
      </c>
      <c r="J38" t="s">
        <v>84</v>
      </c>
      <c r="K38" t="s">
        <v>83</v>
      </c>
      <c r="L38">
        <v>1348</v>
      </c>
      <c r="N38">
        <v>1009</v>
      </c>
      <c r="O38" t="s">
        <v>50</v>
      </c>
      <c r="P38" t="s">
        <v>50</v>
      </c>
      <c r="Q38">
        <v>1000</v>
      </c>
      <c r="W38">
        <v>1</v>
      </c>
      <c r="X38">
        <v>-1908218251</v>
      </c>
      <c r="Y38">
        <v>-0.00115</v>
      </c>
      <c r="AA38">
        <v>173961</v>
      </c>
      <c r="AB38">
        <v>0</v>
      </c>
      <c r="AC38">
        <v>0</v>
      </c>
      <c r="AD38">
        <v>0</v>
      </c>
      <c r="AE38">
        <v>37900</v>
      </c>
      <c r="AF38">
        <v>0</v>
      </c>
      <c r="AG38">
        <v>0</v>
      </c>
      <c r="AH38">
        <v>0</v>
      </c>
      <c r="AI38">
        <v>4.59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-0.00115</v>
      </c>
      <c r="AV38">
        <v>0</v>
      </c>
      <c r="AW38">
        <v>2</v>
      </c>
      <c r="AX38">
        <v>50962923</v>
      </c>
      <c r="AY38">
        <v>1</v>
      </c>
      <c r="AZ38">
        <v>6144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-0.00047149999999999997</v>
      </c>
      <c r="CY38">
        <f aca="true" t="shared" si="7" ref="CY38:CY44">AA38</f>
        <v>173961</v>
      </c>
      <c r="CZ38">
        <f aca="true" t="shared" si="8" ref="CZ38:CZ44">AE38</f>
        <v>37900</v>
      </c>
      <c r="DA38">
        <f aca="true" t="shared" si="9" ref="DA38:DA44">AI38</f>
        <v>4.59</v>
      </c>
      <c r="DB38">
        <f aca="true" t="shared" si="10" ref="DB38:DB44">ROUND(ROUND(AT38*CZ38,2),6)</f>
        <v>-43.59</v>
      </c>
      <c r="DC38">
        <f aca="true" t="shared" si="11" ref="DC38:DC44">ROUND(ROUND(AT38*AG38,2),6)</f>
        <v>0</v>
      </c>
    </row>
    <row r="39" spans="1:107" ht="12.75">
      <c r="A39">
        <f>ROW(Source!A35)</f>
        <v>35</v>
      </c>
      <c r="B39">
        <v>50961513</v>
      </c>
      <c r="C39">
        <v>50962916</v>
      </c>
      <c r="D39">
        <v>47889287</v>
      </c>
      <c r="E39">
        <v>1</v>
      </c>
      <c r="F39">
        <v>1</v>
      </c>
      <c r="G39">
        <v>1</v>
      </c>
      <c r="H39">
        <v>3</v>
      </c>
      <c r="I39" t="s">
        <v>78</v>
      </c>
      <c r="J39" t="s">
        <v>80</v>
      </c>
      <c r="K39" t="s">
        <v>79</v>
      </c>
      <c r="L39">
        <v>1348</v>
      </c>
      <c r="N39">
        <v>1009</v>
      </c>
      <c r="O39" t="s">
        <v>50</v>
      </c>
      <c r="P39" t="s">
        <v>50</v>
      </c>
      <c r="Q39">
        <v>1000</v>
      </c>
      <c r="W39">
        <v>1</v>
      </c>
      <c r="X39">
        <v>1195780435</v>
      </c>
      <c r="Y39">
        <v>-0.02</v>
      </c>
      <c r="AA39">
        <v>68405.44</v>
      </c>
      <c r="AB39">
        <v>0</v>
      </c>
      <c r="AC39">
        <v>0</v>
      </c>
      <c r="AD39">
        <v>0</v>
      </c>
      <c r="AE39">
        <v>7712</v>
      </c>
      <c r="AF39">
        <v>0</v>
      </c>
      <c r="AG39">
        <v>0</v>
      </c>
      <c r="AH39">
        <v>0</v>
      </c>
      <c r="AI39">
        <v>8.87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-0.02</v>
      </c>
      <c r="AV39">
        <v>0</v>
      </c>
      <c r="AW39">
        <v>2</v>
      </c>
      <c r="AX39">
        <v>50962926</v>
      </c>
      <c r="AY39">
        <v>1</v>
      </c>
      <c r="AZ39">
        <v>6144</v>
      </c>
      <c r="BA39">
        <v>43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-0.008199999999999999</v>
      </c>
      <c r="CY39">
        <f t="shared" si="7"/>
        <v>68405.44</v>
      </c>
      <c r="CZ39">
        <f t="shared" si="8"/>
        <v>7712</v>
      </c>
      <c r="DA39">
        <f t="shared" si="9"/>
        <v>8.87</v>
      </c>
      <c r="DB39">
        <f t="shared" si="10"/>
        <v>-154.24</v>
      </c>
      <c r="DC39">
        <f t="shared" si="11"/>
        <v>0</v>
      </c>
    </row>
    <row r="40" spans="1:107" ht="12.75">
      <c r="A40">
        <f>ROW(Source!A35)</f>
        <v>35</v>
      </c>
      <c r="B40">
        <v>50961513</v>
      </c>
      <c r="C40">
        <v>50962916</v>
      </c>
      <c r="D40">
        <v>47891316</v>
      </c>
      <c r="E40">
        <v>1</v>
      </c>
      <c r="F40">
        <v>1</v>
      </c>
      <c r="G40">
        <v>1</v>
      </c>
      <c r="H40">
        <v>3</v>
      </c>
      <c r="I40" t="s">
        <v>73</v>
      </c>
      <c r="J40" t="s">
        <v>76</v>
      </c>
      <c r="K40" t="s">
        <v>74</v>
      </c>
      <c r="L40">
        <v>1302</v>
      </c>
      <c r="N40">
        <v>1003</v>
      </c>
      <c r="O40" t="s">
        <v>75</v>
      </c>
      <c r="P40" t="s">
        <v>75</v>
      </c>
      <c r="Q40">
        <v>10</v>
      </c>
      <c r="W40">
        <v>1</v>
      </c>
      <c r="X40">
        <v>660380256</v>
      </c>
      <c r="Y40">
        <v>-0.2</v>
      </c>
      <c r="AA40">
        <v>305.96</v>
      </c>
      <c r="AB40">
        <v>0</v>
      </c>
      <c r="AC40">
        <v>0</v>
      </c>
      <c r="AD40">
        <v>0</v>
      </c>
      <c r="AE40">
        <v>50.24</v>
      </c>
      <c r="AF40">
        <v>0</v>
      </c>
      <c r="AG40">
        <v>0</v>
      </c>
      <c r="AH40">
        <v>0</v>
      </c>
      <c r="AI40">
        <v>6.09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-0.2</v>
      </c>
      <c r="AV40">
        <v>0</v>
      </c>
      <c r="AW40">
        <v>2</v>
      </c>
      <c r="AX40">
        <v>50962927</v>
      </c>
      <c r="AY40">
        <v>1</v>
      </c>
      <c r="AZ40">
        <v>6144</v>
      </c>
      <c r="BA40">
        <v>44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-0.082</v>
      </c>
      <c r="CY40">
        <f t="shared" si="7"/>
        <v>305.96</v>
      </c>
      <c r="CZ40">
        <f t="shared" si="8"/>
        <v>50.24</v>
      </c>
      <c r="DA40">
        <f t="shared" si="9"/>
        <v>6.09</v>
      </c>
      <c r="DB40">
        <f t="shared" si="10"/>
        <v>-10.05</v>
      </c>
      <c r="DC40">
        <f t="shared" si="11"/>
        <v>0</v>
      </c>
    </row>
    <row r="41" spans="1:107" ht="12.75">
      <c r="A41">
        <f>ROW(Source!A35)</f>
        <v>35</v>
      </c>
      <c r="B41">
        <v>50961513</v>
      </c>
      <c r="C41">
        <v>50962916</v>
      </c>
      <c r="D41">
        <v>47895708</v>
      </c>
      <c r="E41">
        <v>1</v>
      </c>
      <c r="F41">
        <v>1</v>
      </c>
      <c r="G41">
        <v>1</v>
      </c>
      <c r="H41">
        <v>3</v>
      </c>
      <c r="I41" t="s">
        <v>68</v>
      </c>
      <c r="J41" t="s">
        <v>71</v>
      </c>
      <c r="K41" t="s">
        <v>69</v>
      </c>
      <c r="L41">
        <v>1339</v>
      </c>
      <c r="N41">
        <v>1007</v>
      </c>
      <c r="O41" t="s">
        <v>70</v>
      </c>
      <c r="P41" t="s">
        <v>70</v>
      </c>
      <c r="Q41">
        <v>1</v>
      </c>
      <c r="W41">
        <v>1</v>
      </c>
      <c r="X41">
        <v>-130131740</v>
      </c>
      <c r="Y41">
        <v>-0.04</v>
      </c>
      <c r="AA41">
        <v>9435</v>
      </c>
      <c r="AB41">
        <v>0</v>
      </c>
      <c r="AC41">
        <v>0</v>
      </c>
      <c r="AD41">
        <v>0</v>
      </c>
      <c r="AE41">
        <v>1700</v>
      </c>
      <c r="AF41">
        <v>0</v>
      </c>
      <c r="AG41">
        <v>0</v>
      </c>
      <c r="AH41">
        <v>0</v>
      </c>
      <c r="AI41">
        <v>5.55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-0.04</v>
      </c>
      <c r="AV41">
        <v>0</v>
      </c>
      <c r="AW41">
        <v>2</v>
      </c>
      <c r="AX41">
        <v>50962929</v>
      </c>
      <c r="AY41">
        <v>1</v>
      </c>
      <c r="AZ41">
        <v>6144</v>
      </c>
      <c r="BA41">
        <v>46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-0.016399999999999998</v>
      </c>
      <c r="CY41">
        <f t="shared" si="7"/>
        <v>9435</v>
      </c>
      <c r="CZ41">
        <f t="shared" si="8"/>
        <v>1700</v>
      </c>
      <c r="DA41">
        <f t="shared" si="9"/>
        <v>5.55</v>
      </c>
      <c r="DB41">
        <f t="shared" si="10"/>
        <v>-68</v>
      </c>
      <c r="DC41">
        <f t="shared" si="11"/>
        <v>0</v>
      </c>
    </row>
    <row r="42" spans="1:107" ht="12.75">
      <c r="A42">
        <f>ROW(Source!A35)</f>
        <v>35</v>
      </c>
      <c r="B42">
        <v>50961513</v>
      </c>
      <c r="C42">
        <v>50962916</v>
      </c>
      <c r="D42">
        <v>0</v>
      </c>
      <c r="E42">
        <v>1</v>
      </c>
      <c r="F42">
        <v>1</v>
      </c>
      <c r="G42">
        <v>1</v>
      </c>
      <c r="H42">
        <v>3</v>
      </c>
      <c r="I42" t="s">
        <v>59</v>
      </c>
      <c r="K42" t="s">
        <v>60</v>
      </c>
      <c r="L42">
        <v>1371</v>
      </c>
      <c r="N42">
        <v>1013</v>
      </c>
      <c r="O42" t="s">
        <v>61</v>
      </c>
      <c r="P42" t="s">
        <v>61</v>
      </c>
      <c r="Q42">
        <v>1</v>
      </c>
      <c r="W42">
        <v>0</v>
      </c>
      <c r="X42">
        <v>901786959</v>
      </c>
      <c r="Y42">
        <v>2.439024</v>
      </c>
      <c r="AA42">
        <v>108936.28</v>
      </c>
      <c r="AB42">
        <v>0</v>
      </c>
      <c r="AC42">
        <v>0</v>
      </c>
      <c r="AD42">
        <v>0</v>
      </c>
      <c r="AE42">
        <v>108936.28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T42">
        <v>2.439024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0.9999998399999999</v>
      </c>
      <c r="CY42">
        <f t="shared" si="7"/>
        <v>108936.28</v>
      </c>
      <c r="CZ42">
        <f t="shared" si="8"/>
        <v>108936.28</v>
      </c>
      <c r="DA42">
        <f t="shared" si="9"/>
        <v>1</v>
      </c>
      <c r="DB42">
        <f t="shared" si="10"/>
        <v>265698.2</v>
      </c>
      <c r="DC42">
        <f t="shared" si="11"/>
        <v>0</v>
      </c>
    </row>
    <row r="43" spans="1:107" ht="12.75">
      <c r="A43">
        <f>ROW(Source!A35)</f>
        <v>35</v>
      </c>
      <c r="B43">
        <v>50961513</v>
      </c>
      <c r="C43">
        <v>50962916</v>
      </c>
      <c r="D43">
        <v>0</v>
      </c>
      <c r="E43">
        <v>1</v>
      </c>
      <c r="F43">
        <v>1</v>
      </c>
      <c r="G43">
        <v>1</v>
      </c>
      <c r="H43">
        <v>3</v>
      </c>
      <c r="I43" t="s">
        <v>59</v>
      </c>
      <c r="K43" t="s">
        <v>64</v>
      </c>
      <c r="L43">
        <v>1371</v>
      </c>
      <c r="N43">
        <v>1013</v>
      </c>
      <c r="O43" t="s">
        <v>61</v>
      </c>
      <c r="P43" t="s">
        <v>61</v>
      </c>
      <c r="Q43">
        <v>1</v>
      </c>
      <c r="W43">
        <v>0</v>
      </c>
      <c r="X43">
        <v>-1579696575</v>
      </c>
      <c r="Y43">
        <v>2.439024</v>
      </c>
      <c r="AA43">
        <v>241294.69</v>
      </c>
      <c r="AB43">
        <v>0</v>
      </c>
      <c r="AC43">
        <v>0</v>
      </c>
      <c r="AD43">
        <v>0</v>
      </c>
      <c r="AE43">
        <v>241294.69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T43">
        <v>2.439024</v>
      </c>
      <c r="AV43">
        <v>0</v>
      </c>
      <c r="AW43">
        <v>1</v>
      </c>
      <c r="AX43">
        <v>-1</v>
      </c>
      <c r="AY43">
        <v>0</v>
      </c>
      <c r="AZ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0.9999998399999999</v>
      </c>
      <c r="CY43">
        <f t="shared" si="7"/>
        <v>241294.69</v>
      </c>
      <c r="CZ43">
        <f t="shared" si="8"/>
        <v>241294.69</v>
      </c>
      <c r="DA43">
        <f t="shared" si="9"/>
        <v>1</v>
      </c>
      <c r="DB43">
        <f t="shared" si="10"/>
        <v>588523.54</v>
      </c>
      <c r="DC43">
        <f t="shared" si="11"/>
        <v>0</v>
      </c>
    </row>
    <row r="44" spans="1:107" ht="12.75">
      <c r="A44">
        <f>ROW(Source!A35)</f>
        <v>35</v>
      </c>
      <c r="B44">
        <v>50961513</v>
      </c>
      <c r="C44">
        <v>50962916</v>
      </c>
      <c r="D44">
        <v>0</v>
      </c>
      <c r="E44">
        <v>1</v>
      </c>
      <c r="F44">
        <v>1</v>
      </c>
      <c r="G44">
        <v>1</v>
      </c>
      <c r="H44">
        <v>3</v>
      </c>
      <c r="I44" t="s">
        <v>59</v>
      </c>
      <c r="K44" t="s">
        <v>66</v>
      </c>
      <c r="L44">
        <v>1371</v>
      </c>
      <c r="N44">
        <v>1013</v>
      </c>
      <c r="O44" t="s">
        <v>61</v>
      </c>
      <c r="P44" t="s">
        <v>61</v>
      </c>
      <c r="Q44">
        <v>1</v>
      </c>
      <c r="W44">
        <v>0</v>
      </c>
      <c r="X44">
        <v>-846146321</v>
      </c>
      <c r="Y44">
        <v>2.439024</v>
      </c>
      <c r="AA44">
        <v>587378.89</v>
      </c>
      <c r="AB44">
        <v>0</v>
      </c>
      <c r="AC44">
        <v>0</v>
      </c>
      <c r="AD44">
        <v>0</v>
      </c>
      <c r="AE44">
        <v>587378.89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2.439024</v>
      </c>
      <c r="AV44">
        <v>0</v>
      </c>
      <c r="AW44">
        <v>1</v>
      </c>
      <c r="AX44">
        <v>-1</v>
      </c>
      <c r="AY44">
        <v>0</v>
      </c>
      <c r="AZ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0.9999998399999999</v>
      </c>
      <c r="CY44">
        <f t="shared" si="7"/>
        <v>587378.89</v>
      </c>
      <c r="CZ44">
        <f t="shared" si="8"/>
        <v>587378.89</v>
      </c>
      <c r="DA44">
        <f t="shared" si="9"/>
        <v>1</v>
      </c>
      <c r="DB44">
        <f t="shared" si="10"/>
        <v>1432631.21</v>
      </c>
      <c r="DC44">
        <f t="shared" si="11"/>
        <v>0</v>
      </c>
    </row>
    <row r="45" spans="1:107" ht="12.75">
      <c r="A45">
        <f>ROW(Source!A86)</f>
        <v>86</v>
      </c>
      <c r="B45">
        <v>50947576</v>
      </c>
      <c r="C45">
        <v>50962795</v>
      </c>
      <c r="D45">
        <v>37822898</v>
      </c>
      <c r="E45">
        <v>54</v>
      </c>
      <c r="F45">
        <v>1</v>
      </c>
      <c r="G45">
        <v>1</v>
      </c>
      <c r="H45">
        <v>1</v>
      </c>
      <c r="I45" t="s">
        <v>295</v>
      </c>
      <c r="K45" t="s">
        <v>296</v>
      </c>
      <c r="L45">
        <v>1191</v>
      </c>
      <c r="N45">
        <v>1013</v>
      </c>
      <c r="O45" t="s">
        <v>297</v>
      </c>
      <c r="P45" t="s">
        <v>297</v>
      </c>
      <c r="Q45">
        <v>1</v>
      </c>
      <c r="W45">
        <v>0</v>
      </c>
      <c r="X45">
        <v>1010519658</v>
      </c>
      <c r="Y45">
        <v>80.73</v>
      </c>
      <c r="AA45">
        <v>0</v>
      </c>
      <c r="AB45">
        <v>0</v>
      </c>
      <c r="AC45">
        <v>0</v>
      </c>
      <c r="AD45">
        <v>8.64</v>
      </c>
      <c r="AE45">
        <v>0</v>
      </c>
      <c r="AF45">
        <v>0</v>
      </c>
      <c r="AG45">
        <v>0</v>
      </c>
      <c r="AH45">
        <v>8.64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70.2</v>
      </c>
      <c r="AU45" t="s">
        <v>32</v>
      </c>
      <c r="AV45">
        <v>1</v>
      </c>
      <c r="AW45">
        <v>2</v>
      </c>
      <c r="AX45">
        <v>50962802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Y45*Source!I86</f>
        <v>8.073</v>
      </c>
      <c r="CY45">
        <f>AD45</f>
        <v>8.64</v>
      </c>
      <c r="CZ45">
        <f>AH45</f>
        <v>8.64</v>
      </c>
      <c r="DA45">
        <f>AL45</f>
        <v>1</v>
      </c>
      <c r="DB45">
        <f>ROUND((ROUND(AT45*CZ45,2)*ROUND(1.15,7)),6)</f>
        <v>697.5095</v>
      </c>
      <c r="DC45">
        <f>ROUND((ROUND(AT45*AG45,2)*ROUND(1.15,7)),6)</f>
        <v>0</v>
      </c>
    </row>
    <row r="46" spans="1:107" ht="12.75">
      <c r="A46">
        <f>ROW(Source!A86)</f>
        <v>86</v>
      </c>
      <c r="B46">
        <v>50947576</v>
      </c>
      <c r="C46">
        <v>50962795</v>
      </c>
      <c r="D46">
        <v>37822850</v>
      </c>
      <c r="E46">
        <v>54</v>
      </c>
      <c r="F46">
        <v>1</v>
      </c>
      <c r="G46">
        <v>1</v>
      </c>
      <c r="H46">
        <v>1</v>
      </c>
      <c r="I46" t="s">
        <v>298</v>
      </c>
      <c r="K46" t="s">
        <v>299</v>
      </c>
      <c r="L46">
        <v>1191</v>
      </c>
      <c r="N46">
        <v>1013</v>
      </c>
      <c r="O46" t="s">
        <v>297</v>
      </c>
      <c r="P46" t="s">
        <v>297</v>
      </c>
      <c r="Q46">
        <v>1</v>
      </c>
      <c r="W46">
        <v>0</v>
      </c>
      <c r="X46">
        <v>-1417349443</v>
      </c>
      <c r="Y46">
        <v>0.22499999999999998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0.18</v>
      </c>
      <c r="AU46" t="s">
        <v>31</v>
      </c>
      <c r="AV46">
        <v>2</v>
      </c>
      <c r="AW46">
        <v>2</v>
      </c>
      <c r="AX46">
        <v>50962803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Y46*Source!I86</f>
        <v>0.0225</v>
      </c>
      <c r="CY46">
        <f>AD46</f>
        <v>0</v>
      </c>
      <c r="CZ46">
        <f>AH46</f>
        <v>0</v>
      </c>
      <c r="DA46">
        <f>AL46</f>
        <v>1</v>
      </c>
      <c r="DB46">
        <f>ROUND((ROUND(AT46*CZ46,2)*ROUND(1.25,7)),6)</f>
        <v>0</v>
      </c>
      <c r="DC46">
        <f>ROUND((ROUND(AT46*AG46,2)*ROUND(1.25,7)),6)</f>
        <v>0</v>
      </c>
    </row>
    <row r="47" spans="1:107" ht="12.75">
      <c r="A47">
        <f>ROW(Source!A86)</f>
        <v>86</v>
      </c>
      <c r="B47">
        <v>50947576</v>
      </c>
      <c r="C47">
        <v>50962795</v>
      </c>
      <c r="D47">
        <v>44977280</v>
      </c>
      <c r="E47">
        <v>1</v>
      </c>
      <c r="F47">
        <v>1</v>
      </c>
      <c r="G47">
        <v>1</v>
      </c>
      <c r="H47">
        <v>2</v>
      </c>
      <c r="I47" t="s">
        <v>300</v>
      </c>
      <c r="J47" t="s">
        <v>301</v>
      </c>
      <c r="K47" t="s">
        <v>302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W47">
        <v>0</v>
      </c>
      <c r="X47">
        <v>-1057454432</v>
      </c>
      <c r="Y47">
        <v>0.22499999999999998</v>
      </c>
      <c r="AA47">
        <v>0</v>
      </c>
      <c r="AB47">
        <v>65.71</v>
      </c>
      <c r="AC47">
        <v>11.6</v>
      </c>
      <c r="AD47">
        <v>0</v>
      </c>
      <c r="AE47">
        <v>0</v>
      </c>
      <c r="AF47">
        <v>65.71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0.18</v>
      </c>
      <c r="AU47" t="s">
        <v>31</v>
      </c>
      <c r="AV47">
        <v>0</v>
      </c>
      <c r="AW47">
        <v>2</v>
      </c>
      <c r="AX47">
        <v>50962804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Y47*Source!I86</f>
        <v>0.0225</v>
      </c>
      <c r="CY47">
        <f>AB47</f>
        <v>65.71</v>
      </c>
      <c r="CZ47">
        <f>AF47</f>
        <v>65.71</v>
      </c>
      <c r="DA47">
        <f>AJ47</f>
        <v>1</v>
      </c>
      <c r="DB47">
        <f>ROUND((ROUND(AT47*CZ47,2)*ROUND(1.25,7)),6)</f>
        <v>14.7875</v>
      </c>
      <c r="DC47">
        <f>ROUND((ROUND(AT47*AG47,2)*ROUND(1.25,7)),6)</f>
        <v>2.6125</v>
      </c>
    </row>
    <row r="48" spans="1:107" ht="12.75">
      <c r="A48">
        <f>ROW(Source!A86)</f>
        <v>86</v>
      </c>
      <c r="B48">
        <v>50947576</v>
      </c>
      <c r="C48">
        <v>50962795</v>
      </c>
      <c r="D48">
        <v>44815662</v>
      </c>
      <c r="E48">
        <v>1</v>
      </c>
      <c r="F48">
        <v>1</v>
      </c>
      <c r="G48">
        <v>1</v>
      </c>
      <c r="H48">
        <v>3</v>
      </c>
      <c r="I48" t="s">
        <v>304</v>
      </c>
      <c r="J48" t="s">
        <v>305</v>
      </c>
      <c r="K48" t="s">
        <v>306</v>
      </c>
      <c r="L48">
        <v>1339</v>
      </c>
      <c r="N48">
        <v>1007</v>
      </c>
      <c r="O48" t="s">
        <v>70</v>
      </c>
      <c r="P48" t="s">
        <v>70</v>
      </c>
      <c r="Q48">
        <v>1</v>
      </c>
      <c r="W48">
        <v>0</v>
      </c>
      <c r="X48">
        <v>-1247958079</v>
      </c>
      <c r="Y48">
        <v>0.008</v>
      </c>
      <c r="AA48">
        <v>1100</v>
      </c>
      <c r="AB48">
        <v>0</v>
      </c>
      <c r="AC48">
        <v>0</v>
      </c>
      <c r="AD48">
        <v>0</v>
      </c>
      <c r="AE48">
        <v>1100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0.008</v>
      </c>
      <c r="AV48">
        <v>0</v>
      </c>
      <c r="AW48">
        <v>2</v>
      </c>
      <c r="AX48">
        <v>50962805</v>
      </c>
      <c r="AY48">
        <v>1</v>
      </c>
      <c r="AZ48">
        <v>0</v>
      </c>
      <c r="BA48">
        <v>50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Y48*Source!I86</f>
        <v>0.0008</v>
      </c>
      <c r="CY48">
        <f>AA48</f>
        <v>1100</v>
      </c>
      <c r="CZ48">
        <f>AE48</f>
        <v>1100</v>
      </c>
      <c r="DA48">
        <f>AI48</f>
        <v>1</v>
      </c>
      <c r="DB48">
        <f>ROUND(ROUND(AT48*CZ48,2),6)</f>
        <v>8.8</v>
      </c>
      <c r="DC48">
        <f>ROUND(ROUND(AT48*AG48,2),6)</f>
        <v>0</v>
      </c>
    </row>
    <row r="49" spans="1:107" ht="12.75">
      <c r="A49">
        <f>ROW(Source!A86)</f>
        <v>86</v>
      </c>
      <c r="B49">
        <v>50947576</v>
      </c>
      <c r="C49">
        <v>50962795</v>
      </c>
      <c r="D49">
        <v>44815664</v>
      </c>
      <c r="E49">
        <v>1</v>
      </c>
      <c r="F49">
        <v>1</v>
      </c>
      <c r="G49">
        <v>1</v>
      </c>
      <c r="H49">
        <v>3</v>
      </c>
      <c r="I49" t="s">
        <v>307</v>
      </c>
      <c r="J49" t="s">
        <v>308</v>
      </c>
      <c r="K49" t="s">
        <v>309</v>
      </c>
      <c r="L49">
        <v>1348</v>
      </c>
      <c r="N49">
        <v>1009</v>
      </c>
      <c r="O49" t="s">
        <v>50</v>
      </c>
      <c r="P49" t="s">
        <v>50</v>
      </c>
      <c r="Q49">
        <v>1000</v>
      </c>
      <c r="W49">
        <v>0</v>
      </c>
      <c r="X49">
        <v>-1785850303</v>
      </c>
      <c r="Y49">
        <v>0.029</v>
      </c>
      <c r="AA49">
        <v>6102</v>
      </c>
      <c r="AB49">
        <v>0</v>
      </c>
      <c r="AC49">
        <v>0</v>
      </c>
      <c r="AD49">
        <v>0</v>
      </c>
      <c r="AE49">
        <v>6102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0.029</v>
      </c>
      <c r="AV49">
        <v>0</v>
      </c>
      <c r="AW49">
        <v>2</v>
      </c>
      <c r="AX49">
        <v>50962806</v>
      </c>
      <c r="AY49">
        <v>1</v>
      </c>
      <c r="AZ49">
        <v>0</v>
      </c>
      <c r="BA49">
        <v>51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Y49*Source!I86</f>
        <v>0.0029000000000000002</v>
      </c>
      <c r="CY49">
        <f>AA49</f>
        <v>6102</v>
      </c>
      <c r="CZ49">
        <f>AE49</f>
        <v>6102</v>
      </c>
      <c r="DA49">
        <f>AI49</f>
        <v>1</v>
      </c>
      <c r="DB49">
        <f>ROUND(ROUND(AT49*CZ49,2),6)</f>
        <v>176.96</v>
      </c>
      <c r="DC49">
        <f>ROUND(ROUND(AT49*AG49,2),6)</f>
        <v>0</v>
      </c>
    </row>
    <row r="50" spans="1:107" ht="12.75">
      <c r="A50">
        <f>ROW(Source!A86)</f>
        <v>86</v>
      </c>
      <c r="B50">
        <v>50947576</v>
      </c>
      <c r="C50">
        <v>50962795</v>
      </c>
      <c r="D50">
        <v>44841949</v>
      </c>
      <c r="E50">
        <v>1</v>
      </c>
      <c r="F50">
        <v>1</v>
      </c>
      <c r="G50">
        <v>1</v>
      </c>
      <c r="H50">
        <v>3</v>
      </c>
      <c r="I50" t="s">
        <v>310</v>
      </c>
      <c r="J50" t="s">
        <v>311</v>
      </c>
      <c r="K50" t="s">
        <v>312</v>
      </c>
      <c r="L50">
        <v>1327</v>
      </c>
      <c r="N50">
        <v>1005</v>
      </c>
      <c r="O50" t="s">
        <v>174</v>
      </c>
      <c r="P50" t="s">
        <v>174</v>
      </c>
      <c r="Q50">
        <v>1</v>
      </c>
      <c r="W50">
        <v>0</v>
      </c>
      <c r="X50">
        <v>-1448376696</v>
      </c>
      <c r="Y50">
        <v>5.5</v>
      </c>
      <c r="AA50">
        <v>35.22</v>
      </c>
      <c r="AB50">
        <v>0</v>
      </c>
      <c r="AC50">
        <v>0</v>
      </c>
      <c r="AD50">
        <v>0</v>
      </c>
      <c r="AE50">
        <v>35.22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5.5</v>
      </c>
      <c r="AV50">
        <v>0</v>
      </c>
      <c r="AW50">
        <v>2</v>
      </c>
      <c r="AX50">
        <v>50962807</v>
      </c>
      <c r="AY50">
        <v>1</v>
      </c>
      <c r="AZ50">
        <v>0</v>
      </c>
      <c r="BA50">
        <v>52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Y50*Source!I86</f>
        <v>0.55</v>
      </c>
      <c r="CY50">
        <f>AA50</f>
        <v>35.22</v>
      </c>
      <c r="CZ50">
        <f>AE50</f>
        <v>35.22</v>
      </c>
      <c r="DA50">
        <f>AI50</f>
        <v>1</v>
      </c>
      <c r="DB50">
        <f>ROUND(ROUND(AT50*CZ50,2),6)</f>
        <v>193.71</v>
      </c>
      <c r="DC50">
        <f>ROUND(ROUND(AT50*AG50,2),6)</f>
        <v>0</v>
      </c>
    </row>
    <row r="51" spans="1:107" ht="12.75">
      <c r="A51">
        <f>ROW(Source!A87)</f>
        <v>87</v>
      </c>
      <c r="B51">
        <v>50961513</v>
      </c>
      <c r="C51">
        <v>50962795</v>
      </c>
      <c r="D51">
        <v>37822898</v>
      </c>
      <c r="E51">
        <v>54</v>
      </c>
      <c r="F51">
        <v>1</v>
      </c>
      <c r="G51">
        <v>1</v>
      </c>
      <c r="H51">
        <v>1</v>
      </c>
      <c r="I51" t="s">
        <v>295</v>
      </c>
      <c r="K51" t="s">
        <v>296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1010519658</v>
      </c>
      <c r="Y51">
        <v>80.73</v>
      </c>
      <c r="AA51">
        <v>0</v>
      </c>
      <c r="AB51">
        <v>0</v>
      </c>
      <c r="AC51">
        <v>0</v>
      </c>
      <c r="AD51">
        <v>8.64</v>
      </c>
      <c r="AE51">
        <v>0</v>
      </c>
      <c r="AF51">
        <v>0</v>
      </c>
      <c r="AG51">
        <v>0</v>
      </c>
      <c r="AH51">
        <v>8.64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70.2</v>
      </c>
      <c r="AU51" t="s">
        <v>32</v>
      </c>
      <c r="AV51">
        <v>1</v>
      </c>
      <c r="AW51">
        <v>2</v>
      </c>
      <c r="AX51">
        <v>50962802</v>
      </c>
      <c r="AY51">
        <v>1</v>
      </c>
      <c r="AZ51">
        <v>0</v>
      </c>
      <c r="BA51">
        <v>53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Y51*Source!I87</f>
        <v>8.073</v>
      </c>
      <c r="CY51">
        <f>AD51</f>
        <v>8.64</v>
      </c>
      <c r="CZ51">
        <f>AH51</f>
        <v>8.64</v>
      </c>
      <c r="DA51">
        <f>AL51</f>
        <v>1</v>
      </c>
      <c r="DB51">
        <f>ROUND((ROUND(AT51*CZ51,2)*ROUND(1.15,7)),6)</f>
        <v>697.5095</v>
      </c>
      <c r="DC51">
        <f>ROUND((ROUND(AT51*AG51,2)*ROUND(1.15,7)),6)</f>
        <v>0</v>
      </c>
    </row>
    <row r="52" spans="1:107" ht="12.75">
      <c r="A52">
        <f>ROW(Source!A87)</f>
        <v>87</v>
      </c>
      <c r="B52">
        <v>50961513</v>
      </c>
      <c r="C52">
        <v>50962795</v>
      </c>
      <c r="D52">
        <v>37822850</v>
      </c>
      <c r="E52">
        <v>54</v>
      </c>
      <c r="F52">
        <v>1</v>
      </c>
      <c r="G52">
        <v>1</v>
      </c>
      <c r="H52">
        <v>1</v>
      </c>
      <c r="I52" t="s">
        <v>298</v>
      </c>
      <c r="K52" t="s">
        <v>299</v>
      </c>
      <c r="L52">
        <v>1191</v>
      </c>
      <c r="N52">
        <v>1013</v>
      </c>
      <c r="O52" t="s">
        <v>297</v>
      </c>
      <c r="P52" t="s">
        <v>297</v>
      </c>
      <c r="Q52">
        <v>1</v>
      </c>
      <c r="W52">
        <v>0</v>
      </c>
      <c r="X52">
        <v>-1417349443</v>
      </c>
      <c r="Y52">
        <v>0.22499999999999998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0.18</v>
      </c>
      <c r="AU52" t="s">
        <v>31</v>
      </c>
      <c r="AV52">
        <v>2</v>
      </c>
      <c r="AW52">
        <v>2</v>
      </c>
      <c r="AX52">
        <v>50962803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Y52*Source!I87</f>
        <v>0.0225</v>
      </c>
      <c r="CY52">
        <f>AD52</f>
        <v>0</v>
      </c>
      <c r="CZ52">
        <f>AH52</f>
        <v>0</v>
      </c>
      <c r="DA52">
        <f>AL52</f>
        <v>1</v>
      </c>
      <c r="DB52">
        <f>ROUND((ROUND(AT52*CZ52,2)*ROUND(1.25,7)),6)</f>
        <v>0</v>
      </c>
      <c r="DC52">
        <f>ROUND((ROUND(AT52*AG52,2)*ROUND(1.25,7)),6)</f>
        <v>0</v>
      </c>
    </row>
    <row r="53" spans="1:107" ht="12.75">
      <c r="A53">
        <f>ROW(Source!A87)</f>
        <v>87</v>
      </c>
      <c r="B53">
        <v>50961513</v>
      </c>
      <c r="C53">
        <v>50962795</v>
      </c>
      <c r="D53">
        <v>44977280</v>
      </c>
      <c r="E53">
        <v>1</v>
      </c>
      <c r="F53">
        <v>1</v>
      </c>
      <c r="G53">
        <v>1</v>
      </c>
      <c r="H53">
        <v>2</v>
      </c>
      <c r="I53" t="s">
        <v>300</v>
      </c>
      <c r="J53" t="s">
        <v>301</v>
      </c>
      <c r="K53" t="s">
        <v>302</v>
      </c>
      <c r="L53">
        <v>1368</v>
      </c>
      <c r="N53">
        <v>1011</v>
      </c>
      <c r="O53" t="s">
        <v>303</v>
      </c>
      <c r="P53" t="s">
        <v>303</v>
      </c>
      <c r="Q53">
        <v>1</v>
      </c>
      <c r="W53">
        <v>0</v>
      </c>
      <c r="X53">
        <v>-1057454432</v>
      </c>
      <c r="Y53">
        <v>0.22499999999999998</v>
      </c>
      <c r="AA53">
        <v>0</v>
      </c>
      <c r="AB53">
        <v>758.95</v>
      </c>
      <c r="AC53">
        <v>394.52</v>
      </c>
      <c r="AD53">
        <v>0</v>
      </c>
      <c r="AE53">
        <v>0</v>
      </c>
      <c r="AF53">
        <v>65.71</v>
      </c>
      <c r="AG53">
        <v>11.6</v>
      </c>
      <c r="AH53">
        <v>0</v>
      </c>
      <c r="AI53">
        <v>1</v>
      </c>
      <c r="AJ53">
        <v>11.55</v>
      </c>
      <c r="AK53">
        <v>34.01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0.18</v>
      </c>
      <c r="AU53" t="s">
        <v>31</v>
      </c>
      <c r="AV53">
        <v>0</v>
      </c>
      <c r="AW53">
        <v>2</v>
      </c>
      <c r="AX53">
        <v>50962804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Y53*Source!I87</f>
        <v>0.0225</v>
      </c>
      <c r="CY53">
        <f>AB53</f>
        <v>758.95</v>
      </c>
      <c r="CZ53">
        <f>AF53</f>
        <v>65.71</v>
      </c>
      <c r="DA53">
        <f>AJ53</f>
        <v>11.55</v>
      </c>
      <c r="DB53">
        <f>ROUND((ROUND(AT53*CZ53,2)*ROUND(1.25,7)),6)</f>
        <v>14.7875</v>
      </c>
      <c r="DC53">
        <f>ROUND((ROUND(AT53*AG53,2)*ROUND(1.25,7)),6)</f>
        <v>2.6125</v>
      </c>
    </row>
    <row r="54" spans="1:107" ht="12.75">
      <c r="A54">
        <f>ROW(Source!A87)</f>
        <v>87</v>
      </c>
      <c r="B54">
        <v>50961513</v>
      </c>
      <c r="C54">
        <v>50962795</v>
      </c>
      <c r="D54">
        <v>44815662</v>
      </c>
      <c r="E54">
        <v>1</v>
      </c>
      <c r="F54">
        <v>1</v>
      </c>
      <c r="G54">
        <v>1</v>
      </c>
      <c r="H54">
        <v>3</v>
      </c>
      <c r="I54" t="s">
        <v>304</v>
      </c>
      <c r="J54" t="s">
        <v>305</v>
      </c>
      <c r="K54" t="s">
        <v>306</v>
      </c>
      <c r="L54">
        <v>1339</v>
      </c>
      <c r="N54">
        <v>1007</v>
      </c>
      <c r="O54" t="s">
        <v>70</v>
      </c>
      <c r="P54" t="s">
        <v>70</v>
      </c>
      <c r="Q54">
        <v>1</v>
      </c>
      <c r="W54">
        <v>0</v>
      </c>
      <c r="X54">
        <v>-1247958079</v>
      </c>
      <c r="Y54">
        <v>0.008</v>
      </c>
      <c r="AA54">
        <v>4895</v>
      </c>
      <c r="AB54">
        <v>0</v>
      </c>
      <c r="AC54">
        <v>0</v>
      </c>
      <c r="AD54">
        <v>0</v>
      </c>
      <c r="AE54">
        <v>1100</v>
      </c>
      <c r="AF54">
        <v>0</v>
      </c>
      <c r="AG54">
        <v>0</v>
      </c>
      <c r="AH54">
        <v>0</v>
      </c>
      <c r="AI54">
        <v>4.45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0.008</v>
      </c>
      <c r="AV54">
        <v>0</v>
      </c>
      <c r="AW54">
        <v>2</v>
      </c>
      <c r="AX54">
        <v>50962805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Y54*Source!I87</f>
        <v>0.0008</v>
      </c>
      <c r="CY54">
        <f>AA54</f>
        <v>4895</v>
      </c>
      <c r="CZ54">
        <f>AE54</f>
        <v>1100</v>
      </c>
      <c r="DA54">
        <f>AI54</f>
        <v>4.45</v>
      </c>
      <c r="DB54">
        <f aca="true" t="shared" si="12" ref="DB54:DB64">ROUND(ROUND(AT54*CZ54,2),6)</f>
        <v>8.8</v>
      </c>
      <c r="DC54">
        <f aca="true" t="shared" si="13" ref="DC54:DC64">ROUND(ROUND(AT54*AG54,2),6)</f>
        <v>0</v>
      </c>
    </row>
    <row r="55" spans="1:107" ht="12.75">
      <c r="A55">
        <f>ROW(Source!A87)</f>
        <v>87</v>
      </c>
      <c r="B55">
        <v>50961513</v>
      </c>
      <c r="C55">
        <v>50962795</v>
      </c>
      <c r="D55">
        <v>44815664</v>
      </c>
      <c r="E55">
        <v>1</v>
      </c>
      <c r="F55">
        <v>1</v>
      </c>
      <c r="G55">
        <v>1</v>
      </c>
      <c r="H55">
        <v>3</v>
      </c>
      <c r="I55" t="s">
        <v>307</v>
      </c>
      <c r="J55" t="s">
        <v>308</v>
      </c>
      <c r="K55" t="s">
        <v>309</v>
      </c>
      <c r="L55">
        <v>1348</v>
      </c>
      <c r="N55">
        <v>1009</v>
      </c>
      <c r="O55" t="s">
        <v>50</v>
      </c>
      <c r="P55" t="s">
        <v>50</v>
      </c>
      <c r="Q55">
        <v>1000</v>
      </c>
      <c r="W55">
        <v>0</v>
      </c>
      <c r="X55">
        <v>-1785850303</v>
      </c>
      <c r="Y55">
        <v>0.029</v>
      </c>
      <c r="AA55">
        <v>36367.92</v>
      </c>
      <c r="AB55">
        <v>0</v>
      </c>
      <c r="AC55">
        <v>0</v>
      </c>
      <c r="AD55">
        <v>0</v>
      </c>
      <c r="AE55">
        <v>6102</v>
      </c>
      <c r="AF55">
        <v>0</v>
      </c>
      <c r="AG55">
        <v>0</v>
      </c>
      <c r="AH55">
        <v>0</v>
      </c>
      <c r="AI55">
        <v>5.96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0.029</v>
      </c>
      <c r="AV55">
        <v>0</v>
      </c>
      <c r="AW55">
        <v>2</v>
      </c>
      <c r="AX55">
        <v>50962806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Y55*Source!I87</f>
        <v>0.0029000000000000002</v>
      </c>
      <c r="CY55">
        <f>AA55</f>
        <v>36367.92</v>
      </c>
      <c r="CZ55">
        <f>AE55</f>
        <v>6102</v>
      </c>
      <c r="DA55">
        <f>AI55</f>
        <v>5.96</v>
      </c>
      <c r="DB55">
        <f t="shared" si="12"/>
        <v>176.96</v>
      </c>
      <c r="DC55">
        <f t="shared" si="13"/>
        <v>0</v>
      </c>
    </row>
    <row r="56" spans="1:107" ht="12.75">
      <c r="A56">
        <f>ROW(Source!A87)</f>
        <v>87</v>
      </c>
      <c r="B56">
        <v>50961513</v>
      </c>
      <c r="C56">
        <v>50962795</v>
      </c>
      <c r="D56">
        <v>44841949</v>
      </c>
      <c r="E56">
        <v>1</v>
      </c>
      <c r="F56">
        <v>1</v>
      </c>
      <c r="G56">
        <v>1</v>
      </c>
      <c r="H56">
        <v>3</v>
      </c>
      <c r="I56" t="s">
        <v>310</v>
      </c>
      <c r="J56" t="s">
        <v>311</v>
      </c>
      <c r="K56" t="s">
        <v>312</v>
      </c>
      <c r="L56">
        <v>1327</v>
      </c>
      <c r="N56">
        <v>1005</v>
      </c>
      <c r="O56" t="s">
        <v>174</v>
      </c>
      <c r="P56" t="s">
        <v>174</v>
      </c>
      <c r="Q56">
        <v>1</v>
      </c>
      <c r="W56">
        <v>0</v>
      </c>
      <c r="X56">
        <v>-1448376696</v>
      </c>
      <c r="Y56">
        <v>5.5</v>
      </c>
      <c r="AA56">
        <v>431.45</v>
      </c>
      <c r="AB56">
        <v>0</v>
      </c>
      <c r="AC56">
        <v>0</v>
      </c>
      <c r="AD56">
        <v>0</v>
      </c>
      <c r="AE56">
        <v>35.22</v>
      </c>
      <c r="AF56">
        <v>0</v>
      </c>
      <c r="AG56">
        <v>0</v>
      </c>
      <c r="AH56">
        <v>0</v>
      </c>
      <c r="AI56">
        <v>12.25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5.5</v>
      </c>
      <c r="AV56">
        <v>0</v>
      </c>
      <c r="AW56">
        <v>2</v>
      </c>
      <c r="AX56">
        <v>50962807</v>
      </c>
      <c r="AY56">
        <v>1</v>
      </c>
      <c r="AZ56">
        <v>0</v>
      </c>
      <c r="BA56">
        <v>58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Y56*Source!I87</f>
        <v>0.55</v>
      </c>
      <c r="CY56">
        <f>AA56</f>
        <v>431.45</v>
      </c>
      <c r="CZ56">
        <f>AE56</f>
        <v>35.22</v>
      </c>
      <c r="DA56">
        <f>AI56</f>
        <v>12.25</v>
      </c>
      <c r="DB56">
        <f t="shared" si="12"/>
        <v>193.71</v>
      </c>
      <c r="DC56">
        <f t="shared" si="13"/>
        <v>0</v>
      </c>
    </row>
    <row r="57" spans="1:107" ht="12.75">
      <c r="A57">
        <f>ROW(Source!A88)</f>
        <v>88</v>
      </c>
      <c r="B57">
        <v>50947576</v>
      </c>
      <c r="C57">
        <v>50961395</v>
      </c>
      <c r="D57">
        <v>37822883</v>
      </c>
      <c r="E57">
        <v>58</v>
      </c>
      <c r="F57">
        <v>1</v>
      </c>
      <c r="G57">
        <v>1</v>
      </c>
      <c r="H57">
        <v>1</v>
      </c>
      <c r="I57" t="s">
        <v>313</v>
      </c>
      <c r="K57" t="s">
        <v>314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W57">
        <v>0</v>
      </c>
      <c r="X57">
        <v>-228054128</v>
      </c>
      <c r="Y57">
        <v>46.11</v>
      </c>
      <c r="AA57">
        <v>0</v>
      </c>
      <c r="AB57">
        <v>0</v>
      </c>
      <c r="AC57">
        <v>0</v>
      </c>
      <c r="AD57">
        <v>8.02</v>
      </c>
      <c r="AE57">
        <v>0</v>
      </c>
      <c r="AF57">
        <v>0</v>
      </c>
      <c r="AG57">
        <v>0</v>
      </c>
      <c r="AH57">
        <v>8.02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46.11</v>
      </c>
      <c r="AV57">
        <v>1</v>
      </c>
      <c r="AW57">
        <v>2</v>
      </c>
      <c r="AX57">
        <v>50961400</v>
      </c>
      <c r="AY57">
        <v>1</v>
      </c>
      <c r="AZ57">
        <v>0</v>
      </c>
      <c r="BA57">
        <v>59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Y57*Source!I88</f>
        <v>3.6888</v>
      </c>
      <c r="CY57">
        <f>AD57</f>
        <v>8.02</v>
      </c>
      <c r="CZ57">
        <f>AH57</f>
        <v>8.02</v>
      </c>
      <c r="DA57">
        <f>AL57</f>
        <v>1</v>
      </c>
      <c r="DB57">
        <f t="shared" si="12"/>
        <v>369.8</v>
      </c>
      <c r="DC57">
        <f t="shared" si="13"/>
        <v>0</v>
      </c>
    </row>
    <row r="58" spans="1:107" ht="12.75">
      <c r="A58">
        <f>ROW(Source!A88)</f>
        <v>88</v>
      </c>
      <c r="B58">
        <v>50947576</v>
      </c>
      <c r="C58">
        <v>50961395</v>
      </c>
      <c r="D58">
        <v>49459566</v>
      </c>
      <c r="E58">
        <v>58</v>
      </c>
      <c r="F58">
        <v>1</v>
      </c>
      <c r="G58">
        <v>1</v>
      </c>
      <c r="H58">
        <v>1</v>
      </c>
      <c r="I58" t="s">
        <v>315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W58">
        <v>0</v>
      </c>
      <c r="X58">
        <v>-1173606021</v>
      </c>
      <c r="Y58">
        <v>0.93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0.93</v>
      </c>
      <c r="AV58">
        <v>2</v>
      </c>
      <c r="AW58">
        <v>2</v>
      </c>
      <c r="AX58">
        <v>50961401</v>
      </c>
      <c r="AY58">
        <v>1</v>
      </c>
      <c r="AZ58">
        <v>0</v>
      </c>
      <c r="BA58">
        <v>60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Y58*Source!I88</f>
        <v>0.07440000000000001</v>
      </c>
      <c r="CY58">
        <f>AD58</f>
        <v>0</v>
      </c>
      <c r="CZ58">
        <f>AH58</f>
        <v>0</v>
      </c>
      <c r="DA58">
        <f>AL58</f>
        <v>1</v>
      </c>
      <c r="DB58">
        <f t="shared" si="12"/>
        <v>0</v>
      </c>
      <c r="DC58">
        <f t="shared" si="13"/>
        <v>0</v>
      </c>
    </row>
    <row r="59" spans="1:107" ht="12.75">
      <c r="A59">
        <f>ROW(Source!A88)</f>
        <v>88</v>
      </c>
      <c r="B59">
        <v>50947576</v>
      </c>
      <c r="C59">
        <v>50961395</v>
      </c>
      <c r="D59">
        <v>49620537</v>
      </c>
      <c r="E59">
        <v>1</v>
      </c>
      <c r="F59">
        <v>1</v>
      </c>
      <c r="G59">
        <v>1</v>
      </c>
      <c r="H59">
        <v>2</v>
      </c>
      <c r="I59" t="s">
        <v>316</v>
      </c>
      <c r="J59" t="s">
        <v>317</v>
      </c>
      <c r="K59" t="s">
        <v>318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W59">
        <v>0</v>
      </c>
      <c r="X59">
        <v>-1360328220</v>
      </c>
      <c r="Y59">
        <v>0.93</v>
      </c>
      <c r="AA59">
        <v>0</v>
      </c>
      <c r="AB59">
        <v>31.26</v>
      </c>
      <c r="AC59">
        <v>13.5</v>
      </c>
      <c r="AD59">
        <v>0</v>
      </c>
      <c r="AE59">
        <v>0</v>
      </c>
      <c r="AF59">
        <v>31.26</v>
      </c>
      <c r="AG59">
        <v>13.5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0.93</v>
      </c>
      <c r="AV59">
        <v>0</v>
      </c>
      <c r="AW59">
        <v>2</v>
      </c>
      <c r="AX59">
        <v>50961402</v>
      </c>
      <c r="AY59">
        <v>1</v>
      </c>
      <c r="AZ59">
        <v>0</v>
      </c>
      <c r="BA59">
        <v>61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Y59*Source!I88</f>
        <v>0.07440000000000001</v>
      </c>
      <c r="CY59">
        <f>AB59</f>
        <v>31.26</v>
      </c>
      <c r="CZ59">
        <f>AF59</f>
        <v>31.26</v>
      </c>
      <c r="DA59">
        <f>AJ59</f>
        <v>1</v>
      </c>
      <c r="DB59">
        <f t="shared" si="12"/>
        <v>29.07</v>
      </c>
      <c r="DC59">
        <f t="shared" si="13"/>
        <v>12.56</v>
      </c>
    </row>
    <row r="60" spans="1:107" ht="12.75">
      <c r="A60">
        <f>ROW(Source!A88)</f>
        <v>88</v>
      </c>
      <c r="B60">
        <v>50947576</v>
      </c>
      <c r="C60">
        <v>50961395</v>
      </c>
      <c r="D60">
        <v>49463934</v>
      </c>
      <c r="E60">
        <v>58</v>
      </c>
      <c r="F60">
        <v>1</v>
      </c>
      <c r="G60">
        <v>1</v>
      </c>
      <c r="H60">
        <v>3</v>
      </c>
      <c r="I60" t="s">
        <v>48</v>
      </c>
      <c r="K60" t="s">
        <v>49</v>
      </c>
      <c r="L60">
        <v>1348</v>
      </c>
      <c r="N60">
        <v>1009</v>
      </c>
      <c r="O60" t="s">
        <v>50</v>
      </c>
      <c r="P60" t="s">
        <v>50</v>
      </c>
      <c r="Q60">
        <v>1000</v>
      </c>
      <c r="W60">
        <v>0</v>
      </c>
      <c r="X60">
        <v>2102561428</v>
      </c>
      <c r="Y60">
        <v>3.42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T60">
        <v>3.42</v>
      </c>
      <c r="AV60">
        <v>0</v>
      </c>
      <c r="AW60">
        <v>2</v>
      </c>
      <c r="AX60">
        <v>50961403</v>
      </c>
      <c r="AY60">
        <v>1</v>
      </c>
      <c r="AZ60">
        <v>0</v>
      </c>
      <c r="BA60">
        <v>62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Y60*Source!I88</f>
        <v>0.2736</v>
      </c>
      <c r="CY60">
        <f>AA60</f>
        <v>0</v>
      </c>
      <c r="CZ60">
        <f>AE60</f>
        <v>0</v>
      </c>
      <c r="DA60">
        <f>AI60</f>
        <v>1</v>
      </c>
      <c r="DB60">
        <f t="shared" si="12"/>
        <v>0</v>
      </c>
      <c r="DC60">
        <f t="shared" si="13"/>
        <v>0</v>
      </c>
    </row>
    <row r="61" spans="1:107" ht="12.75">
      <c r="A61">
        <f>ROW(Source!A89)</f>
        <v>89</v>
      </c>
      <c r="B61">
        <v>50961513</v>
      </c>
      <c r="C61">
        <v>50961395</v>
      </c>
      <c r="D61">
        <v>37822883</v>
      </c>
      <c r="E61">
        <v>58</v>
      </c>
      <c r="F61">
        <v>1</v>
      </c>
      <c r="G61">
        <v>1</v>
      </c>
      <c r="H61">
        <v>1</v>
      </c>
      <c r="I61" t="s">
        <v>313</v>
      </c>
      <c r="K61" t="s">
        <v>314</v>
      </c>
      <c r="L61">
        <v>1191</v>
      </c>
      <c r="N61">
        <v>1013</v>
      </c>
      <c r="O61" t="s">
        <v>297</v>
      </c>
      <c r="P61" t="s">
        <v>297</v>
      </c>
      <c r="Q61">
        <v>1</v>
      </c>
      <c r="W61">
        <v>0</v>
      </c>
      <c r="X61">
        <v>-228054128</v>
      </c>
      <c r="Y61">
        <v>46.11</v>
      </c>
      <c r="AA61">
        <v>0</v>
      </c>
      <c r="AB61">
        <v>0</v>
      </c>
      <c r="AC61">
        <v>0</v>
      </c>
      <c r="AD61">
        <v>8.02</v>
      </c>
      <c r="AE61">
        <v>0</v>
      </c>
      <c r="AF61">
        <v>0</v>
      </c>
      <c r="AG61">
        <v>0</v>
      </c>
      <c r="AH61">
        <v>8.02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46.11</v>
      </c>
      <c r="AV61">
        <v>1</v>
      </c>
      <c r="AW61">
        <v>2</v>
      </c>
      <c r="AX61">
        <v>50961400</v>
      </c>
      <c r="AY61">
        <v>1</v>
      </c>
      <c r="AZ61">
        <v>0</v>
      </c>
      <c r="BA61">
        <v>63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Y61*Source!I89</f>
        <v>3.6888</v>
      </c>
      <c r="CY61">
        <f>AD61</f>
        <v>8.02</v>
      </c>
      <c r="CZ61">
        <f>AH61</f>
        <v>8.02</v>
      </c>
      <c r="DA61">
        <f>AL61</f>
        <v>1</v>
      </c>
      <c r="DB61">
        <f t="shared" si="12"/>
        <v>369.8</v>
      </c>
      <c r="DC61">
        <f t="shared" si="13"/>
        <v>0</v>
      </c>
    </row>
    <row r="62" spans="1:107" ht="12.75">
      <c r="A62">
        <f>ROW(Source!A89)</f>
        <v>89</v>
      </c>
      <c r="B62">
        <v>50961513</v>
      </c>
      <c r="C62">
        <v>50961395</v>
      </c>
      <c r="D62">
        <v>49459566</v>
      </c>
      <c r="E62">
        <v>58</v>
      </c>
      <c r="F62">
        <v>1</v>
      </c>
      <c r="G62">
        <v>1</v>
      </c>
      <c r="H62">
        <v>1</v>
      </c>
      <c r="I62" t="s">
        <v>315</v>
      </c>
      <c r="K62" t="s">
        <v>299</v>
      </c>
      <c r="L62">
        <v>1191</v>
      </c>
      <c r="N62">
        <v>1013</v>
      </c>
      <c r="O62" t="s">
        <v>297</v>
      </c>
      <c r="P62" t="s">
        <v>297</v>
      </c>
      <c r="Q62">
        <v>1</v>
      </c>
      <c r="W62">
        <v>0</v>
      </c>
      <c r="X62">
        <v>-1173606021</v>
      </c>
      <c r="Y62">
        <v>0.93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0.93</v>
      </c>
      <c r="AV62">
        <v>2</v>
      </c>
      <c r="AW62">
        <v>2</v>
      </c>
      <c r="AX62">
        <v>50961401</v>
      </c>
      <c r="AY62">
        <v>1</v>
      </c>
      <c r="AZ62">
        <v>0</v>
      </c>
      <c r="BA62">
        <v>64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Y62*Source!I89</f>
        <v>0.07440000000000001</v>
      </c>
      <c r="CY62">
        <f>AD62</f>
        <v>0</v>
      </c>
      <c r="CZ62">
        <f>AH62</f>
        <v>0</v>
      </c>
      <c r="DA62">
        <f>AL62</f>
        <v>1</v>
      </c>
      <c r="DB62">
        <f t="shared" si="12"/>
        <v>0</v>
      </c>
      <c r="DC62">
        <f t="shared" si="13"/>
        <v>0</v>
      </c>
    </row>
    <row r="63" spans="1:107" ht="12.75">
      <c r="A63">
        <f>ROW(Source!A89)</f>
        <v>89</v>
      </c>
      <c r="B63">
        <v>50961513</v>
      </c>
      <c r="C63">
        <v>50961395</v>
      </c>
      <c r="D63">
        <v>49620537</v>
      </c>
      <c r="E63">
        <v>1</v>
      </c>
      <c r="F63">
        <v>1</v>
      </c>
      <c r="G63">
        <v>1</v>
      </c>
      <c r="H63">
        <v>2</v>
      </c>
      <c r="I63" t="s">
        <v>316</v>
      </c>
      <c r="J63" t="s">
        <v>317</v>
      </c>
      <c r="K63" t="s">
        <v>318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W63">
        <v>0</v>
      </c>
      <c r="X63">
        <v>-1360328220</v>
      </c>
      <c r="Y63">
        <v>0.93</v>
      </c>
      <c r="AA63">
        <v>0</v>
      </c>
      <c r="AB63">
        <v>474.53</v>
      </c>
      <c r="AC63">
        <v>459.14</v>
      </c>
      <c r="AD63">
        <v>0</v>
      </c>
      <c r="AE63">
        <v>0</v>
      </c>
      <c r="AF63">
        <v>31.26</v>
      </c>
      <c r="AG63">
        <v>13.5</v>
      </c>
      <c r="AH63">
        <v>0</v>
      </c>
      <c r="AI63">
        <v>1</v>
      </c>
      <c r="AJ63">
        <v>15.18</v>
      </c>
      <c r="AK63">
        <v>34.01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0.93</v>
      </c>
      <c r="AV63">
        <v>0</v>
      </c>
      <c r="AW63">
        <v>2</v>
      </c>
      <c r="AX63">
        <v>50961402</v>
      </c>
      <c r="AY63">
        <v>1</v>
      </c>
      <c r="AZ63">
        <v>0</v>
      </c>
      <c r="BA63">
        <v>65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Y63*Source!I89</f>
        <v>0.07440000000000001</v>
      </c>
      <c r="CY63">
        <f>AB63</f>
        <v>474.53</v>
      </c>
      <c r="CZ63">
        <f>AF63</f>
        <v>31.26</v>
      </c>
      <c r="DA63">
        <f>AJ63</f>
        <v>15.18</v>
      </c>
      <c r="DB63">
        <f t="shared" si="12"/>
        <v>29.07</v>
      </c>
      <c r="DC63">
        <f t="shared" si="13"/>
        <v>12.56</v>
      </c>
    </row>
    <row r="64" spans="1:107" ht="12.75">
      <c r="A64">
        <f>ROW(Source!A89)</f>
        <v>89</v>
      </c>
      <c r="B64">
        <v>50961513</v>
      </c>
      <c r="C64">
        <v>50961395</v>
      </c>
      <c r="D64">
        <v>49463934</v>
      </c>
      <c r="E64">
        <v>58</v>
      </c>
      <c r="F64">
        <v>1</v>
      </c>
      <c r="G64">
        <v>1</v>
      </c>
      <c r="H64">
        <v>3</v>
      </c>
      <c r="I64" t="s">
        <v>48</v>
      </c>
      <c r="K64" t="s">
        <v>49</v>
      </c>
      <c r="L64">
        <v>1348</v>
      </c>
      <c r="N64">
        <v>1009</v>
      </c>
      <c r="O64" t="s">
        <v>50</v>
      </c>
      <c r="P64" t="s">
        <v>50</v>
      </c>
      <c r="Q64">
        <v>1000</v>
      </c>
      <c r="W64">
        <v>0</v>
      </c>
      <c r="X64">
        <v>2102561428</v>
      </c>
      <c r="Y64">
        <v>3.42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T64">
        <v>3.42</v>
      </c>
      <c r="AV64">
        <v>0</v>
      </c>
      <c r="AW64">
        <v>2</v>
      </c>
      <c r="AX64">
        <v>50961403</v>
      </c>
      <c r="AY64">
        <v>1</v>
      </c>
      <c r="AZ64">
        <v>0</v>
      </c>
      <c r="BA64">
        <v>66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Y64*Source!I89</f>
        <v>0.2736</v>
      </c>
      <c r="CY64">
        <f>AA64</f>
        <v>0</v>
      </c>
      <c r="CZ64">
        <f>AE64</f>
        <v>0</v>
      </c>
      <c r="DA64">
        <f>AI64</f>
        <v>1</v>
      </c>
      <c r="DB64">
        <f t="shared" si="12"/>
        <v>0</v>
      </c>
      <c r="DC64">
        <f t="shared" si="13"/>
        <v>0</v>
      </c>
    </row>
    <row r="65" spans="1:107" ht="12.75">
      <c r="A65">
        <f>ROW(Source!A92)</f>
        <v>92</v>
      </c>
      <c r="B65">
        <v>50947576</v>
      </c>
      <c r="C65">
        <v>50961405</v>
      </c>
      <c r="D65">
        <v>49459391</v>
      </c>
      <c r="E65">
        <v>58</v>
      </c>
      <c r="F65">
        <v>1</v>
      </c>
      <c r="G65">
        <v>1</v>
      </c>
      <c r="H65">
        <v>1</v>
      </c>
      <c r="I65" t="s">
        <v>327</v>
      </c>
      <c r="K65" t="s">
        <v>328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-784637506</v>
      </c>
      <c r="Y65">
        <v>98.056</v>
      </c>
      <c r="AA65">
        <v>0</v>
      </c>
      <c r="AB65">
        <v>0</v>
      </c>
      <c r="AC65">
        <v>0</v>
      </c>
      <c r="AD65">
        <v>8.74</v>
      </c>
      <c r="AE65">
        <v>0</v>
      </c>
      <c r="AF65">
        <v>0</v>
      </c>
      <c r="AG65">
        <v>0</v>
      </c>
      <c r="AH65">
        <v>8.74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122.57</v>
      </c>
      <c r="AU65" t="s">
        <v>150</v>
      </c>
      <c r="AV65">
        <v>1</v>
      </c>
      <c r="AW65">
        <v>2</v>
      </c>
      <c r="AX65">
        <v>50961406</v>
      </c>
      <c r="AY65">
        <v>1</v>
      </c>
      <c r="AZ65">
        <v>0</v>
      </c>
      <c r="BA65">
        <v>67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Y65*Source!I92</f>
        <v>3.92224</v>
      </c>
      <c r="CY65">
        <f>AD65</f>
        <v>8.74</v>
      </c>
      <c r="CZ65">
        <f>AH65</f>
        <v>8.74</v>
      </c>
      <c r="DA65">
        <f>AL65</f>
        <v>1</v>
      </c>
      <c r="DB65">
        <f>ROUND((ROUND(AT65*CZ65,2)*ROUND(0.8,7)),6)</f>
        <v>857.008</v>
      </c>
      <c r="DC65">
        <f>ROUND((ROUND(AT65*AG65,2)*ROUND(0.8,7)),6)</f>
        <v>0</v>
      </c>
    </row>
    <row r="66" spans="1:107" ht="12.75">
      <c r="A66">
        <f>ROW(Source!A92)</f>
        <v>92</v>
      </c>
      <c r="B66">
        <v>50947576</v>
      </c>
      <c r="C66">
        <v>50961405</v>
      </c>
      <c r="D66">
        <v>49459566</v>
      </c>
      <c r="E66">
        <v>58</v>
      </c>
      <c r="F66">
        <v>1</v>
      </c>
      <c r="G66">
        <v>1</v>
      </c>
      <c r="H66">
        <v>1</v>
      </c>
      <c r="I66" t="s">
        <v>315</v>
      </c>
      <c r="K66" t="s">
        <v>299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-1173606021</v>
      </c>
      <c r="Y66">
        <v>3.04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3.8</v>
      </c>
      <c r="AU66" t="s">
        <v>150</v>
      </c>
      <c r="AV66">
        <v>2</v>
      </c>
      <c r="AW66">
        <v>2</v>
      </c>
      <c r="AX66">
        <v>50961407</v>
      </c>
      <c r="AY66">
        <v>1</v>
      </c>
      <c r="AZ66">
        <v>0</v>
      </c>
      <c r="BA66">
        <v>68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Y66*Source!I92</f>
        <v>0.1216</v>
      </c>
      <c r="CY66">
        <f>AD66</f>
        <v>0</v>
      </c>
      <c r="CZ66">
        <f>AH66</f>
        <v>0</v>
      </c>
      <c r="DA66">
        <f>AL66</f>
        <v>1</v>
      </c>
      <c r="DB66">
        <f>ROUND((ROUND(AT66*CZ66,2)*ROUND(0.8,7)),6)</f>
        <v>0</v>
      </c>
      <c r="DC66">
        <f>ROUND((ROUND(AT66*AG66,2)*ROUND(0.8,7)),6)</f>
        <v>0</v>
      </c>
    </row>
    <row r="67" spans="1:107" ht="12.75">
      <c r="A67">
        <f>ROW(Source!A92)</f>
        <v>92</v>
      </c>
      <c r="B67">
        <v>50947576</v>
      </c>
      <c r="C67">
        <v>50961405</v>
      </c>
      <c r="D67">
        <v>49620537</v>
      </c>
      <c r="E67">
        <v>1</v>
      </c>
      <c r="F67">
        <v>1</v>
      </c>
      <c r="G67">
        <v>1</v>
      </c>
      <c r="H67">
        <v>2</v>
      </c>
      <c r="I67" t="s">
        <v>316</v>
      </c>
      <c r="J67" t="s">
        <v>317</v>
      </c>
      <c r="K67" t="s">
        <v>318</v>
      </c>
      <c r="L67">
        <v>1368</v>
      </c>
      <c r="N67">
        <v>1011</v>
      </c>
      <c r="O67" t="s">
        <v>303</v>
      </c>
      <c r="P67" t="s">
        <v>303</v>
      </c>
      <c r="Q67">
        <v>1</v>
      </c>
      <c r="W67">
        <v>0</v>
      </c>
      <c r="X67">
        <v>-1360328220</v>
      </c>
      <c r="Y67">
        <v>0.41600000000000004</v>
      </c>
      <c r="AA67">
        <v>0</v>
      </c>
      <c r="AB67">
        <v>31.26</v>
      </c>
      <c r="AC67">
        <v>13.5</v>
      </c>
      <c r="AD67">
        <v>0</v>
      </c>
      <c r="AE67">
        <v>0</v>
      </c>
      <c r="AF67">
        <v>31.26</v>
      </c>
      <c r="AG67">
        <v>13.5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0.52</v>
      </c>
      <c r="AU67" t="s">
        <v>150</v>
      </c>
      <c r="AV67">
        <v>0</v>
      </c>
      <c r="AW67">
        <v>2</v>
      </c>
      <c r="AX67">
        <v>50961408</v>
      </c>
      <c r="AY67">
        <v>1</v>
      </c>
      <c r="AZ67">
        <v>0</v>
      </c>
      <c r="BA67">
        <v>69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Y67*Source!I92</f>
        <v>0.016640000000000002</v>
      </c>
      <c r="CY67">
        <f>AB67</f>
        <v>31.26</v>
      </c>
      <c r="CZ67">
        <f>AF67</f>
        <v>31.26</v>
      </c>
      <c r="DA67">
        <f>AJ67</f>
        <v>1</v>
      </c>
      <c r="DB67">
        <f>ROUND((ROUND(AT67*CZ67,2)*ROUND(0.8,7)),6)</f>
        <v>13.008</v>
      </c>
      <c r="DC67">
        <f>ROUND((ROUND(AT67*AG67,2)*ROUND(0.8,7)),6)</f>
        <v>5.616</v>
      </c>
    </row>
    <row r="68" spans="1:107" ht="12.75">
      <c r="A68">
        <f>ROW(Source!A92)</f>
        <v>92</v>
      </c>
      <c r="B68">
        <v>50947576</v>
      </c>
      <c r="C68">
        <v>50961405</v>
      </c>
      <c r="D68">
        <v>49621268</v>
      </c>
      <c r="E68">
        <v>1</v>
      </c>
      <c r="F68">
        <v>1</v>
      </c>
      <c r="G68">
        <v>1</v>
      </c>
      <c r="H68">
        <v>2</v>
      </c>
      <c r="I68" t="s">
        <v>300</v>
      </c>
      <c r="J68" t="s">
        <v>301</v>
      </c>
      <c r="K68" t="s">
        <v>302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1862470278</v>
      </c>
      <c r="Y68">
        <v>2.624</v>
      </c>
      <c r="AA68">
        <v>0</v>
      </c>
      <c r="AB68">
        <v>65.71</v>
      </c>
      <c r="AC68">
        <v>11.6</v>
      </c>
      <c r="AD68">
        <v>0</v>
      </c>
      <c r="AE68">
        <v>0</v>
      </c>
      <c r="AF68">
        <v>65.71</v>
      </c>
      <c r="AG68">
        <v>11.6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3.28</v>
      </c>
      <c r="AU68" t="s">
        <v>150</v>
      </c>
      <c r="AV68">
        <v>0</v>
      </c>
      <c r="AW68">
        <v>2</v>
      </c>
      <c r="AX68">
        <v>50961409</v>
      </c>
      <c r="AY68">
        <v>1</v>
      </c>
      <c r="AZ68">
        <v>0</v>
      </c>
      <c r="BA68">
        <v>70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Y68*Source!I92</f>
        <v>0.10496000000000001</v>
      </c>
      <c r="CY68">
        <f>AB68</f>
        <v>65.71</v>
      </c>
      <c r="CZ68">
        <f>AF68</f>
        <v>65.71</v>
      </c>
      <c r="DA68">
        <f>AJ68</f>
        <v>1</v>
      </c>
      <c r="DB68">
        <f>ROUND((ROUND(AT68*CZ68,2)*ROUND(0.8,7)),6)</f>
        <v>172.424</v>
      </c>
      <c r="DC68">
        <f>ROUND((ROUND(AT68*AG68,2)*ROUND(0.8,7)),6)</f>
        <v>30.44</v>
      </c>
    </row>
    <row r="69" spans="1:107" ht="12.75">
      <c r="A69">
        <f>ROW(Source!A92)</f>
        <v>92</v>
      </c>
      <c r="B69">
        <v>50947576</v>
      </c>
      <c r="C69">
        <v>50961405</v>
      </c>
      <c r="D69">
        <v>49471781</v>
      </c>
      <c r="E69">
        <v>1</v>
      </c>
      <c r="F69">
        <v>1</v>
      </c>
      <c r="G69">
        <v>1</v>
      </c>
      <c r="H69">
        <v>3</v>
      </c>
      <c r="I69" t="s">
        <v>329</v>
      </c>
      <c r="J69" t="s">
        <v>330</v>
      </c>
      <c r="K69" t="s">
        <v>331</v>
      </c>
      <c r="L69">
        <v>1301</v>
      </c>
      <c r="N69">
        <v>1003</v>
      </c>
      <c r="O69" t="s">
        <v>332</v>
      </c>
      <c r="P69" t="s">
        <v>332</v>
      </c>
      <c r="Q69">
        <v>1</v>
      </c>
      <c r="W69">
        <v>0</v>
      </c>
      <c r="X69">
        <v>-439389392</v>
      </c>
      <c r="Y69">
        <v>0</v>
      </c>
      <c r="AA69">
        <v>6.38</v>
      </c>
      <c r="AB69">
        <v>0</v>
      </c>
      <c r="AC69">
        <v>0</v>
      </c>
      <c r="AD69">
        <v>0</v>
      </c>
      <c r="AE69">
        <v>6.38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218</v>
      </c>
      <c r="AU69" t="s">
        <v>149</v>
      </c>
      <c r="AV69">
        <v>0</v>
      </c>
      <c r="AW69">
        <v>2</v>
      </c>
      <c r="AX69">
        <v>50961410</v>
      </c>
      <c r="AY69">
        <v>1</v>
      </c>
      <c r="AZ69">
        <v>0</v>
      </c>
      <c r="BA69">
        <v>71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Y69*Source!I92</f>
        <v>0</v>
      </c>
      <c r="CY69">
        <f aca="true" t="shared" si="14" ref="CY69:CY74">AA69</f>
        <v>6.38</v>
      </c>
      <c r="CZ69">
        <f aca="true" t="shared" si="15" ref="CZ69:CZ74">AE69</f>
        <v>6.38</v>
      </c>
      <c r="DA69">
        <f aca="true" t="shared" si="16" ref="DA69:DA74">AI69</f>
        <v>1</v>
      </c>
      <c r="DB69">
        <f aca="true" t="shared" si="17" ref="DB69:DB74">ROUND((ROUND(AT69*CZ69,2)*ROUND(0,7)),6)</f>
        <v>0</v>
      </c>
      <c r="DC69">
        <f aca="true" t="shared" si="18" ref="DC69:DC74">ROUND((ROUND(AT69*AG69,2)*ROUND(0,7)),6)</f>
        <v>0</v>
      </c>
    </row>
    <row r="70" spans="1:107" ht="12.75">
      <c r="A70">
        <f>ROW(Source!A92)</f>
        <v>92</v>
      </c>
      <c r="B70">
        <v>50947576</v>
      </c>
      <c r="C70">
        <v>50961405</v>
      </c>
      <c r="D70">
        <v>49471782</v>
      </c>
      <c r="E70">
        <v>1</v>
      </c>
      <c r="F70">
        <v>1</v>
      </c>
      <c r="G70">
        <v>1</v>
      </c>
      <c r="H70">
        <v>3</v>
      </c>
      <c r="I70" t="s">
        <v>333</v>
      </c>
      <c r="J70" t="s">
        <v>334</v>
      </c>
      <c r="K70" t="s">
        <v>335</v>
      </c>
      <c r="L70">
        <v>1301</v>
      </c>
      <c r="N70">
        <v>1003</v>
      </c>
      <c r="O70" t="s">
        <v>332</v>
      </c>
      <c r="P70" t="s">
        <v>332</v>
      </c>
      <c r="Q70">
        <v>1</v>
      </c>
      <c r="W70">
        <v>0</v>
      </c>
      <c r="X70">
        <v>-775788550</v>
      </c>
      <c r="Y70">
        <v>0</v>
      </c>
      <c r="AA70">
        <v>7.95</v>
      </c>
      <c r="AB70">
        <v>0</v>
      </c>
      <c r="AC70">
        <v>0</v>
      </c>
      <c r="AD70">
        <v>0</v>
      </c>
      <c r="AE70">
        <v>7.95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40</v>
      </c>
      <c r="AU70" t="s">
        <v>149</v>
      </c>
      <c r="AV70">
        <v>0</v>
      </c>
      <c r="AW70">
        <v>2</v>
      </c>
      <c r="AX70">
        <v>50961411</v>
      </c>
      <c r="AY70">
        <v>1</v>
      </c>
      <c r="AZ70">
        <v>0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Y70*Source!I92</f>
        <v>0</v>
      </c>
      <c r="CY70">
        <f t="shared" si="14"/>
        <v>7.95</v>
      </c>
      <c r="CZ70">
        <f t="shared" si="15"/>
        <v>7.95</v>
      </c>
      <c r="DA70">
        <f t="shared" si="16"/>
        <v>1</v>
      </c>
      <c r="DB70">
        <f t="shared" si="17"/>
        <v>0</v>
      </c>
      <c r="DC70">
        <f t="shared" si="18"/>
        <v>0</v>
      </c>
    </row>
    <row r="71" spans="1:107" ht="12.75">
      <c r="A71">
        <f>ROW(Source!A92)</f>
        <v>92</v>
      </c>
      <c r="B71">
        <v>50947576</v>
      </c>
      <c r="C71">
        <v>50961405</v>
      </c>
      <c r="D71">
        <v>49471867</v>
      </c>
      <c r="E71">
        <v>1</v>
      </c>
      <c r="F71">
        <v>1</v>
      </c>
      <c r="G71">
        <v>1</v>
      </c>
      <c r="H71">
        <v>3</v>
      </c>
      <c r="I71" t="s">
        <v>336</v>
      </c>
      <c r="J71" t="s">
        <v>337</v>
      </c>
      <c r="K71" t="s">
        <v>338</v>
      </c>
      <c r="L71">
        <v>1302</v>
      </c>
      <c r="N71">
        <v>1003</v>
      </c>
      <c r="O71" t="s">
        <v>75</v>
      </c>
      <c r="P71" t="s">
        <v>75</v>
      </c>
      <c r="Q71">
        <v>10</v>
      </c>
      <c r="W71">
        <v>0</v>
      </c>
      <c r="X71">
        <v>-62919081</v>
      </c>
      <c r="Y71">
        <v>0</v>
      </c>
      <c r="AA71">
        <v>64.1</v>
      </c>
      <c r="AB71">
        <v>0</v>
      </c>
      <c r="AC71">
        <v>0</v>
      </c>
      <c r="AD71">
        <v>0</v>
      </c>
      <c r="AE71">
        <v>64.1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15.1</v>
      </c>
      <c r="AU71" t="s">
        <v>149</v>
      </c>
      <c r="AV71">
        <v>0</v>
      </c>
      <c r="AW71">
        <v>2</v>
      </c>
      <c r="AX71">
        <v>50961412</v>
      </c>
      <c r="AY71">
        <v>1</v>
      </c>
      <c r="AZ71">
        <v>0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Y71*Source!I92</f>
        <v>0</v>
      </c>
      <c r="CY71">
        <f t="shared" si="14"/>
        <v>64.1</v>
      </c>
      <c r="CZ71">
        <f t="shared" si="15"/>
        <v>64.1</v>
      </c>
      <c r="DA71">
        <f t="shared" si="16"/>
        <v>1</v>
      </c>
      <c r="DB71">
        <f t="shared" si="17"/>
        <v>0</v>
      </c>
      <c r="DC71">
        <f t="shared" si="18"/>
        <v>0</v>
      </c>
    </row>
    <row r="72" spans="1:107" ht="12.75">
      <c r="A72">
        <f>ROW(Source!A92)</f>
        <v>92</v>
      </c>
      <c r="B72">
        <v>50947576</v>
      </c>
      <c r="C72">
        <v>50961405</v>
      </c>
      <c r="D72">
        <v>49473896</v>
      </c>
      <c r="E72">
        <v>1</v>
      </c>
      <c r="F72">
        <v>1</v>
      </c>
      <c r="G72">
        <v>1</v>
      </c>
      <c r="H72">
        <v>3</v>
      </c>
      <c r="I72" t="s">
        <v>339</v>
      </c>
      <c r="J72" t="s">
        <v>340</v>
      </c>
      <c r="K72" t="s">
        <v>341</v>
      </c>
      <c r="L72">
        <v>1455</v>
      </c>
      <c r="N72">
        <v>1013</v>
      </c>
      <c r="O72" t="s">
        <v>342</v>
      </c>
      <c r="P72" t="s">
        <v>342</v>
      </c>
      <c r="Q72">
        <v>1</v>
      </c>
      <c r="W72">
        <v>0</v>
      </c>
      <c r="X72">
        <v>1310564090</v>
      </c>
      <c r="Y72">
        <v>0</v>
      </c>
      <c r="AA72">
        <v>7.03</v>
      </c>
      <c r="AB72">
        <v>0</v>
      </c>
      <c r="AC72">
        <v>0</v>
      </c>
      <c r="AD72">
        <v>0</v>
      </c>
      <c r="AE72">
        <v>7.03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31.1</v>
      </c>
      <c r="AU72" t="s">
        <v>149</v>
      </c>
      <c r="AV72">
        <v>0</v>
      </c>
      <c r="AW72">
        <v>2</v>
      </c>
      <c r="AX72">
        <v>50961413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Y72*Source!I92</f>
        <v>0</v>
      </c>
      <c r="CY72">
        <f t="shared" si="14"/>
        <v>7.03</v>
      </c>
      <c r="CZ72">
        <f t="shared" si="15"/>
        <v>7.03</v>
      </c>
      <c r="DA72">
        <f t="shared" si="16"/>
        <v>1</v>
      </c>
      <c r="DB72">
        <f t="shared" si="17"/>
        <v>0</v>
      </c>
      <c r="DC72">
        <f t="shared" si="18"/>
        <v>0</v>
      </c>
    </row>
    <row r="73" spans="1:107" ht="12.75">
      <c r="A73">
        <f>ROW(Source!A92)</f>
        <v>92</v>
      </c>
      <c r="B73">
        <v>50947576</v>
      </c>
      <c r="C73">
        <v>50961405</v>
      </c>
      <c r="D73">
        <v>49496837</v>
      </c>
      <c r="E73">
        <v>1</v>
      </c>
      <c r="F73">
        <v>1</v>
      </c>
      <c r="G73">
        <v>1</v>
      </c>
      <c r="H73">
        <v>3</v>
      </c>
      <c r="I73" t="s">
        <v>343</v>
      </c>
      <c r="J73" t="s">
        <v>344</v>
      </c>
      <c r="K73" t="s">
        <v>345</v>
      </c>
      <c r="L73">
        <v>1425</v>
      </c>
      <c r="N73">
        <v>1013</v>
      </c>
      <c r="O73" t="s">
        <v>168</v>
      </c>
      <c r="P73" t="s">
        <v>168</v>
      </c>
      <c r="Q73">
        <v>1</v>
      </c>
      <c r="W73">
        <v>0</v>
      </c>
      <c r="X73">
        <v>589643375</v>
      </c>
      <c r="Y73">
        <v>0</v>
      </c>
      <c r="AA73">
        <v>50</v>
      </c>
      <c r="AB73">
        <v>0</v>
      </c>
      <c r="AC73">
        <v>0</v>
      </c>
      <c r="AD73">
        <v>0</v>
      </c>
      <c r="AE73">
        <v>50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8</v>
      </c>
      <c r="AU73" t="s">
        <v>149</v>
      </c>
      <c r="AV73">
        <v>0</v>
      </c>
      <c r="AW73">
        <v>2</v>
      </c>
      <c r="AX73">
        <v>50961415</v>
      </c>
      <c r="AY73">
        <v>1</v>
      </c>
      <c r="AZ73">
        <v>0</v>
      </c>
      <c r="BA73">
        <v>76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Y73*Source!I92</f>
        <v>0</v>
      </c>
      <c r="CY73">
        <f t="shared" si="14"/>
        <v>50</v>
      </c>
      <c r="CZ73">
        <f t="shared" si="15"/>
        <v>50</v>
      </c>
      <c r="DA73">
        <f t="shared" si="16"/>
        <v>1</v>
      </c>
      <c r="DB73">
        <f t="shared" si="17"/>
        <v>0</v>
      </c>
      <c r="DC73">
        <f t="shared" si="18"/>
        <v>0</v>
      </c>
    </row>
    <row r="74" spans="1:107" ht="12.75">
      <c r="A74">
        <f>ROW(Source!A92)</f>
        <v>92</v>
      </c>
      <c r="B74">
        <v>50947576</v>
      </c>
      <c r="C74">
        <v>50961405</v>
      </c>
      <c r="D74">
        <v>49503348</v>
      </c>
      <c r="E74">
        <v>1</v>
      </c>
      <c r="F74">
        <v>1</v>
      </c>
      <c r="G74">
        <v>1</v>
      </c>
      <c r="H74">
        <v>3</v>
      </c>
      <c r="I74" t="s">
        <v>346</v>
      </c>
      <c r="J74" t="s">
        <v>347</v>
      </c>
      <c r="K74" t="s">
        <v>348</v>
      </c>
      <c r="L74">
        <v>1296</v>
      </c>
      <c r="N74">
        <v>1002</v>
      </c>
      <c r="O74" t="s">
        <v>349</v>
      </c>
      <c r="P74" t="s">
        <v>349</v>
      </c>
      <c r="Q74">
        <v>1</v>
      </c>
      <c r="W74">
        <v>0</v>
      </c>
      <c r="X74">
        <v>-1750163565</v>
      </c>
      <c r="Y74">
        <v>0</v>
      </c>
      <c r="AA74">
        <v>46.86</v>
      </c>
      <c r="AB74">
        <v>0</v>
      </c>
      <c r="AC74">
        <v>0</v>
      </c>
      <c r="AD74">
        <v>0</v>
      </c>
      <c r="AE74">
        <v>46.86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52.73</v>
      </c>
      <c r="AU74" t="s">
        <v>149</v>
      </c>
      <c r="AV74">
        <v>0</v>
      </c>
      <c r="AW74">
        <v>2</v>
      </c>
      <c r="AX74">
        <v>50961416</v>
      </c>
      <c r="AY74">
        <v>1</v>
      </c>
      <c r="AZ74">
        <v>0</v>
      </c>
      <c r="BA74">
        <v>77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Y74*Source!I92</f>
        <v>0</v>
      </c>
      <c r="CY74">
        <f t="shared" si="14"/>
        <v>46.86</v>
      </c>
      <c r="CZ74">
        <f t="shared" si="15"/>
        <v>46.86</v>
      </c>
      <c r="DA74">
        <f t="shared" si="16"/>
        <v>1</v>
      </c>
      <c r="DB74">
        <f t="shared" si="17"/>
        <v>0</v>
      </c>
      <c r="DC74">
        <f t="shared" si="18"/>
        <v>0</v>
      </c>
    </row>
    <row r="75" spans="1:107" ht="12.75">
      <c r="A75">
        <f>ROW(Source!A93)</f>
        <v>93</v>
      </c>
      <c r="B75">
        <v>50961513</v>
      </c>
      <c r="C75">
        <v>50961405</v>
      </c>
      <c r="D75">
        <v>49459391</v>
      </c>
      <c r="E75">
        <v>58</v>
      </c>
      <c r="F75">
        <v>1</v>
      </c>
      <c r="G75">
        <v>1</v>
      </c>
      <c r="H75">
        <v>1</v>
      </c>
      <c r="I75" t="s">
        <v>327</v>
      </c>
      <c r="K75" t="s">
        <v>328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W75">
        <v>0</v>
      </c>
      <c r="X75">
        <v>-784637506</v>
      </c>
      <c r="Y75">
        <v>98.056</v>
      </c>
      <c r="AA75">
        <v>0</v>
      </c>
      <c r="AB75">
        <v>0</v>
      </c>
      <c r="AC75">
        <v>0</v>
      </c>
      <c r="AD75">
        <v>8.74</v>
      </c>
      <c r="AE75">
        <v>0</v>
      </c>
      <c r="AF75">
        <v>0</v>
      </c>
      <c r="AG75">
        <v>0</v>
      </c>
      <c r="AH75">
        <v>8.74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122.57</v>
      </c>
      <c r="AU75" t="s">
        <v>150</v>
      </c>
      <c r="AV75">
        <v>1</v>
      </c>
      <c r="AW75">
        <v>2</v>
      </c>
      <c r="AX75">
        <v>50961406</v>
      </c>
      <c r="AY75">
        <v>1</v>
      </c>
      <c r="AZ75">
        <v>0</v>
      </c>
      <c r="BA75">
        <v>78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Y75*Source!I93</f>
        <v>3.92224</v>
      </c>
      <c r="CY75">
        <f>AD75</f>
        <v>8.74</v>
      </c>
      <c r="CZ75">
        <f>AH75</f>
        <v>8.74</v>
      </c>
      <c r="DA75">
        <f>AL75</f>
        <v>1</v>
      </c>
      <c r="DB75">
        <f>ROUND((ROUND(AT75*CZ75,2)*ROUND(0.8,7)),6)</f>
        <v>857.008</v>
      </c>
      <c r="DC75">
        <f>ROUND((ROUND(AT75*AG75,2)*ROUND(0.8,7)),6)</f>
        <v>0</v>
      </c>
    </row>
    <row r="76" spans="1:107" ht="12.75">
      <c r="A76">
        <f>ROW(Source!A93)</f>
        <v>93</v>
      </c>
      <c r="B76">
        <v>50961513</v>
      </c>
      <c r="C76">
        <v>50961405</v>
      </c>
      <c r="D76">
        <v>49459566</v>
      </c>
      <c r="E76">
        <v>58</v>
      </c>
      <c r="F76">
        <v>1</v>
      </c>
      <c r="G76">
        <v>1</v>
      </c>
      <c r="H76">
        <v>1</v>
      </c>
      <c r="I76" t="s">
        <v>315</v>
      </c>
      <c r="K76" t="s">
        <v>299</v>
      </c>
      <c r="L76">
        <v>1191</v>
      </c>
      <c r="N76">
        <v>1013</v>
      </c>
      <c r="O76" t="s">
        <v>297</v>
      </c>
      <c r="P76" t="s">
        <v>297</v>
      </c>
      <c r="Q76">
        <v>1</v>
      </c>
      <c r="W76">
        <v>0</v>
      </c>
      <c r="X76">
        <v>-1173606021</v>
      </c>
      <c r="Y76">
        <v>3.04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3.8</v>
      </c>
      <c r="AU76" t="s">
        <v>150</v>
      </c>
      <c r="AV76">
        <v>2</v>
      </c>
      <c r="AW76">
        <v>2</v>
      </c>
      <c r="AX76">
        <v>50961407</v>
      </c>
      <c r="AY76">
        <v>1</v>
      </c>
      <c r="AZ76">
        <v>0</v>
      </c>
      <c r="BA76">
        <v>79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Y76*Source!I93</f>
        <v>0.1216</v>
      </c>
      <c r="CY76">
        <f>AD76</f>
        <v>0</v>
      </c>
      <c r="CZ76">
        <f>AH76</f>
        <v>0</v>
      </c>
      <c r="DA76">
        <f>AL76</f>
        <v>1</v>
      </c>
      <c r="DB76">
        <f>ROUND((ROUND(AT76*CZ76,2)*ROUND(0.8,7)),6)</f>
        <v>0</v>
      </c>
      <c r="DC76">
        <f>ROUND((ROUND(AT76*AG76,2)*ROUND(0.8,7)),6)</f>
        <v>0</v>
      </c>
    </row>
    <row r="77" spans="1:107" ht="12.75">
      <c r="A77">
        <f>ROW(Source!A93)</f>
        <v>93</v>
      </c>
      <c r="B77">
        <v>50961513</v>
      </c>
      <c r="C77">
        <v>50961405</v>
      </c>
      <c r="D77">
        <v>49620537</v>
      </c>
      <c r="E77">
        <v>1</v>
      </c>
      <c r="F77">
        <v>1</v>
      </c>
      <c r="G77">
        <v>1</v>
      </c>
      <c r="H77">
        <v>2</v>
      </c>
      <c r="I77" t="s">
        <v>316</v>
      </c>
      <c r="J77" t="s">
        <v>317</v>
      </c>
      <c r="K77" t="s">
        <v>318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-1360328220</v>
      </c>
      <c r="Y77">
        <v>0.41600000000000004</v>
      </c>
      <c r="AA77">
        <v>0</v>
      </c>
      <c r="AB77">
        <v>474.53</v>
      </c>
      <c r="AC77">
        <v>459.14</v>
      </c>
      <c r="AD77">
        <v>0</v>
      </c>
      <c r="AE77">
        <v>0</v>
      </c>
      <c r="AF77">
        <v>31.26</v>
      </c>
      <c r="AG77">
        <v>13.5</v>
      </c>
      <c r="AH77">
        <v>0</v>
      </c>
      <c r="AI77">
        <v>1</v>
      </c>
      <c r="AJ77">
        <v>15.18</v>
      </c>
      <c r="AK77">
        <v>34.01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0.52</v>
      </c>
      <c r="AU77" t="s">
        <v>150</v>
      </c>
      <c r="AV77">
        <v>0</v>
      </c>
      <c r="AW77">
        <v>2</v>
      </c>
      <c r="AX77">
        <v>50961408</v>
      </c>
      <c r="AY77">
        <v>1</v>
      </c>
      <c r="AZ77">
        <v>0</v>
      </c>
      <c r="BA77">
        <v>80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Y77*Source!I93</f>
        <v>0.016640000000000002</v>
      </c>
      <c r="CY77">
        <f>AB77</f>
        <v>474.53</v>
      </c>
      <c r="CZ77">
        <f>AF77</f>
        <v>31.26</v>
      </c>
      <c r="DA77">
        <f>AJ77</f>
        <v>15.18</v>
      </c>
      <c r="DB77">
        <f>ROUND((ROUND(AT77*CZ77,2)*ROUND(0.8,7)),6)</f>
        <v>13.008</v>
      </c>
      <c r="DC77">
        <f>ROUND((ROUND(AT77*AG77,2)*ROUND(0.8,7)),6)</f>
        <v>5.616</v>
      </c>
    </row>
    <row r="78" spans="1:107" ht="12.75">
      <c r="A78">
        <f>ROW(Source!A93)</f>
        <v>93</v>
      </c>
      <c r="B78">
        <v>50961513</v>
      </c>
      <c r="C78">
        <v>50961405</v>
      </c>
      <c r="D78">
        <v>49621268</v>
      </c>
      <c r="E78">
        <v>1</v>
      </c>
      <c r="F78">
        <v>1</v>
      </c>
      <c r="G78">
        <v>1</v>
      </c>
      <c r="H78">
        <v>2</v>
      </c>
      <c r="I78" t="s">
        <v>300</v>
      </c>
      <c r="J78" t="s">
        <v>301</v>
      </c>
      <c r="K78" t="s">
        <v>302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1862470278</v>
      </c>
      <c r="Y78">
        <v>2.624</v>
      </c>
      <c r="AA78">
        <v>0</v>
      </c>
      <c r="AB78">
        <v>758.95</v>
      </c>
      <c r="AC78">
        <v>394.52</v>
      </c>
      <c r="AD78">
        <v>0</v>
      </c>
      <c r="AE78">
        <v>0</v>
      </c>
      <c r="AF78">
        <v>65.71</v>
      </c>
      <c r="AG78">
        <v>11.6</v>
      </c>
      <c r="AH78">
        <v>0</v>
      </c>
      <c r="AI78">
        <v>1</v>
      </c>
      <c r="AJ78">
        <v>11.55</v>
      </c>
      <c r="AK78">
        <v>34.01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3.28</v>
      </c>
      <c r="AU78" t="s">
        <v>150</v>
      </c>
      <c r="AV78">
        <v>0</v>
      </c>
      <c r="AW78">
        <v>2</v>
      </c>
      <c r="AX78">
        <v>50961409</v>
      </c>
      <c r="AY78">
        <v>1</v>
      </c>
      <c r="AZ78">
        <v>0</v>
      </c>
      <c r="BA78">
        <v>81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Y78*Source!I93</f>
        <v>0.10496000000000001</v>
      </c>
      <c r="CY78">
        <f>AB78</f>
        <v>758.95</v>
      </c>
      <c r="CZ78">
        <f>AF78</f>
        <v>65.71</v>
      </c>
      <c r="DA78">
        <f>AJ78</f>
        <v>11.55</v>
      </c>
      <c r="DB78">
        <f>ROUND((ROUND(AT78*CZ78,2)*ROUND(0.8,7)),6)</f>
        <v>172.424</v>
      </c>
      <c r="DC78">
        <f>ROUND((ROUND(AT78*AG78,2)*ROUND(0.8,7)),6)</f>
        <v>30.44</v>
      </c>
    </row>
    <row r="79" spans="1:107" ht="12.75">
      <c r="A79">
        <f>ROW(Source!A93)</f>
        <v>93</v>
      </c>
      <c r="B79">
        <v>50961513</v>
      </c>
      <c r="C79">
        <v>50961405</v>
      </c>
      <c r="D79">
        <v>49471781</v>
      </c>
      <c r="E79">
        <v>1</v>
      </c>
      <c r="F79">
        <v>1</v>
      </c>
      <c r="G79">
        <v>1</v>
      </c>
      <c r="H79">
        <v>3</v>
      </c>
      <c r="I79" t="s">
        <v>329</v>
      </c>
      <c r="J79" t="s">
        <v>330</v>
      </c>
      <c r="K79" t="s">
        <v>331</v>
      </c>
      <c r="L79">
        <v>1301</v>
      </c>
      <c r="N79">
        <v>1003</v>
      </c>
      <c r="O79" t="s">
        <v>332</v>
      </c>
      <c r="P79" t="s">
        <v>332</v>
      </c>
      <c r="Q79">
        <v>1</v>
      </c>
      <c r="W79">
        <v>0</v>
      </c>
      <c r="X79">
        <v>-439389392</v>
      </c>
      <c r="Y79">
        <v>0</v>
      </c>
      <c r="AA79">
        <v>10.14</v>
      </c>
      <c r="AB79">
        <v>0</v>
      </c>
      <c r="AC79">
        <v>0</v>
      </c>
      <c r="AD79">
        <v>0</v>
      </c>
      <c r="AE79">
        <v>6.38</v>
      </c>
      <c r="AF79">
        <v>0</v>
      </c>
      <c r="AG79">
        <v>0</v>
      </c>
      <c r="AH79">
        <v>0</v>
      </c>
      <c r="AI79">
        <v>1.59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218</v>
      </c>
      <c r="AU79" t="s">
        <v>149</v>
      </c>
      <c r="AV79">
        <v>0</v>
      </c>
      <c r="AW79">
        <v>2</v>
      </c>
      <c r="AX79">
        <v>50961410</v>
      </c>
      <c r="AY79">
        <v>1</v>
      </c>
      <c r="AZ79">
        <v>0</v>
      </c>
      <c r="BA79">
        <v>82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Y79*Source!I93</f>
        <v>0</v>
      </c>
      <c r="CY79">
        <f aca="true" t="shared" si="19" ref="CY79:CY84">AA79</f>
        <v>10.14</v>
      </c>
      <c r="CZ79">
        <f aca="true" t="shared" si="20" ref="CZ79:CZ84">AE79</f>
        <v>6.38</v>
      </c>
      <c r="DA79">
        <f aca="true" t="shared" si="21" ref="DA79:DA84">AI79</f>
        <v>1.59</v>
      </c>
      <c r="DB79">
        <f aca="true" t="shared" si="22" ref="DB79:DB84">ROUND((ROUND(AT79*CZ79,2)*ROUND(0,7)),6)</f>
        <v>0</v>
      </c>
      <c r="DC79">
        <f aca="true" t="shared" si="23" ref="DC79:DC84">ROUND((ROUND(AT79*AG79,2)*ROUND(0,7)),6)</f>
        <v>0</v>
      </c>
    </row>
    <row r="80" spans="1:107" ht="12.75">
      <c r="A80">
        <f>ROW(Source!A93)</f>
        <v>93</v>
      </c>
      <c r="B80">
        <v>50961513</v>
      </c>
      <c r="C80">
        <v>50961405</v>
      </c>
      <c r="D80">
        <v>49471782</v>
      </c>
      <c r="E80">
        <v>1</v>
      </c>
      <c r="F80">
        <v>1</v>
      </c>
      <c r="G80">
        <v>1</v>
      </c>
      <c r="H80">
        <v>3</v>
      </c>
      <c r="I80" t="s">
        <v>333</v>
      </c>
      <c r="J80" t="s">
        <v>334</v>
      </c>
      <c r="K80" t="s">
        <v>335</v>
      </c>
      <c r="L80">
        <v>1301</v>
      </c>
      <c r="N80">
        <v>1003</v>
      </c>
      <c r="O80" t="s">
        <v>332</v>
      </c>
      <c r="P80" t="s">
        <v>332</v>
      </c>
      <c r="Q80">
        <v>1</v>
      </c>
      <c r="W80">
        <v>0</v>
      </c>
      <c r="X80">
        <v>-775788550</v>
      </c>
      <c r="Y80">
        <v>0</v>
      </c>
      <c r="AA80">
        <v>22.1</v>
      </c>
      <c r="AB80">
        <v>0</v>
      </c>
      <c r="AC80">
        <v>0</v>
      </c>
      <c r="AD80">
        <v>0</v>
      </c>
      <c r="AE80">
        <v>7.95</v>
      </c>
      <c r="AF80">
        <v>0</v>
      </c>
      <c r="AG80">
        <v>0</v>
      </c>
      <c r="AH80">
        <v>0</v>
      </c>
      <c r="AI80">
        <v>2.78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40</v>
      </c>
      <c r="AU80" t="s">
        <v>149</v>
      </c>
      <c r="AV80">
        <v>0</v>
      </c>
      <c r="AW80">
        <v>2</v>
      </c>
      <c r="AX80">
        <v>50961411</v>
      </c>
      <c r="AY80">
        <v>1</v>
      </c>
      <c r="AZ80">
        <v>0</v>
      </c>
      <c r="BA80">
        <v>83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Y80*Source!I93</f>
        <v>0</v>
      </c>
      <c r="CY80">
        <f t="shared" si="19"/>
        <v>22.1</v>
      </c>
      <c r="CZ80">
        <f t="shared" si="20"/>
        <v>7.95</v>
      </c>
      <c r="DA80">
        <f t="shared" si="21"/>
        <v>2.78</v>
      </c>
      <c r="DB80">
        <f t="shared" si="22"/>
        <v>0</v>
      </c>
      <c r="DC80">
        <f t="shared" si="23"/>
        <v>0</v>
      </c>
    </row>
    <row r="81" spans="1:107" ht="12.75">
      <c r="A81">
        <f>ROW(Source!A93)</f>
        <v>93</v>
      </c>
      <c r="B81">
        <v>50961513</v>
      </c>
      <c r="C81">
        <v>50961405</v>
      </c>
      <c r="D81">
        <v>49471867</v>
      </c>
      <c r="E81">
        <v>1</v>
      </c>
      <c r="F81">
        <v>1</v>
      </c>
      <c r="G81">
        <v>1</v>
      </c>
      <c r="H81">
        <v>3</v>
      </c>
      <c r="I81" t="s">
        <v>336</v>
      </c>
      <c r="J81" t="s">
        <v>337</v>
      </c>
      <c r="K81" t="s">
        <v>338</v>
      </c>
      <c r="L81">
        <v>1302</v>
      </c>
      <c r="N81">
        <v>1003</v>
      </c>
      <c r="O81" t="s">
        <v>75</v>
      </c>
      <c r="P81" t="s">
        <v>75</v>
      </c>
      <c r="Q81">
        <v>10</v>
      </c>
      <c r="W81">
        <v>0</v>
      </c>
      <c r="X81">
        <v>-62919081</v>
      </c>
      <c r="Y81">
        <v>0</v>
      </c>
      <c r="AA81">
        <v>211.53</v>
      </c>
      <c r="AB81">
        <v>0</v>
      </c>
      <c r="AC81">
        <v>0</v>
      </c>
      <c r="AD81">
        <v>0</v>
      </c>
      <c r="AE81">
        <v>64.1</v>
      </c>
      <c r="AF81">
        <v>0</v>
      </c>
      <c r="AG81">
        <v>0</v>
      </c>
      <c r="AH81">
        <v>0</v>
      </c>
      <c r="AI81">
        <v>3.3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15.1</v>
      </c>
      <c r="AU81" t="s">
        <v>149</v>
      </c>
      <c r="AV81">
        <v>0</v>
      </c>
      <c r="AW81">
        <v>2</v>
      </c>
      <c r="AX81">
        <v>50961412</v>
      </c>
      <c r="AY81">
        <v>1</v>
      </c>
      <c r="AZ81">
        <v>0</v>
      </c>
      <c r="BA81">
        <v>84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Y81*Source!I93</f>
        <v>0</v>
      </c>
      <c r="CY81">
        <f t="shared" si="19"/>
        <v>211.53</v>
      </c>
      <c r="CZ81">
        <f t="shared" si="20"/>
        <v>64.1</v>
      </c>
      <c r="DA81">
        <f t="shared" si="21"/>
        <v>3.3</v>
      </c>
      <c r="DB81">
        <f t="shared" si="22"/>
        <v>0</v>
      </c>
      <c r="DC81">
        <f t="shared" si="23"/>
        <v>0</v>
      </c>
    </row>
    <row r="82" spans="1:107" ht="12.75">
      <c r="A82">
        <f>ROW(Source!A93)</f>
        <v>93</v>
      </c>
      <c r="B82">
        <v>50961513</v>
      </c>
      <c r="C82">
        <v>50961405</v>
      </c>
      <c r="D82">
        <v>49473896</v>
      </c>
      <c r="E82">
        <v>1</v>
      </c>
      <c r="F82">
        <v>1</v>
      </c>
      <c r="G82">
        <v>1</v>
      </c>
      <c r="H82">
        <v>3</v>
      </c>
      <c r="I82" t="s">
        <v>339</v>
      </c>
      <c r="J82" t="s">
        <v>340</v>
      </c>
      <c r="K82" t="s">
        <v>341</v>
      </c>
      <c r="L82">
        <v>1455</v>
      </c>
      <c r="N82">
        <v>1013</v>
      </c>
      <c r="O82" t="s">
        <v>342</v>
      </c>
      <c r="P82" t="s">
        <v>342</v>
      </c>
      <c r="Q82">
        <v>1</v>
      </c>
      <c r="W82">
        <v>0</v>
      </c>
      <c r="X82">
        <v>1310564090</v>
      </c>
      <c r="Y82">
        <v>0</v>
      </c>
      <c r="AA82">
        <v>35.08</v>
      </c>
      <c r="AB82">
        <v>0</v>
      </c>
      <c r="AC82">
        <v>0</v>
      </c>
      <c r="AD82">
        <v>0</v>
      </c>
      <c r="AE82">
        <v>7.03</v>
      </c>
      <c r="AF82">
        <v>0</v>
      </c>
      <c r="AG82">
        <v>0</v>
      </c>
      <c r="AH82">
        <v>0</v>
      </c>
      <c r="AI82">
        <v>4.99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31.1</v>
      </c>
      <c r="AU82" t="s">
        <v>149</v>
      </c>
      <c r="AV82">
        <v>0</v>
      </c>
      <c r="AW82">
        <v>2</v>
      </c>
      <c r="AX82">
        <v>50961413</v>
      </c>
      <c r="AY82">
        <v>1</v>
      </c>
      <c r="AZ82">
        <v>0</v>
      </c>
      <c r="BA82">
        <v>85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Y82*Source!I93</f>
        <v>0</v>
      </c>
      <c r="CY82">
        <f t="shared" si="19"/>
        <v>35.08</v>
      </c>
      <c r="CZ82">
        <f t="shared" si="20"/>
        <v>7.03</v>
      </c>
      <c r="DA82">
        <f t="shared" si="21"/>
        <v>4.99</v>
      </c>
      <c r="DB82">
        <f t="shared" si="22"/>
        <v>0</v>
      </c>
      <c r="DC82">
        <f t="shared" si="23"/>
        <v>0</v>
      </c>
    </row>
    <row r="83" spans="1:107" ht="12.75">
      <c r="A83">
        <f>ROW(Source!A93)</f>
        <v>93</v>
      </c>
      <c r="B83">
        <v>50961513</v>
      </c>
      <c r="C83">
        <v>50961405</v>
      </c>
      <c r="D83">
        <v>49496837</v>
      </c>
      <c r="E83">
        <v>1</v>
      </c>
      <c r="F83">
        <v>1</v>
      </c>
      <c r="G83">
        <v>1</v>
      </c>
      <c r="H83">
        <v>3</v>
      </c>
      <c r="I83" t="s">
        <v>343</v>
      </c>
      <c r="J83" t="s">
        <v>344</v>
      </c>
      <c r="K83" t="s">
        <v>345</v>
      </c>
      <c r="L83">
        <v>1425</v>
      </c>
      <c r="N83">
        <v>1013</v>
      </c>
      <c r="O83" t="s">
        <v>168</v>
      </c>
      <c r="P83" t="s">
        <v>168</v>
      </c>
      <c r="Q83">
        <v>1</v>
      </c>
      <c r="W83">
        <v>0</v>
      </c>
      <c r="X83">
        <v>589643375</v>
      </c>
      <c r="Y83">
        <v>0</v>
      </c>
      <c r="AA83">
        <v>226</v>
      </c>
      <c r="AB83">
        <v>0</v>
      </c>
      <c r="AC83">
        <v>0</v>
      </c>
      <c r="AD83">
        <v>0</v>
      </c>
      <c r="AE83">
        <v>50</v>
      </c>
      <c r="AF83">
        <v>0</v>
      </c>
      <c r="AG83">
        <v>0</v>
      </c>
      <c r="AH83">
        <v>0</v>
      </c>
      <c r="AI83">
        <v>4.52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8</v>
      </c>
      <c r="AU83" t="s">
        <v>149</v>
      </c>
      <c r="AV83">
        <v>0</v>
      </c>
      <c r="AW83">
        <v>2</v>
      </c>
      <c r="AX83">
        <v>50961415</v>
      </c>
      <c r="AY83">
        <v>1</v>
      </c>
      <c r="AZ83">
        <v>0</v>
      </c>
      <c r="BA83">
        <v>87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Y83*Source!I93</f>
        <v>0</v>
      </c>
      <c r="CY83">
        <f t="shared" si="19"/>
        <v>226</v>
      </c>
      <c r="CZ83">
        <f t="shared" si="20"/>
        <v>50</v>
      </c>
      <c r="DA83">
        <f t="shared" si="21"/>
        <v>4.52</v>
      </c>
      <c r="DB83">
        <f t="shared" si="22"/>
        <v>0</v>
      </c>
      <c r="DC83">
        <f t="shared" si="23"/>
        <v>0</v>
      </c>
    </row>
    <row r="84" spans="1:107" ht="12.75">
      <c r="A84">
        <f>ROW(Source!A93)</f>
        <v>93</v>
      </c>
      <c r="B84">
        <v>50961513</v>
      </c>
      <c r="C84">
        <v>50961405</v>
      </c>
      <c r="D84">
        <v>49503348</v>
      </c>
      <c r="E84">
        <v>1</v>
      </c>
      <c r="F84">
        <v>1</v>
      </c>
      <c r="G84">
        <v>1</v>
      </c>
      <c r="H84">
        <v>3</v>
      </c>
      <c r="I84" t="s">
        <v>346</v>
      </c>
      <c r="J84" t="s">
        <v>347</v>
      </c>
      <c r="K84" t="s">
        <v>348</v>
      </c>
      <c r="L84">
        <v>1296</v>
      </c>
      <c r="N84">
        <v>1002</v>
      </c>
      <c r="O84" t="s">
        <v>349</v>
      </c>
      <c r="P84" t="s">
        <v>349</v>
      </c>
      <c r="Q84">
        <v>1</v>
      </c>
      <c r="W84">
        <v>0</v>
      </c>
      <c r="X84">
        <v>-1750163565</v>
      </c>
      <c r="Y84">
        <v>0</v>
      </c>
      <c r="AA84">
        <v>227.27</v>
      </c>
      <c r="AB84">
        <v>0</v>
      </c>
      <c r="AC84">
        <v>0</v>
      </c>
      <c r="AD84">
        <v>0</v>
      </c>
      <c r="AE84">
        <v>46.86</v>
      </c>
      <c r="AF84">
        <v>0</v>
      </c>
      <c r="AG84">
        <v>0</v>
      </c>
      <c r="AH84">
        <v>0</v>
      </c>
      <c r="AI84">
        <v>4.85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52.73</v>
      </c>
      <c r="AU84" t="s">
        <v>149</v>
      </c>
      <c r="AV84">
        <v>0</v>
      </c>
      <c r="AW84">
        <v>2</v>
      </c>
      <c r="AX84">
        <v>50961416</v>
      </c>
      <c r="AY84">
        <v>1</v>
      </c>
      <c r="AZ84">
        <v>0</v>
      </c>
      <c r="BA84">
        <v>88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Y84*Source!I93</f>
        <v>0</v>
      </c>
      <c r="CY84">
        <f t="shared" si="19"/>
        <v>227.27</v>
      </c>
      <c r="CZ84">
        <f t="shared" si="20"/>
        <v>46.86</v>
      </c>
      <c r="DA84">
        <f t="shared" si="21"/>
        <v>4.85</v>
      </c>
      <c r="DB84">
        <f t="shared" si="22"/>
        <v>0</v>
      </c>
      <c r="DC84">
        <f t="shared" si="23"/>
        <v>0</v>
      </c>
    </row>
    <row r="85" spans="1:107" ht="12.75">
      <c r="A85">
        <f>ROW(Source!A94)</f>
        <v>94</v>
      </c>
      <c r="B85">
        <v>50947576</v>
      </c>
      <c r="C85">
        <v>50962841</v>
      </c>
      <c r="D85">
        <v>47860458</v>
      </c>
      <c r="E85">
        <v>56</v>
      </c>
      <c r="F85">
        <v>1</v>
      </c>
      <c r="G85">
        <v>1</v>
      </c>
      <c r="H85">
        <v>1</v>
      </c>
      <c r="I85" t="s">
        <v>319</v>
      </c>
      <c r="K85" t="s">
        <v>320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687044855</v>
      </c>
      <c r="Y85">
        <v>342.7</v>
      </c>
      <c r="AA85">
        <v>0</v>
      </c>
      <c r="AB85">
        <v>0</v>
      </c>
      <c r="AC85">
        <v>0</v>
      </c>
      <c r="AD85">
        <v>10.06</v>
      </c>
      <c r="AE85">
        <v>0</v>
      </c>
      <c r="AF85">
        <v>0</v>
      </c>
      <c r="AG85">
        <v>0</v>
      </c>
      <c r="AH85">
        <v>10.06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298</v>
      </c>
      <c r="AU85" t="s">
        <v>32</v>
      </c>
      <c r="AV85">
        <v>1</v>
      </c>
      <c r="AW85">
        <v>2</v>
      </c>
      <c r="AX85">
        <v>50962842</v>
      </c>
      <c r="AY85">
        <v>1</v>
      </c>
      <c r="AZ85">
        <v>0</v>
      </c>
      <c r="BA85">
        <v>89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Y85*Source!I94</f>
        <v>119.945</v>
      </c>
      <c r="CY85">
        <f>AD85</f>
        <v>10.06</v>
      </c>
      <c r="CZ85">
        <f>AH85</f>
        <v>10.06</v>
      </c>
      <c r="DA85">
        <f>AL85</f>
        <v>1</v>
      </c>
      <c r="DB85">
        <f>ROUND((ROUND(AT85*CZ85,2)*ROUND(1.15,7)),6)</f>
        <v>3447.562</v>
      </c>
      <c r="DC85">
        <f>ROUND((ROUND(AT85*AG85,2)*ROUND(1.15,7)),6)</f>
        <v>0</v>
      </c>
    </row>
    <row r="86" spans="1:107" ht="12.75">
      <c r="A86">
        <f>ROW(Source!A94)</f>
        <v>94</v>
      </c>
      <c r="B86">
        <v>50947576</v>
      </c>
      <c r="C86">
        <v>50962841</v>
      </c>
      <c r="D86">
        <v>47860585</v>
      </c>
      <c r="E86">
        <v>56</v>
      </c>
      <c r="F86">
        <v>1</v>
      </c>
      <c r="G86">
        <v>1</v>
      </c>
      <c r="H86">
        <v>1</v>
      </c>
      <c r="I86" t="s">
        <v>298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3.1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2.48</v>
      </c>
      <c r="AU86" t="s">
        <v>31</v>
      </c>
      <c r="AV86">
        <v>2</v>
      </c>
      <c r="AW86">
        <v>2</v>
      </c>
      <c r="AX86">
        <v>50962843</v>
      </c>
      <c r="AY86">
        <v>1</v>
      </c>
      <c r="AZ86">
        <v>0</v>
      </c>
      <c r="BA86">
        <v>90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Y86*Source!I94</f>
        <v>1.085</v>
      </c>
      <c r="CY86">
        <f>AD86</f>
        <v>0</v>
      </c>
      <c r="CZ86">
        <f>AH86</f>
        <v>0</v>
      </c>
      <c r="DA86">
        <f>AL86</f>
        <v>1</v>
      </c>
      <c r="DB86">
        <f>ROUND((ROUND(AT86*CZ86,2)*ROUND(1.25,7)),6)</f>
        <v>0</v>
      </c>
      <c r="DC86">
        <f>ROUND((ROUND(AT86*AG86,2)*ROUND(1.25,7)),6)</f>
        <v>0</v>
      </c>
    </row>
    <row r="87" spans="1:107" ht="12.75">
      <c r="A87">
        <f>ROW(Source!A94)</f>
        <v>94</v>
      </c>
      <c r="B87">
        <v>50947576</v>
      </c>
      <c r="C87">
        <v>50962841</v>
      </c>
      <c r="D87">
        <v>48021211</v>
      </c>
      <c r="E87">
        <v>1</v>
      </c>
      <c r="F87">
        <v>1</v>
      </c>
      <c r="G87">
        <v>1</v>
      </c>
      <c r="H87">
        <v>2</v>
      </c>
      <c r="I87" t="s">
        <v>321</v>
      </c>
      <c r="J87" t="s">
        <v>322</v>
      </c>
      <c r="K87" t="s">
        <v>323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-1346461524</v>
      </c>
      <c r="Y87">
        <v>2.75</v>
      </c>
      <c r="AA87">
        <v>0</v>
      </c>
      <c r="AB87">
        <v>115.4</v>
      </c>
      <c r="AC87">
        <v>13.5</v>
      </c>
      <c r="AD87">
        <v>0</v>
      </c>
      <c r="AE87">
        <v>0</v>
      </c>
      <c r="AF87">
        <v>115.4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2.2</v>
      </c>
      <c r="AU87" t="s">
        <v>31</v>
      </c>
      <c r="AV87">
        <v>0</v>
      </c>
      <c r="AW87">
        <v>2</v>
      </c>
      <c r="AX87">
        <v>50962844</v>
      </c>
      <c r="AY87">
        <v>1</v>
      </c>
      <c r="AZ87">
        <v>0</v>
      </c>
      <c r="BA87">
        <v>91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Y87*Source!I94</f>
        <v>0.9624999999999999</v>
      </c>
      <c r="CY87">
        <f>AB87</f>
        <v>115.4</v>
      </c>
      <c r="CZ87">
        <f>AF87</f>
        <v>115.4</v>
      </c>
      <c r="DA87">
        <f>AJ87</f>
        <v>1</v>
      </c>
      <c r="DB87">
        <f>ROUND((ROUND(AT87*CZ87,2)*ROUND(1.25,7)),6)</f>
        <v>317.35</v>
      </c>
      <c r="DC87">
        <f>ROUND((ROUND(AT87*AG87,2)*ROUND(1.25,7)),6)</f>
        <v>37.125</v>
      </c>
    </row>
    <row r="88" spans="1:107" ht="12.75">
      <c r="A88">
        <f>ROW(Source!A94)</f>
        <v>94</v>
      </c>
      <c r="B88">
        <v>50947576</v>
      </c>
      <c r="C88">
        <v>50962841</v>
      </c>
      <c r="D88">
        <v>48021352</v>
      </c>
      <c r="E88">
        <v>1</v>
      </c>
      <c r="F88">
        <v>1</v>
      </c>
      <c r="G88">
        <v>1</v>
      </c>
      <c r="H88">
        <v>2</v>
      </c>
      <c r="I88" t="s">
        <v>324</v>
      </c>
      <c r="J88" t="s">
        <v>325</v>
      </c>
      <c r="K88" t="s">
        <v>326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-1595939894</v>
      </c>
      <c r="Y88">
        <v>54.875</v>
      </c>
      <c r="AA88">
        <v>0</v>
      </c>
      <c r="AB88">
        <v>6.9</v>
      </c>
      <c r="AC88">
        <v>0</v>
      </c>
      <c r="AD88">
        <v>0</v>
      </c>
      <c r="AE88">
        <v>0</v>
      </c>
      <c r="AF88">
        <v>6.9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43.9</v>
      </c>
      <c r="AU88" t="s">
        <v>31</v>
      </c>
      <c r="AV88">
        <v>0</v>
      </c>
      <c r="AW88">
        <v>2</v>
      </c>
      <c r="AX88">
        <v>50962845</v>
      </c>
      <c r="AY88">
        <v>1</v>
      </c>
      <c r="AZ88">
        <v>0</v>
      </c>
      <c r="BA88">
        <v>92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Y88*Source!I94</f>
        <v>19.206249999999997</v>
      </c>
      <c r="CY88">
        <f>AB88</f>
        <v>6.9</v>
      </c>
      <c r="CZ88">
        <f>AF88</f>
        <v>6.9</v>
      </c>
      <c r="DA88">
        <f>AJ88</f>
        <v>1</v>
      </c>
      <c r="DB88">
        <f>ROUND((ROUND(AT88*CZ88,2)*ROUND(1.25,7)),6)</f>
        <v>378.6375</v>
      </c>
      <c r="DC88">
        <f>ROUND((ROUND(AT88*AG88,2)*ROUND(1.25,7)),6)</f>
        <v>0</v>
      </c>
    </row>
    <row r="89" spans="1:107" ht="12.75">
      <c r="A89">
        <f>ROW(Source!A94)</f>
        <v>94</v>
      </c>
      <c r="B89">
        <v>50947576</v>
      </c>
      <c r="C89">
        <v>50962841</v>
      </c>
      <c r="D89">
        <v>48022139</v>
      </c>
      <c r="E89">
        <v>1</v>
      </c>
      <c r="F89">
        <v>1</v>
      </c>
      <c r="G89">
        <v>1</v>
      </c>
      <c r="H89">
        <v>2</v>
      </c>
      <c r="I89" t="s">
        <v>300</v>
      </c>
      <c r="J89" t="s">
        <v>301</v>
      </c>
      <c r="K89" t="s">
        <v>302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-841254546</v>
      </c>
      <c r="Y89">
        <v>0.35000000000000003</v>
      </c>
      <c r="AA89">
        <v>0</v>
      </c>
      <c r="AB89">
        <v>65.71</v>
      </c>
      <c r="AC89">
        <v>11.6</v>
      </c>
      <c r="AD89">
        <v>0</v>
      </c>
      <c r="AE89">
        <v>0</v>
      </c>
      <c r="AF89">
        <v>65.71</v>
      </c>
      <c r="AG89">
        <v>11.6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0.28</v>
      </c>
      <c r="AU89" t="s">
        <v>31</v>
      </c>
      <c r="AV89">
        <v>0</v>
      </c>
      <c r="AW89">
        <v>2</v>
      </c>
      <c r="AX89">
        <v>50962846</v>
      </c>
      <c r="AY89">
        <v>1</v>
      </c>
      <c r="AZ89">
        <v>0</v>
      </c>
      <c r="BA89">
        <v>93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Y89*Source!I94</f>
        <v>0.1225</v>
      </c>
      <c r="CY89">
        <f>AB89</f>
        <v>65.71</v>
      </c>
      <c r="CZ89">
        <f>AF89</f>
        <v>65.71</v>
      </c>
      <c r="DA89">
        <f>AJ89</f>
        <v>1</v>
      </c>
      <c r="DB89">
        <f>ROUND((ROUND(AT89*CZ89,2)*ROUND(1.25,7)),6)</f>
        <v>23</v>
      </c>
      <c r="DC89">
        <f>ROUND((ROUND(AT89*AG89,2)*ROUND(1.25,7)),6)</f>
        <v>4.0625</v>
      </c>
    </row>
    <row r="90" spans="1:107" ht="12.75">
      <c r="A90">
        <f>ROW(Source!A94)</f>
        <v>94</v>
      </c>
      <c r="B90">
        <v>50947576</v>
      </c>
      <c r="C90">
        <v>50962841</v>
      </c>
      <c r="D90">
        <v>47875648</v>
      </c>
      <c r="E90">
        <v>1</v>
      </c>
      <c r="F90">
        <v>1</v>
      </c>
      <c r="G90">
        <v>1</v>
      </c>
      <c r="H90">
        <v>3</v>
      </c>
      <c r="I90" t="s">
        <v>82</v>
      </c>
      <c r="J90" t="s">
        <v>84</v>
      </c>
      <c r="K90" t="s">
        <v>83</v>
      </c>
      <c r="L90">
        <v>1348</v>
      </c>
      <c r="N90">
        <v>1009</v>
      </c>
      <c r="O90" t="s">
        <v>50</v>
      </c>
      <c r="P90" t="s">
        <v>50</v>
      </c>
      <c r="Q90">
        <v>1000</v>
      </c>
      <c r="W90">
        <v>1</v>
      </c>
      <c r="X90">
        <v>-1908218251</v>
      </c>
      <c r="Y90">
        <v>-0.00115</v>
      </c>
      <c r="AA90">
        <v>37900</v>
      </c>
      <c r="AB90">
        <v>0</v>
      </c>
      <c r="AC90">
        <v>0</v>
      </c>
      <c r="AD90">
        <v>0</v>
      </c>
      <c r="AE90">
        <v>37900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-0.00115</v>
      </c>
      <c r="AV90">
        <v>0</v>
      </c>
      <c r="AW90">
        <v>2</v>
      </c>
      <c r="AX90">
        <v>50962848</v>
      </c>
      <c r="AY90">
        <v>1</v>
      </c>
      <c r="AZ90">
        <v>6144</v>
      </c>
      <c r="BA90">
        <v>95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Y90*Source!I94</f>
        <v>-0.00040249999999999997</v>
      </c>
      <c r="CY90">
        <f aca="true" t="shared" si="24" ref="CY90:CY96">AA90</f>
        <v>37900</v>
      </c>
      <c r="CZ90">
        <f aca="true" t="shared" si="25" ref="CZ90:CZ96">AE90</f>
        <v>37900</v>
      </c>
      <c r="DA90">
        <f aca="true" t="shared" si="26" ref="DA90:DA96">AI90</f>
        <v>1</v>
      </c>
      <c r="DB90">
        <f aca="true" t="shared" si="27" ref="DB90:DB96">ROUND(ROUND(AT90*CZ90,2),6)</f>
        <v>-43.59</v>
      </c>
      <c r="DC90">
        <f aca="true" t="shared" si="28" ref="DC90:DC96">ROUND(ROUND(AT90*AG90,2),6)</f>
        <v>0</v>
      </c>
    </row>
    <row r="91" spans="1:107" ht="12.75">
      <c r="A91">
        <f>ROW(Source!A94)</f>
        <v>94</v>
      </c>
      <c r="B91">
        <v>50947576</v>
      </c>
      <c r="C91">
        <v>50962841</v>
      </c>
      <c r="D91">
        <v>47889287</v>
      </c>
      <c r="E91">
        <v>1</v>
      </c>
      <c r="F91">
        <v>1</v>
      </c>
      <c r="G91">
        <v>1</v>
      </c>
      <c r="H91">
        <v>3</v>
      </c>
      <c r="I91" t="s">
        <v>78</v>
      </c>
      <c r="J91" t="s">
        <v>80</v>
      </c>
      <c r="K91" t="s">
        <v>79</v>
      </c>
      <c r="L91">
        <v>1348</v>
      </c>
      <c r="N91">
        <v>1009</v>
      </c>
      <c r="O91" t="s">
        <v>50</v>
      </c>
      <c r="P91" t="s">
        <v>50</v>
      </c>
      <c r="Q91">
        <v>1000</v>
      </c>
      <c r="W91">
        <v>1</v>
      </c>
      <c r="X91">
        <v>1195780435</v>
      </c>
      <c r="Y91">
        <v>-0.02</v>
      </c>
      <c r="AA91">
        <v>7712</v>
      </c>
      <c r="AB91">
        <v>0</v>
      </c>
      <c r="AC91">
        <v>0</v>
      </c>
      <c r="AD91">
        <v>0</v>
      </c>
      <c r="AE91">
        <v>7712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-0.02</v>
      </c>
      <c r="AV91">
        <v>0</v>
      </c>
      <c r="AW91">
        <v>2</v>
      </c>
      <c r="AX91">
        <v>50962851</v>
      </c>
      <c r="AY91">
        <v>1</v>
      </c>
      <c r="AZ91">
        <v>6144</v>
      </c>
      <c r="BA91">
        <v>98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Y91*Source!I94</f>
        <v>-0.006999999999999999</v>
      </c>
      <c r="CY91">
        <f t="shared" si="24"/>
        <v>7712</v>
      </c>
      <c r="CZ91">
        <f t="shared" si="25"/>
        <v>7712</v>
      </c>
      <c r="DA91">
        <f t="shared" si="26"/>
        <v>1</v>
      </c>
      <c r="DB91">
        <f t="shared" si="27"/>
        <v>-154.24</v>
      </c>
      <c r="DC91">
        <f t="shared" si="28"/>
        <v>0</v>
      </c>
    </row>
    <row r="92" spans="1:107" ht="12.75">
      <c r="A92">
        <f>ROW(Source!A94)</f>
        <v>94</v>
      </c>
      <c r="B92">
        <v>50947576</v>
      </c>
      <c r="C92">
        <v>50962841</v>
      </c>
      <c r="D92">
        <v>47891316</v>
      </c>
      <c r="E92">
        <v>1</v>
      </c>
      <c r="F92">
        <v>1</v>
      </c>
      <c r="G92">
        <v>1</v>
      </c>
      <c r="H92">
        <v>3</v>
      </c>
      <c r="I92" t="s">
        <v>73</v>
      </c>
      <c r="J92" t="s">
        <v>76</v>
      </c>
      <c r="K92" t="s">
        <v>74</v>
      </c>
      <c r="L92">
        <v>1302</v>
      </c>
      <c r="N92">
        <v>1003</v>
      </c>
      <c r="O92" t="s">
        <v>75</v>
      </c>
      <c r="P92" t="s">
        <v>75</v>
      </c>
      <c r="Q92">
        <v>10</v>
      </c>
      <c r="W92">
        <v>1</v>
      </c>
      <c r="X92">
        <v>660380256</v>
      </c>
      <c r="Y92">
        <v>-0.2</v>
      </c>
      <c r="AA92">
        <v>50.24</v>
      </c>
      <c r="AB92">
        <v>0</v>
      </c>
      <c r="AC92">
        <v>0</v>
      </c>
      <c r="AD92">
        <v>0</v>
      </c>
      <c r="AE92">
        <v>50.24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-0.2</v>
      </c>
      <c r="AV92">
        <v>0</v>
      </c>
      <c r="AW92">
        <v>2</v>
      </c>
      <c r="AX92">
        <v>50962852</v>
      </c>
      <c r="AY92">
        <v>1</v>
      </c>
      <c r="AZ92">
        <v>6144</v>
      </c>
      <c r="BA92">
        <v>99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Y92*Source!I94</f>
        <v>-0.06999999999999999</v>
      </c>
      <c r="CY92">
        <f t="shared" si="24"/>
        <v>50.24</v>
      </c>
      <c r="CZ92">
        <f t="shared" si="25"/>
        <v>50.24</v>
      </c>
      <c r="DA92">
        <f t="shared" si="26"/>
        <v>1</v>
      </c>
      <c r="DB92">
        <f t="shared" si="27"/>
        <v>-10.05</v>
      </c>
      <c r="DC92">
        <f t="shared" si="28"/>
        <v>0</v>
      </c>
    </row>
    <row r="93" spans="1:107" ht="12.75">
      <c r="A93">
        <f>ROW(Source!A94)</f>
        <v>94</v>
      </c>
      <c r="B93">
        <v>50947576</v>
      </c>
      <c r="C93">
        <v>50962841</v>
      </c>
      <c r="D93">
        <v>47895708</v>
      </c>
      <c r="E93">
        <v>1</v>
      </c>
      <c r="F93">
        <v>1</v>
      </c>
      <c r="G93">
        <v>1</v>
      </c>
      <c r="H93">
        <v>3</v>
      </c>
      <c r="I93" t="s">
        <v>68</v>
      </c>
      <c r="J93" t="s">
        <v>71</v>
      </c>
      <c r="K93" t="s">
        <v>69</v>
      </c>
      <c r="L93">
        <v>1339</v>
      </c>
      <c r="N93">
        <v>1007</v>
      </c>
      <c r="O93" t="s">
        <v>70</v>
      </c>
      <c r="P93" t="s">
        <v>70</v>
      </c>
      <c r="Q93">
        <v>1</v>
      </c>
      <c r="W93">
        <v>1</v>
      </c>
      <c r="X93">
        <v>-130131740</v>
      </c>
      <c r="Y93">
        <v>-0.04</v>
      </c>
      <c r="AA93">
        <v>1700</v>
      </c>
      <c r="AB93">
        <v>0</v>
      </c>
      <c r="AC93">
        <v>0</v>
      </c>
      <c r="AD93">
        <v>0</v>
      </c>
      <c r="AE93">
        <v>1700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-0.04</v>
      </c>
      <c r="AV93">
        <v>0</v>
      </c>
      <c r="AW93">
        <v>2</v>
      </c>
      <c r="AX93">
        <v>50962854</v>
      </c>
      <c r="AY93">
        <v>1</v>
      </c>
      <c r="AZ93">
        <v>6144</v>
      </c>
      <c r="BA93">
        <v>101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-0.013999999999999999</v>
      </c>
      <c r="CY93">
        <f t="shared" si="24"/>
        <v>1700</v>
      </c>
      <c r="CZ93">
        <f t="shared" si="25"/>
        <v>1700</v>
      </c>
      <c r="DA93">
        <f t="shared" si="26"/>
        <v>1</v>
      </c>
      <c r="DB93">
        <f t="shared" si="27"/>
        <v>-68</v>
      </c>
      <c r="DC93">
        <f t="shared" si="28"/>
        <v>0</v>
      </c>
    </row>
    <row r="94" spans="1:107" ht="12.75">
      <c r="A94">
        <f>ROW(Source!A94)</f>
        <v>94</v>
      </c>
      <c r="B94">
        <v>50947576</v>
      </c>
      <c r="C94">
        <v>50962841</v>
      </c>
      <c r="D94">
        <v>0</v>
      </c>
      <c r="E94">
        <v>1</v>
      </c>
      <c r="F94">
        <v>1</v>
      </c>
      <c r="G94">
        <v>1</v>
      </c>
      <c r="H94">
        <v>3</v>
      </c>
      <c r="I94" t="s">
        <v>59</v>
      </c>
      <c r="K94" t="s">
        <v>156</v>
      </c>
      <c r="L94">
        <v>1371</v>
      </c>
      <c r="N94">
        <v>1013</v>
      </c>
      <c r="O94" t="s">
        <v>61</v>
      </c>
      <c r="P94" t="s">
        <v>61</v>
      </c>
      <c r="Q94">
        <v>1</v>
      </c>
      <c r="W94">
        <v>0</v>
      </c>
      <c r="X94">
        <v>-1045658283</v>
      </c>
      <c r="Y94">
        <v>8.571429</v>
      </c>
      <c r="AA94">
        <v>97157.83</v>
      </c>
      <c r="AB94">
        <v>0</v>
      </c>
      <c r="AC94">
        <v>0</v>
      </c>
      <c r="AD94">
        <v>0</v>
      </c>
      <c r="AE94">
        <v>97157.83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T94">
        <v>8.571429</v>
      </c>
      <c r="AV94">
        <v>0</v>
      </c>
      <c r="AW94">
        <v>1</v>
      </c>
      <c r="AX94">
        <v>-1</v>
      </c>
      <c r="AY94">
        <v>0</v>
      </c>
      <c r="AZ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3.00000015</v>
      </c>
      <c r="CY94">
        <f t="shared" si="24"/>
        <v>97157.83</v>
      </c>
      <c r="CZ94">
        <f t="shared" si="25"/>
        <v>97157.83</v>
      </c>
      <c r="DA94">
        <f t="shared" si="26"/>
        <v>1</v>
      </c>
      <c r="DB94">
        <f t="shared" si="27"/>
        <v>832781.44</v>
      </c>
      <c r="DC94">
        <f t="shared" si="28"/>
        <v>0</v>
      </c>
    </row>
    <row r="95" spans="1:107" ht="12.75">
      <c r="A95">
        <f>ROW(Source!A94)</f>
        <v>94</v>
      </c>
      <c r="B95">
        <v>50947576</v>
      </c>
      <c r="C95">
        <v>50962841</v>
      </c>
      <c r="D95">
        <v>0</v>
      </c>
      <c r="E95">
        <v>1</v>
      </c>
      <c r="F95">
        <v>1</v>
      </c>
      <c r="G95">
        <v>1</v>
      </c>
      <c r="H95">
        <v>3</v>
      </c>
      <c r="I95" t="s">
        <v>59</v>
      </c>
      <c r="K95" t="s">
        <v>158</v>
      </c>
      <c r="L95">
        <v>1371</v>
      </c>
      <c r="N95">
        <v>1013</v>
      </c>
      <c r="O95" t="s">
        <v>61</v>
      </c>
      <c r="P95" t="s">
        <v>61</v>
      </c>
      <c r="Q95">
        <v>1</v>
      </c>
      <c r="W95">
        <v>0</v>
      </c>
      <c r="X95">
        <v>1874146856</v>
      </c>
      <c r="Y95">
        <v>2.857143</v>
      </c>
      <c r="AA95">
        <v>591873.49</v>
      </c>
      <c r="AB95">
        <v>0</v>
      </c>
      <c r="AC95">
        <v>0</v>
      </c>
      <c r="AD95">
        <v>0</v>
      </c>
      <c r="AE95">
        <v>591873.49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T95">
        <v>2.857143</v>
      </c>
      <c r="AV95">
        <v>0</v>
      </c>
      <c r="AW95">
        <v>1</v>
      </c>
      <c r="AX95">
        <v>-1</v>
      </c>
      <c r="AY95">
        <v>0</v>
      </c>
      <c r="AZ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1.00000005</v>
      </c>
      <c r="CY95">
        <f t="shared" si="24"/>
        <v>591873.49</v>
      </c>
      <c r="CZ95">
        <f t="shared" si="25"/>
        <v>591873.49</v>
      </c>
      <c r="DA95">
        <f t="shared" si="26"/>
        <v>1</v>
      </c>
      <c r="DB95">
        <f t="shared" si="27"/>
        <v>1691067.2</v>
      </c>
      <c r="DC95">
        <f t="shared" si="28"/>
        <v>0</v>
      </c>
    </row>
    <row r="96" spans="1:107" ht="12.75">
      <c r="A96">
        <f>ROW(Source!A94)</f>
        <v>94</v>
      </c>
      <c r="B96">
        <v>50947576</v>
      </c>
      <c r="C96">
        <v>50962841</v>
      </c>
      <c r="D96">
        <v>0</v>
      </c>
      <c r="E96">
        <v>1</v>
      </c>
      <c r="F96">
        <v>1</v>
      </c>
      <c r="G96">
        <v>1</v>
      </c>
      <c r="H96">
        <v>3</v>
      </c>
      <c r="I96" t="s">
        <v>59</v>
      </c>
      <c r="K96" t="s">
        <v>160</v>
      </c>
      <c r="L96">
        <v>1371</v>
      </c>
      <c r="N96">
        <v>1013</v>
      </c>
      <c r="O96" t="s">
        <v>61</v>
      </c>
      <c r="P96" t="s">
        <v>61</v>
      </c>
      <c r="Q96">
        <v>1</v>
      </c>
      <c r="W96">
        <v>0</v>
      </c>
      <c r="X96">
        <v>-1222242704</v>
      </c>
      <c r="Y96">
        <v>2.857143</v>
      </c>
      <c r="AA96">
        <v>191854.09</v>
      </c>
      <c r="AB96">
        <v>0</v>
      </c>
      <c r="AC96">
        <v>0</v>
      </c>
      <c r="AD96">
        <v>0</v>
      </c>
      <c r="AE96">
        <v>191854.09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T96">
        <v>2.857143</v>
      </c>
      <c r="AV96">
        <v>0</v>
      </c>
      <c r="AW96">
        <v>1</v>
      </c>
      <c r="AX96">
        <v>-1</v>
      </c>
      <c r="AY96">
        <v>0</v>
      </c>
      <c r="AZ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Y96*Source!I94</f>
        <v>1.00000005</v>
      </c>
      <c r="CY96">
        <f t="shared" si="24"/>
        <v>191854.09</v>
      </c>
      <c r="CZ96">
        <f t="shared" si="25"/>
        <v>191854.09</v>
      </c>
      <c r="DA96">
        <f t="shared" si="26"/>
        <v>1</v>
      </c>
      <c r="DB96">
        <f t="shared" si="27"/>
        <v>548154.57</v>
      </c>
      <c r="DC96">
        <f t="shared" si="28"/>
        <v>0</v>
      </c>
    </row>
    <row r="97" spans="1:107" ht="12.75">
      <c r="A97">
        <f>ROW(Source!A95)</f>
        <v>95</v>
      </c>
      <c r="B97">
        <v>50961513</v>
      </c>
      <c r="C97">
        <v>50962841</v>
      </c>
      <c r="D97">
        <v>47860458</v>
      </c>
      <c r="E97">
        <v>56</v>
      </c>
      <c r="F97">
        <v>1</v>
      </c>
      <c r="G97">
        <v>1</v>
      </c>
      <c r="H97">
        <v>1</v>
      </c>
      <c r="I97" t="s">
        <v>319</v>
      </c>
      <c r="K97" t="s">
        <v>320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W97">
        <v>0</v>
      </c>
      <c r="X97">
        <v>687044855</v>
      </c>
      <c r="Y97">
        <v>342.7</v>
      </c>
      <c r="AA97">
        <v>0</v>
      </c>
      <c r="AB97">
        <v>0</v>
      </c>
      <c r="AC97">
        <v>0</v>
      </c>
      <c r="AD97">
        <v>10.06</v>
      </c>
      <c r="AE97">
        <v>0</v>
      </c>
      <c r="AF97">
        <v>0</v>
      </c>
      <c r="AG97">
        <v>0</v>
      </c>
      <c r="AH97">
        <v>10.06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298</v>
      </c>
      <c r="AU97" t="s">
        <v>32</v>
      </c>
      <c r="AV97">
        <v>1</v>
      </c>
      <c r="AW97">
        <v>2</v>
      </c>
      <c r="AX97">
        <v>50962842</v>
      </c>
      <c r="AY97">
        <v>1</v>
      </c>
      <c r="AZ97">
        <v>0</v>
      </c>
      <c r="BA97">
        <v>102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119.945</v>
      </c>
      <c r="CY97">
        <f>AD97</f>
        <v>10.06</v>
      </c>
      <c r="CZ97">
        <f>AH97</f>
        <v>10.06</v>
      </c>
      <c r="DA97">
        <f>AL97</f>
        <v>1</v>
      </c>
      <c r="DB97">
        <f>ROUND((ROUND(AT97*CZ97,2)*ROUND(1.15,7)),6)</f>
        <v>3447.562</v>
      </c>
      <c r="DC97">
        <f>ROUND((ROUND(AT97*AG97,2)*ROUND(1.15,7)),6)</f>
        <v>0</v>
      </c>
    </row>
    <row r="98" spans="1:107" ht="12.75">
      <c r="A98">
        <f>ROW(Source!A95)</f>
        <v>95</v>
      </c>
      <c r="B98">
        <v>50961513</v>
      </c>
      <c r="C98">
        <v>50962841</v>
      </c>
      <c r="D98">
        <v>47860585</v>
      </c>
      <c r="E98">
        <v>56</v>
      </c>
      <c r="F98">
        <v>1</v>
      </c>
      <c r="G98">
        <v>1</v>
      </c>
      <c r="H98">
        <v>1</v>
      </c>
      <c r="I98" t="s">
        <v>298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W98">
        <v>0</v>
      </c>
      <c r="X98">
        <v>-1417349443</v>
      </c>
      <c r="Y98">
        <v>3.1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2.48</v>
      </c>
      <c r="AU98" t="s">
        <v>31</v>
      </c>
      <c r="AV98">
        <v>2</v>
      </c>
      <c r="AW98">
        <v>2</v>
      </c>
      <c r="AX98">
        <v>50962843</v>
      </c>
      <c r="AY98">
        <v>1</v>
      </c>
      <c r="AZ98">
        <v>0</v>
      </c>
      <c r="BA98">
        <v>103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1.085</v>
      </c>
      <c r="CY98">
        <f>AD98</f>
        <v>0</v>
      </c>
      <c r="CZ98">
        <f>AH98</f>
        <v>0</v>
      </c>
      <c r="DA98">
        <f>AL98</f>
        <v>1</v>
      </c>
      <c r="DB98">
        <f>ROUND((ROUND(AT98*CZ98,2)*ROUND(1.25,7)),6)</f>
        <v>0</v>
      </c>
      <c r="DC98">
        <f>ROUND((ROUND(AT98*AG98,2)*ROUND(1.25,7)),6)</f>
        <v>0</v>
      </c>
    </row>
    <row r="99" spans="1:107" ht="12.75">
      <c r="A99">
        <f>ROW(Source!A95)</f>
        <v>95</v>
      </c>
      <c r="B99">
        <v>50961513</v>
      </c>
      <c r="C99">
        <v>50962841</v>
      </c>
      <c r="D99">
        <v>48021211</v>
      </c>
      <c r="E99">
        <v>1</v>
      </c>
      <c r="F99">
        <v>1</v>
      </c>
      <c r="G99">
        <v>1</v>
      </c>
      <c r="H99">
        <v>2</v>
      </c>
      <c r="I99" t="s">
        <v>321</v>
      </c>
      <c r="J99" t="s">
        <v>322</v>
      </c>
      <c r="K99" t="s">
        <v>323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-1346461524</v>
      </c>
      <c r="Y99">
        <v>2.75</v>
      </c>
      <c r="AA99">
        <v>0</v>
      </c>
      <c r="AB99">
        <v>1096.3</v>
      </c>
      <c r="AC99">
        <v>459.14</v>
      </c>
      <c r="AD99">
        <v>0</v>
      </c>
      <c r="AE99">
        <v>0</v>
      </c>
      <c r="AF99">
        <v>115.4</v>
      </c>
      <c r="AG99">
        <v>13.5</v>
      </c>
      <c r="AH99">
        <v>0</v>
      </c>
      <c r="AI99">
        <v>1</v>
      </c>
      <c r="AJ99">
        <v>9.5</v>
      </c>
      <c r="AK99">
        <v>34.01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2.2</v>
      </c>
      <c r="AU99" t="s">
        <v>31</v>
      </c>
      <c r="AV99">
        <v>0</v>
      </c>
      <c r="AW99">
        <v>2</v>
      </c>
      <c r="AX99">
        <v>50962844</v>
      </c>
      <c r="AY99">
        <v>1</v>
      </c>
      <c r="AZ99">
        <v>0</v>
      </c>
      <c r="BA99">
        <v>104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Y99*Source!I95</f>
        <v>0.9624999999999999</v>
      </c>
      <c r="CY99">
        <f>AB99</f>
        <v>1096.3</v>
      </c>
      <c r="CZ99">
        <f>AF99</f>
        <v>115.4</v>
      </c>
      <c r="DA99">
        <f>AJ99</f>
        <v>9.5</v>
      </c>
      <c r="DB99">
        <f>ROUND((ROUND(AT99*CZ99,2)*ROUND(1.25,7)),6)</f>
        <v>317.35</v>
      </c>
      <c r="DC99">
        <f>ROUND((ROUND(AT99*AG99,2)*ROUND(1.25,7)),6)</f>
        <v>37.125</v>
      </c>
    </row>
    <row r="100" spans="1:107" ht="12.75">
      <c r="A100">
        <f>ROW(Source!A95)</f>
        <v>95</v>
      </c>
      <c r="B100">
        <v>50961513</v>
      </c>
      <c r="C100">
        <v>50962841</v>
      </c>
      <c r="D100">
        <v>48021352</v>
      </c>
      <c r="E100">
        <v>1</v>
      </c>
      <c r="F100">
        <v>1</v>
      </c>
      <c r="G100">
        <v>1</v>
      </c>
      <c r="H100">
        <v>2</v>
      </c>
      <c r="I100" t="s">
        <v>324</v>
      </c>
      <c r="J100" t="s">
        <v>325</v>
      </c>
      <c r="K100" t="s">
        <v>326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-1595939894</v>
      </c>
      <c r="Y100">
        <v>54.875</v>
      </c>
      <c r="AA100">
        <v>0</v>
      </c>
      <c r="AB100">
        <v>32.5</v>
      </c>
      <c r="AC100">
        <v>0</v>
      </c>
      <c r="AD100">
        <v>0</v>
      </c>
      <c r="AE100">
        <v>0</v>
      </c>
      <c r="AF100">
        <v>6.9</v>
      </c>
      <c r="AG100">
        <v>0</v>
      </c>
      <c r="AH100">
        <v>0</v>
      </c>
      <c r="AI100">
        <v>1</v>
      </c>
      <c r="AJ100">
        <v>4.71</v>
      </c>
      <c r="AK100">
        <v>34.01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43.9</v>
      </c>
      <c r="AU100" t="s">
        <v>31</v>
      </c>
      <c r="AV100">
        <v>0</v>
      </c>
      <c r="AW100">
        <v>2</v>
      </c>
      <c r="AX100">
        <v>50962845</v>
      </c>
      <c r="AY100">
        <v>1</v>
      </c>
      <c r="AZ100">
        <v>0</v>
      </c>
      <c r="BA100">
        <v>105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Y100*Source!I95</f>
        <v>19.206249999999997</v>
      </c>
      <c r="CY100">
        <f>AB100</f>
        <v>32.5</v>
      </c>
      <c r="CZ100">
        <f>AF100</f>
        <v>6.9</v>
      </c>
      <c r="DA100">
        <f>AJ100</f>
        <v>4.71</v>
      </c>
      <c r="DB100">
        <f>ROUND((ROUND(AT100*CZ100,2)*ROUND(1.25,7)),6)</f>
        <v>378.6375</v>
      </c>
      <c r="DC100">
        <f>ROUND((ROUND(AT100*AG100,2)*ROUND(1.25,7)),6)</f>
        <v>0</v>
      </c>
    </row>
    <row r="101" spans="1:107" ht="12.75">
      <c r="A101">
        <f>ROW(Source!A95)</f>
        <v>95</v>
      </c>
      <c r="B101">
        <v>50961513</v>
      </c>
      <c r="C101">
        <v>50962841</v>
      </c>
      <c r="D101">
        <v>48022139</v>
      </c>
      <c r="E101">
        <v>1</v>
      </c>
      <c r="F101">
        <v>1</v>
      </c>
      <c r="G101">
        <v>1</v>
      </c>
      <c r="H101">
        <v>2</v>
      </c>
      <c r="I101" t="s">
        <v>300</v>
      </c>
      <c r="J101" t="s">
        <v>301</v>
      </c>
      <c r="K101" t="s">
        <v>302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W101">
        <v>0</v>
      </c>
      <c r="X101">
        <v>-841254546</v>
      </c>
      <c r="Y101">
        <v>0.35000000000000003</v>
      </c>
      <c r="AA101">
        <v>0</v>
      </c>
      <c r="AB101">
        <v>758.95</v>
      </c>
      <c r="AC101">
        <v>394.52</v>
      </c>
      <c r="AD101">
        <v>0</v>
      </c>
      <c r="AE101">
        <v>0</v>
      </c>
      <c r="AF101">
        <v>65.71</v>
      </c>
      <c r="AG101">
        <v>11.6</v>
      </c>
      <c r="AH101">
        <v>0</v>
      </c>
      <c r="AI101">
        <v>1</v>
      </c>
      <c r="AJ101">
        <v>11.55</v>
      </c>
      <c r="AK101">
        <v>34.01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0.28</v>
      </c>
      <c r="AU101" t="s">
        <v>31</v>
      </c>
      <c r="AV101">
        <v>0</v>
      </c>
      <c r="AW101">
        <v>2</v>
      </c>
      <c r="AX101">
        <v>50962846</v>
      </c>
      <c r="AY101">
        <v>1</v>
      </c>
      <c r="AZ101">
        <v>0</v>
      </c>
      <c r="BA101">
        <v>106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Y101*Source!I95</f>
        <v>0.1225</v>
      </c>
      <c r="CY101">
        <f>AB101</f>
        <v>758.95</v>
      </c>
      <c r="CZ101">
        <f>AF101</f>
        <v>65.71</v>
      </c>
      <c r="DA101">
        <f>AJ101</f>
        <v>11.55</v>
      </c>
      <c r="DB101">
        <f>ROUND((ROUND(AT101*CZ101,2)*ROUND(1.25,7)),6)</f>
        <v>23</v>
      </c>
      <c r="DC101">
        <f>ROUND((ROUND(AT101*AG101,2)*ROUND(1.25,7)),6)</f>
        <v>4.0625</v>
      </c>
    </row>
    <row r="102" spans="1:107" ht="12.75">
      <c r="A102">
        <f>ROW(Source!A95)</f>
        <v>95</v>
      </c>
      <c r="B102">
        <v>50961513</v>
      </c>
      <c r="C102">
        <v>50962841</v>
      </c>
      <c r="D102">
        <v>47875648</v>
      </c>
      <c r="E102">
        <v>1</v>
      </c>
      <c r="F102">
        <v>1</v>
      </c>
      <c r="G102">
        <v>1</v>
      </c>
      <c r="H102">
        <v>3</v>
      </c>
      <c r="I102" t="s">
        <v>82</v>
      </c>
      <c r="J102" t="s">
        <v>84</v>
      </c>
      <c r="K102" t="s">
        <v>83</v>
      </c>
      <c r="L102">
        <v>1348</v>
      </c>
      <c r="N102">
        <v>1009</v>
      </c>
      <c r="O102" t="s">
        <v>50</v>
      </c>
      <c r="P102" t="s">
        <v>50</v>
      </c>
      <c r="Q102">
        <v>1000</v>
      </c>
      <c r="W102">
        <v>1</v>
      </c>
      <c r="X102">
        <v>-1908218251</v>
      </c>
      <c r="Y102">
        <v>-0.00115</v>
      </c>
      <c r="AA102">
        <v>173961</v>
      </c>
      <c r="AB102">
        <v>0</v>
      </c>
      <c r="AC102">
        <v>0</v>
      </c>
      <c r="AD102">
        <v>0</v>
      </c>
      <c r="AE102">
        <v>37900</v>
      </c>
      <c r="AF102">
        <v>0</v>
      </c>
      <c r="AG102">
        <v>0</v>
      </c>
      <c r="AH102">
        <v>0</v>
      </c>
      <c r="AI102">
        <v>4.59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-0.00115</v>
      </c>
      <c r="AV102">
        <v>0</v>
      </c>
      <c r="AW102">
        <v>2</v>
      </c>
      <c r="AX102">
        <v>50962848</v>
      </c>
      <c r="AY102">
        <v>1</v>
      </c>
      <c r="AZ102">
        <v>6144</v>
      </c>
      <c r="BA102">
        <v>108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Y102*Source!I95</f>
        <v>-0.00040249999999999997</v>
      </c>
      <c r="CY102">
        <f aca="true" t="shared" si="29" ref="CY102:CY108">AA102</f>
        <v>173961</v>
      </c>
      <c r="CZ102">
        <f aca="true" t="shared" si="30" ref="CZ102:CZ108">AE102</f>
        <v>37900</v>
      </c>
      <c r="DA102">
        <f aca="true" t="shared" si="31" ref="DA102:DA108">AI102</f>
        <v>4.59</v>
      </c>
      <c r="DB102">
        <f aca="true" t="shared" si="32" ref="DB102:DB116">ROUND(ROUND(AT102*CZ102,2),6)</f>
        <v>-43.59</v>
      </c>
      <c r="DC102">
        <f aca="true" t="shared" si="33" ref="DC102:DC116">ROUND(ROUND(AT102*AG102,2),6)</f>
        <v>0</v>
      </c>
    </row>
    <row r="103" spans="1:107" ht="12.75">
      <c r="A103">
        <f>ROW(Source!A95)</f>
        <v>95</v>
      </c>
      <c r="B103">
        <v>50961513</v>
      </c>
      <c r="C103">
        <v>50962841</v>
      </c>
      <c r="D103">
        <v>47889287</v>
      </c>
      <c r="E103">
        <v>1</v>
      </c>
      <c r="F103">
        <v>1</v>
      </c>
      <c r="G103">
        <v>1</v>
      </c>
      <c r="H103">
        <v>3</v>
      </c>
      <c r="I103" t="s">
        <v>78</v>
      </c>
      <c r="J103" t="s">
        <v>80</v>
      </c>
      <c r="K103" t="s">
        <v>79</v>
      </c>
      <c r="L103">
        <v>1348</v>
      </c>
      <c r="N103">
        <v>1009</v>
      </c>
      <c r="O103" t="s">
        <v>50</v>
      </c>
      <c r="P103" t="s">
        <v>50</v>
      </c>
      <c r="Q103">
        <v>1000</v>
      </c>
      <c r="W103">
        <v>1</v>
      </c>
      <c r="X103">
        <v>1195780435</v>
      </c>
      <c r="Y103">
        <v>-0.02</v>
      </c>
      <c r="AA103">
        <v>68405.44</v>
      </c>
      <c r="AB103">
        <v>0</v>
      </c>
      <c r="AC103">
        <v>0</v>
      </c>
      <c r="AD103">
        <v>0</v>
      </c>
      <c r="AE103">
        <v>7712</v>
      </c>
      <c r="AF103">
        <v>0</v>
      </c>
      <c r="AG103">
        <v>0</v>
      </c>
      <c r="AH103">
        <v>0</v>
      </c>
      <c r="AI103">
        <v>8.87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-0.02</v>
      </c>
      <c r="AV103">
        <v>0</v>
      </c>
      <c r="AW103">
        <v>2</v>
      </c>
      <c r="AX103">
        <v>50962851</v>
      </c>
      <c r="AY103">
        <v>1</v>
      </c>
      <c r="AZ103">
        <v>6144</v>
      </c>
      <c r="BA103">
        <v>111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Y103*Source!I95</f>
        <v>-0.006999999999999999</v>
      </c>
      <c r="CY103">
        <f t="shared" si="29"/>
        <v>68405.44</v>
      </c>
      <c r="CZ103">
        <f t="shared" si="30"/>
        <v>7712</v>
      </c>
      <c r="DA103">
        <f t="shared" si="31"/>
        <v>8.87</v>
      </c>
      <c r="DB103">
        <f t="shared" si="32"/>
        <v>-154.24</v>
      </c>
      <c r="DC103">
        <f t="shared" si="33"/>
        <v>0</v>
      </c>
    </row>
    <row r="104" spans="1:107" ht="12.75">
      <c r="A104">
        <f>ROW(Source!A95)</f>
        <v>95</v>
      </c>
      <c r="B104">
        <v>50961513</v>
      </c>
      <c r="C104">
        <v>50962841</v>
      </c>
      <c r="D104">
        <v>47891316</v>
      </c>
      <c r="E104">
        <v>1</v>
      </c>
      <c r="F104">
        <v>1</v>
      </c>
      <c r="G104">
        <v>1</v>
      </c>
      <c r="H104">
        <v>3</v>
      </c>
      <c r="I104" t="s">
        <v>73</v>
      </c>
      <c r="J104" t="s">
        <v>76</v>
      </c>
      <c r="K104" t="s">
        <v>74</v>
      </c>
      <c r="L104">
        <v>1302</v>
      </c>
      <c r="N104">
        <v>1003</v>
      </c>
      <c r="O104" t="s">
        <v>75</v>
      </c>
      <c r="P104" t="s">
        <v>75</v>
      </c>
      <c r="Q104">
        <v>10</v>
      </c>
      <c r="W104">
        <v>1</v>
      </c>
      <c r="X104">
        <v>660380256</v>
      </c>
      <c r="Y104">
        <v>-0.2</v>
      </c>
      <c r="AA104">
        <v>305.96</v>
      </c>
      <c r="AB104">
        <v>0</v>
      </c>
      <c r="AC104">
        <v>0</v>
      </c>
      <c r="AD104">
        <v>0</v>
      </c>
      <c r="AE104">
        <v>50.24</v>
      </c>
      <c r="AF104">
        <v>0</v>
      </c>
      <c r="AG104">
        <v>0</v>
      </c>
      <c r="AH104">
        <v>0</v>
      </c>
      <c r="AI104">
        <v>6.09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-0.2</v>
      </c>
      <c r="AV104">
        <v>0</v>
      </c>
      <c r="AW104">
        <v>2</v>
      </c>
      <c r="AX104">
        <v>50962852</v>
      </c>
      <c r="AY104">
        <v>1</v>
      </c>
      <c r="AZ104">
        <v>6144</v>
      </c>
      <c r="BA104">
        <v>112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Y104*Source!I95</f>
        <v>-0.06999999999999999</v>
      </c>
      <c r="CY104">
        <f t="shared" si="29"/>
        <v>305.96</v>
      </c>
      <c r="CZ104">
        <f t="shared" si="30"/>
        <v>50.24</v>
      </c>
      <c r="DA104">
        <f t="shared" si="31"/>
        <v>6.09</v>
      </c>
      <c r="DB104">
        <f t="shared" si="32"/>
        <v>-10.05</v>
      </c>
      <c r="DC104">
        <f t="shared" si="33"/>
        <v>0</v>
      </c>
    </row>
    <row r="105" spans="1:107" ht="12.75">
      <c r="A105">
        <f>ROW(Source!A95)</f>
        <v>95</v>
      </c>
      <c r="B105">
        <v>50961513</v>
      </c>
      <c r="C105">
        <v>50962841</v>
      </c>
      <c r="D105">
        <v>47895708</v>
      </c>
      <c r="E105">
        <v>1</v>
      </c>
      <c r="F105">
        <v>1</v>
      </c>
      <c r="G105">
        <v>1</v>
      </c>
      <c r="H105">
        <v>3</v>
      </c>
      <c r="I105" t="s">
        <v>68</v>
      </c>
      <c r="J105" t="s">
        <v>71</v>
      </c>
      <c r="K105" t="s">
        <v>69</v>
      </c>
      <c r="L105">
        <v>1339</v>
      </c>
      <c r="N105">
        <v>1007</v>
      </c>
      <c r="O105" t="s">
        <v>70</v>
      </c>
      <c r="P105" t="s">
        <v>70</v>
      </c>
      <c r="Q105">
        <v>1</v>
      </c>
      <c r="W105">
        <v>1</v>
      </c>
      <c r="X105">
        <v>-130131740</v>
      </c>
      <c r="Y105">
        <v>-0.04</v>
      </c>
      <c r="AA105">
        <v>9435</v>
      </c>
      <c r="AB105">
        <v>0</v>
      </c>
      <c r="AC105">
        <v>0</v>
      </c>
      <c r="AD105">
        <v>0</v>
      </c>
      <c r="AE105">
        <v>1700</v>
      </c>
      <c r="AF105">
        <v>0</v>
      </c>
      <c r="AG105">
        <v>0</v>
      </c>
      <c r="AH105">
        <v>0</v>
      </c>
      <c r="AI105">
        <v>5.55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-0.04</v>
      </c>
      <c r="AV105">
        <v>0</v>
      </c>
      <c r="AW105">
        <v>2</v>
      </c>
      <c r="AX105">
        <v>50962854</v>
      </c>
      <c r="AY105">
        <v>1</v>
      </c>
      <c r="AZ105">
        <v>6144</v>
      </c>
      <c r="BA105">
        <v>114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Y105*Source!I95</f>
        <v>-0.013999999999999999</v>
      </c>
      <c r="CY105">
        <f t="shared" si="29"/>
        <v>9435</v>
      </c>
      <c r="CZ105">
        <f t="shared" si="30"/>
        <v>1700</v>
      </c>
      <c r="DA105">
        <f t="shared" si="31"/>
        <v>5.55</v>
      </c>
      <c r="DB105">
        <f t="shared" si="32"/>
        <v>-68</v>
      </c>
      <c r="DC105">
        <f t="shared" si="33"/>
        <v>0</v>
      </c>
    </row>
    <row r="106" spans="1:107" ht="12.75">
      <c r="A106">
        <f>ROW(Source!A95)</f>
        <v>95</v>
      </c>
      <c r="B106">
        <v>50961513</v>
      </c>
      <c r="C106">
        <v>50962841</v>
      </c>
      <c r="D106">
        <v>0</v>
      </c>
      <c r="E106">
        <v>1</v>
      </c>
      <c r="F106">
        <v>1</v>
      </c>
      <c r="G106">
        <v>1</v>
      </c>
      <c r="H106">
        <v>3</v>
      </c>
      <c r="I106" t="s">
        <v>59</v>
      </c>
      <c r="K106" t="s">
        <v>156</v>
      </c>
      <c r="L106">
        <v>1371</v>
      </c>
      <c r="N106">
        <v>1013</v>
      </c>
      <c r="O106" t="s">
        <v>61</v>
      </c>
      <c r="P106" t="s">
        <v>61</v>
      </c>
      <c r="Q106">
        <v>1</v>
      </c>
      <c r="W106">
        <v>0</v>
      </c>
      <c r="X106">
        <v>-1045658283</v>
      </c>
      <c r="Y106">
        <v>8.571429</v>
      </c>
      <c r="AA106">
        <v>97157.83</v>
      </c>
      <c r="AB106">
        <v>0</v>
      </c>
      <c r="AC106">
        <v>0</v>
      </c>
      <c r="AD106">
        <v>0</v>
      </c>
      <c r="AE106">
        <v>97157.83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T106">
        <v>8.571429</v>
      </c>
      <c r="AV106">
        <v>0</v>
      </c>
      <c r="AW106">
        <v>1</v>
      </c>
      <c r="AX106">
        <v>-1</v>
      </c>
      <c r="AY106">
        <v>0</v>
      </c>
      <c r="AZ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Y106*Source!I95</f>
        <v>3.00000015</v>
      </c>
      <c r="CY106">
        <f t="shared" si="29"/>
        <v>97157.83</v>
      </c>
      <c r="CZ106">
        <f t="shared" si="30"/>
        <v>97157.83</v>
      </c>
      <c r="DA106">
        <f t="shared" si="31"/>
        <v>1</v>
      </c>
      <c r="DB106">
        <f t="shared" si="32"/>
        <v>832781.44</v>
      </c>
      <c r="DC106">
        <f t="shared" si="33"/>
        <v>0</v>
      </c>
    </row>
    <row r="107" spans="1:107" ht="12.75">
      <c r="A107">
        <f>ROW(Source!A95)</f>
        <v>95</v>
      </c>
      <c r="B107">
        <v>50961513</v>
      </c>
      <c r="C107">
        <v>50962841</v>
      </c>
      <c r="D107">
        <v>0</v>
      </c>
      <c r="E107">
        <v>1</v>
      </c>
      <c r="F107">
        <v>1</v>
      </c>
      <c r="G107">
        <v>1</v>
      </c>
      <c r="H107">
        <v>3</v>
      </c>
      <c r="I107" t="s">
        <v>59</v>
      </c>
      <c r="K107" t="s">
        <v>158</v>
      </c>
      <c r="L107">
        <v>1371</v>
      </c>
      <c r="N107">
        <v>1013</v>
      </c>
      <c r="O107" t="s">
        <v>61</v>
      </c>
      <c r="P107" t="s">
        <v>61</v>
      </c>
      <c r="Q107">
        <v>1</v>
      </c>
      <c r="W107">
        <v>0</v>
      </c>
      <c r="X107">
        <v>1874146856</v>
      </c>
      <c r="Y107">
        <v>2.857143</v>
      </c>
      <c r="AA107">
        <v>591873.49</v>
      </c>
      <c r="AB107">
        <v>0</v>
      </c>
      <c r="AC107">
        <v>0</v>
      </c>
      <c r="AD107">
        <v>0</v>
      </c>
      <c r="AE107">
        <v>591873.49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T107">
        <v>2.857143</v>
      </c>
      <c r="AV107">
        <v>0</v>
      </c>
      <c r="AW107">
        <v>1</v>
      </c>
      <c r="AX107">
        <v>-1</v>
      </c>
      <c r="AY107">
        <v>0</v>
      </c>
      <c r="AZ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Y107*Source!I95</f>
        <v>1.00000005</v>
      </c>
      <c r="CY107">
        <f t="shared" si="29"/>
        <v>591873.49</v>
      </c>
      <c r="CZ107">
        <f t="shared" si="30"/>
        <v>591873.49</v>
      </c>
      <c r="DA107">
        <f t="shared" si="31"/>
        <v>1</v>
      </c>
      <c r="DB107">
        <f t="shared" si="32"/>
        <v>1691067.2</v>
      </c>
      <c r="DC107">
        <f t="shared" si="33"/>
        <v>0</v>
      </c>
    </row>
    <row r="108" spans="1:107" ht="12.75">
      <c r="A108">
        <f>ROW(Source!A95)</f>
        <v>95</v>
      </c>
      <c r="B108">
        <v>50961513</v>
      </c>
      <c r="C108">
        <v>50962841</v>
      </c>
      <c r="D108">
        <v>0</v>
      </c>
      <c r="E108">
        <v>1</v>
      </c>
      <c r="F108">
        <v>1</v>
      </c>
      <c r="G108">
        <v>1</v>
      </c>
      <c r="H108">
        <v>3</v>
      </c>
      <c r="I108" t="s">
        <v>59</v>
      </c>
      <c r="K108" t="s">
        <v>160</v>
      </c>
      <c r="L108">
        <v>1371</v>
      </c>
      <c r="N108">
        <v>1013</v>
      </c>
      <c r="O108" t="s">
        <v>61</v>
      </c>
      <c r="P108" t="s">
        <v>61</v>
      </c>
      <c r="Q108">
        <v>1</v>
      </c>
      <c r="W108">
        <v>0</v>
      </c>
      <c r="X108">
        <v>-1222242704</v>
      </c>
      <c r="Y108">
        <v>2.857143</v>
      </c>
      <c r="AA108">
        <v>191854.09</v>
      </c>
      <c r="AB108">
        <v>0</v>
      </c>
      <c r="AC108">
        <v>0</v>
      </c>
      <c r="AD108">
        <v>0</v>
      </c>
      <c r="AE108">
        <v>191854.09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T108">
        <v>2.857143</v>
      </c>
      <c r="AV108">
        <v>0</v>
      </c>
      <c r="AW108">
        <v>1</v>
      </c>
      <c r="AX108">
        <v>-1</v>
      </c>
      <c r="AY108">
        <v>0</v>
      </c>
      <c r="AZ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Y108*Source!I95</f>
        <v>1.00000005</v>
      </c>
      <c r="CY108">
        <f t="shared" si="29"/>
        <v>191854.09</v>
      </c>
      <c r="CZ108">
        <f t="shared" si="30"/>
        <v>191854.09</v>
      </c>
      <c r="DA108">
        <f t="shared" si="31"/>
        <v>1</v>
      </c>
      <c r="DB108">
        <f t="shared" si="32"/>
        <v>548154.57</v>
      </c>
      <c r="DC108">
        <f t="shared" si="33"/>
        <v>0</v>
      </c>
    </row>
    <row r="109" spans="1:107" ht="12.75">
      <c r="A109">
        <f>ROW(Source!A110)</f>
        <v>110</v>
      </c>
      <c r="B109">
        <v>50947576</v>
      </c>
      <c r="C109">
        <v>50961419</v>
      </c>
      <c r="D109">
        <v>49459365</v>
      </c>
      <c r="E109">
        <v>58</v>
      </c>
      <c r="F109">
        <v>1</v>
      </c>
      <c r="G109">
        <v>1</v>
      </c>
      <c r="H109">
        <v>1</v>
      </c>
      <c r="I109" t="s">
        <v>313</v>
      </c>
      <c r="K109" t="s">
        <v>314</v>
      </c>
      <c r="L109">
        <v>1191</v>
      </c>
      <c r="N109">
        <v>1013</v>
      </c>
      <c r="O109" t="s">
        <v>297</v>
      </c>
      <c r="P109" t="s">
        <v>297</v>
      </c>
      <c r="Q109">
        <v>1</v>
      </c>
      <c r="W109">
        <v>0</v>
      </c>
      <c r="X109">
        <v>-228054128</v>
      </c>
      <c r="Y109">
        <v>179.3</v>
      </c>
      <c r="AA109">
        <v>0</v>
      </c>
      <c r="AB109">
        <v>0</v>
      </c>
      <c r="AC109">
        <v>0</v>
      </c>
      <c r="AD109">
        <v>8.02</v>
      </c>
      <c r="AE109">
        <v>0</v>
      </c>
      <c r="AF109">
        <v>0</v>
      </c>
      <c r="AG109">
        <v>0</v>
      </c>
      <c r="AH109">
        <v>8.02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179.3</v>
      </c>
      <c r="AV109">
        <v>1</v>
      </c>
      <c r="AW109">
        <v>2</v>
      </c>
      <c r="AX109">
        <v>50961420</v>
      </c>
      <c r="AY109">
        <v>1</v>
      </c>
      <c r="AZ109">
        <v>0</v>
      </c>
      <c r="BA109">
        <v>115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Y109*Source!I110</f>
        <v>1.7930000000000001</v>
      </c>
      <c r="CY109">
        <f>AD109</f>
        <v>8.02</v>
      </c>
      <c r="CZ109">
        <f>AH109</f>
        <v>8.02</v>
      </c>
      <c r="DA109">
        <f>AL109</f>
        <v>1</v>
      </c>
      <c r="DB109">
        <f t="shared" si="32"/>
        <v>1437.99</v>
      </c>
      <c r="DC109">
        <f t="shared" si="33"/>
        <v>0</v>
      </c>
    </row>
    <row r="110" spans="1:107" ht="12.75">
      <c r="A110">
        <f>ROW(Source!A110)</f>
        <v>110</v>
      </c>
      <c r="B110">
        <v>50947576</v>
      </c>
      <c r="C110">
        <v>50961419</v>
      </c>
      <c r="D110">
        <v>49621500</v>
      </c>
      <c r="E110">
        <v>1</v>
      </c>
      <c r="F110">
        <v>1</v>
      </c>
      <c r="G110">
        <v>1</v>
      </c>
      <c r="H110">
        <v>2</v>
      </c>
      <c r="I110" t="s">
        <v>350</v>
      </c>
      <c r="J110" t="s">
        <v>351</v>
      </c>
      <c r="K110" t="s">
        <v>352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-681442505</v>
      </c>
      <c r="Y110">
        <v>3.97</v>
      </c>
      <c r="AA110">
        <v>0</v>
      </c>
      <c r="AB110">
        <v>48.81</v>
      </c>
      <c r="AC110">
        <v>0</v>
      </c>
      <c r="AD110">
        <v>0</v>
      </c>
      <c r="AE110">
        <v>0</v>
      </c>
      <c r="AF110">
        <v>48.81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3.97</v>
      </c>
      <c r="AV110">
        <v>0</v>
      </c>
      <c r="AW110">
        <v>2</v>
      </c>
      <c r="AX110">
        <v>50961421</v>
      </c>
      <c r="AY110">
        <v>1</v>
      </c>
      <c r="AZ110">
        <v>0</v>
      </c>
      <c r="BA110">
        <v>116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Y110*Source!I110</f>
        <v>0.039700000000000006</v>
      </c>
      <c r="CY110">
        <f>AB110</f>
        <v>48.81</v>
      </c>
      <c r="CZ110">
        <f>AF110</f>
        <v>48.81</v>
      </c>
      <c r="DA110">
        <f>AJ110</f>
        <v>1</v>
      </c>
      <c r="DB110">
        <f t="shared" si="32"/>
        <v>193.78</v>
      </c>
      <c r="DC110">
        <f t="shared" si="33"/>
        <v>0</v>
      </c>
    </row>
    <row r="111" spans="1:107" ht="12.75">
      <c r="A111">
        <f>ROW(Source!A110)</f>
        <v>110</v>
      </c>
      <c r="B111">
        <v>50947576</v>
      </c>
      <c r="C111">
        <v>50961419</v>
      </c>
      <c r="D111">
        <v>49621951</v>
      </c>
      <c r="E111">
        <v>1</v>
      </c>
      <c r="F111">
        <v>1</v>
      </c>
      <c r="G111">
        <v>1</v>
      </c>
      <c r="H111">
        <v>2</v>
      </c>
      <c r="I111" t="s">
        <v>353</v>
      </c>
      <c r="J111" t="s">
        <v>354</v>
      </c>
      <c r="K111" t="s">
        <v>355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745726032</v>
      </c>
      <c r="Y111">
        <v>7.93</v>
      </c>
      <c r="AA111">
        <v>0</v>
      </c>
      <c r="AB111">
        <v>1.53</v>
      </c>
      <c r="AC111">
        <v>0</v>
      </c>
      <c r="AD111">
        <v>0</v>
      </c>
      <c r="AE111">
        <v>0</v>
      </c>
      <c r="AF111">
        <v>1.53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7.93</v>
      </c>
      <c r="AV111">
        <v>0</v>
      </c>
      <c r="AW111">
        <v>2</v>
      </c>
      <c r="AX111">
        <v>50961422</v>
      </c>
      <c r="AY111">
        <v>1</v>
      </c>
      <c r="AZ111">
        <v>0</v>
      </c>
      <c r="BA111">
        <v>117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Y111*Source!I110</f>
        <v>0.0793</v>
      </c>
      <c r="CY111">
        <f>AB111</f>
        <v>1.53</v>
      </c>
      <c r="CZ111">
        <f>AF111</f>
        <v>1.53</v>
      </c>
      <c r="DA111">
        <f>AJ111</f>
        <v>1</v>
      </c>
      <c r="DB111">
        <f t="shared" si="32"/>
        <v>12.13</v>
      </c>
      <c r="DC111">
        <f t="shared" si="33"/>
        <v>0</v>
      </c>
    </row>
    <row r="112" spans="1:107" ht="12.75">
      <c r="A112">
        <f>ROW(Source!A110)</f>
        <v>110</v>
      </c>
      <c r="B112">
        <v>50947576</v>
      </c>
      <c r="C112">
        <v>50961419</v>
      </c>
      <c r="D112">
        <v>49463934</v>
      </c>
      <c r="E112">
        <v>58</v>
      </c>
      <c r="F112">
        <v>1</v>
      </c>
      <c r="G112">
        <v>1</v>
      </c>
      <c r="H112">
        <v>3</v>
      </c>
      <c r="I112" t="s">
        <v>48</v>
      </c>
      <c r="K112" t="s">
        <v>49</v>
      </c>
      <c r="L112">
        <v>1348</v>
      </c>
      <c r="N112">
        <v>1009</v>
      </c>
      <c r="O112" t="s">
        <v>50</v>
      </c>
      <c r="P112" t="s">
        <v>50</v>
      </c>
      <c r="Q112">
        <v>1000</v>
      </c>
      <c r="W112">
        <v>0</v>
      </c>
      <c r="X112">
        <v>2102561428</v>
      </c>
      <c r="Y112">
        <v>10.5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T112">
        <v>10.5</v>
      </c>
      <c r="AV112">
        <v>0</v>
      </c>
      <c r="AW112">
        <v>2</v>
      </c>
      <c r="AX112">
        <v>50961423</v>
      </c>
      <c r="AY112">
        <v>1</v>
      </c>
      <c r="AZ112">
        <v>0</v>
      </c>
      <c r="BA112">
        <v>118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Y112*Source!I110</f>
        <v>0.105</v>
      </c>
      <c r="CY112">
        <f>AA112</f>
        <v>0</v>
      </c>
      <c r="CZ112">
        <f>AE112</f>
        <v>0</v>
      </c>
      <c r="DA112">
        <f>AI112</f>
        <v>1</v>
      </c>
      <c r="DB112">
        <f t="shared" si="32"/>
        <v>0</v>
      </c>
      <c r="DC112">
        <f t="shared" si="33"/>
        <v>0</v>
      </c>
    </row>
    <row r="113" spans="1:107" ht="12.75">
      <c r="A113">
        <f>ROW(Source!A111)</f>
        <v>111</v>
      </c>
      <c r="B113">
        <v>50961513</v>
      </c>
      <c r="C113">
        <v>50961419</v>
      </c>
      <c r="D113">
        <v>49459365</v>
      </c>
      <c r="E113">
        <v>58</v>
      </c>
      <c r="F113">
        <v>1</v>
      </c>
      <c r="G113">
        <v>1</v>
      </c>
      <c r="H113">
        <v>1</v>
      </c>
      <c r="I113" t="s">
        <v>313</v>
      </c>
      <c r="K113" t="s">
        <v>314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-228054128</v>
      </c>
      <c r="Y113">
        <v>179.3</v>
      </c>
      <c r="AA113">
        <v>0</v>
      </c>
      <c r="AB113">
        <v>0</v>
      </c>
      <c r="AC113">
        <v>0</v>
      </c>
      <c r="AD113">
        <v>8.02</v>
      </c>
      <c r="AE113">
        <v>0</v>
      </c>
      <c r="AF113">
        <v>0</v>
      </c>
      <c r="AG113">
        <v>0</v>
      </c>
      <c r="AH113">
        <v>8.02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179.3</v>
      </c>
      <c r="AV113">
        <v>1</v>
      </c>
      <c r="AW113">
        <v>2</v>
      </c>
      <c r="AX113">
        <v>50961420</v>
      </c>
      <c r="AY113">
        <v>1</v>
      </c>
      <c r="AZ113">
        <v>0</v>
      </c>
      <c r="BA113">
        <v>119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Y113*Source!I111</f>
        <v>1.7930000000000001</v>
      </c>
      <c r="CY113">
        <f>AD113</f>
        <v>8.02</v>
      </c>
      <c r="CZ113">
        <f>AH113</f>
        <v>8.02</v>
      </c>
      <c r="DA113">
        <f>AL113</f>
        <v>1</v>
      </c>
      <c r="DB113">
        <f t="shared" si="32"/>
        <v>1437.99</v>
      </c>
      <c r="DC113">
        <f t="shared" si="33"/>
        <v>0</v>
      </c>
    </row>
    <row r="114" spans="1:107" ht="12.75">
      <c r="A114">
        <f>ROW(Source!A111)</f>
        <v>111</v>
      </c>
      <c r="B114">
        <v>50961513</v>
      </c>
      <c r="C114">
        <v>50961419</v>
      </c>
      <c r="D114">
        <v>49621500</v>
      </c>
      <c r="E114">
        <v>1</v>
      </c>
      <c r="F114">
        <v>1</v>
      </c>
      <c r="G114">
        <v>1</v>
      </c>
      <c r="H114">
        <v>2</v>
      </c>
      <c r="I114" t="s">
        <v>350</v>
      </c>
      <c r="J114" t="s">
        <v>351</v>
      </c>
      <c r="K114" t="s">
        <v>352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-681442505</v>
      </c>
      <c r="Y114">
        <v>3.97</v>
      </c>
      <c r="AA114">
        <v>0</v>
      </c>
      <c r="AB114">
        <v>138.13</v>
      </c>
      <c r="AC114">
        <v>0</v>
      </c>
      <c r="AD114">
        <v>0</v>
      </c>
      <c r="AE114">
        <v>0</v>
      </c>
      <c r="AF114">
        <v>48.81</v>
      </c>
      <c r="AG114">
        <v>0</v>
      </c>
      <c r="AH114">
        <v>0</v>
      </c>
      <c r="AI114">
        <v>1</v>
      </c>
      <c r="AJ114">
        <v>2.83</v>
      </c>
      <c r="AK114">
        <v>34.01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3.97</v>
      </c>
      <c r="AV114">
        <v>0</v>
      </c>
      <c r="AW114">
        <v>2</v>
      </c>
      <c r="AX114">
        <v>50961421</v>
      </c>
      <c r="AY114">
        <v>1</v>
      </c>
      <c r="AZ114">
        <v>0</v>
      </c>
      <c r="BA114">
        <v>120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Y114*Source!I111</f>
        <v>0.039700000000000006</v>
      </c>
      <c r="CY114">
        <f>AB114</f>
        <v>138.13</v>
      </c>
      <c r="CZ114">
        <f>AF114</f>
        <v>48.81</v>
      </c>
      <c r="DA114">
        <f>AJ114</f>
        <v>2.83</v>
      </c>
      <c r="DB114">
        <f t="shared" si="32"/>
        <v>193.78</v>
      </c>
      <c r="DC114">
        <f t="shared" si="33"/>
        <v>0</v>
      </c>
    </row>
    <row r="115" spans="1:107" ht="12.75">
      <c r="A115">
        <f>ROW(Source!A111)</f>
        <v>111</v>
      </c>
      <c r="B115">
        <v>50961513</v>
      </c>
      <c r="C115">
        <v>50961419</v>
      </c>
      <c r="D115">
        <v>49621951</v>
      </c>
      <c r="E115">
        <v>1</v>
      </c>
      <c r="F115">
        <v>1</v>
      </c>
      <c r="G115">
        <v>1</v>
      </c>
      <c r="H115">
        <v>2</v>
      </c>
      <c r="I115" t="s">
        <v>353</v>
      </c>
      <c r="J115" t="s">
        <v>354</v>
      </c>
      <c r="K115" t="s">
        <v>355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W115">
        <v>0</v>
      </c>
      <c r="X115">
        <v>745726032</v>
      </c>
      <c r="Y115">
        <v>7.93</v>
      </c>
      <c r="AA115">
        <v>0</v>
      </c>
      <c r="AB115">
        <v>5.86</v>
      </c>
      <c r="AC115">
        <v>0</v>
      </c>
      <c r="AD115">
        <v>0</v>
      </c>
      <c r="AE115">
        <v>0</v>
      </c>
      <c r="AF115">
        <v>1.53</v>
      </c>
      <c r="AG115">
        <v>0</v>
      </c>
      <c r="AH115">
        <v>0</v>
      </c>
      <c r="AI115">
        <v>1</v>
      </c>
      <c r="AJ115">
        <v>3.83</v>
      </c>
      <c r="AK115">
        <v>34.01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7.93</v>
      </c>
      <c r="AV115">
        <v>0</v>
      </c>
      <c r="AW115">
        <v>2</v>
      </c>
      <c r="AX115">
        <v>50961422</v>
      </c>
      <c r="AY115">
        <v>1</v>
      </c>
      <c r="AZ115">
        <v>0</v>
      </c>
      <c r="BA115">
        <v>121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Y115*Source!I111</f>
        <v>0.0793</v>
      </c>
      <c r="CY115">
        <f>AB115</f>
        <v>5.86</v>
      </c>
      <c r="CZ115">
        <f>AF115</f>
        <v>1.53</v>
      </c>
      <c r="DA115">
        <f>AJ115</f>
        <v>3.83</v>
      </c>
      <c r="DB115">
        <f t="shared" si="32"/>
        <v>12.13</v>
      </c>
      <c r="DC115">
        <f t="shared" si="33"/>
        <v>0</v>
      </c>
    </row>
    <row r="116" spans="1:107" ht="12.75">
      <c r="A116">
        <f>ROW(Source!A111)</f>
        <v>111</v>
      </c>
      <c r="B116">
        <v>50961513</v>
      </c>
      <c r="C116">
        <v>50961419</v>
      </c>
      <c r="D116">
        <v>49463934</v>
      </c>
      <c r="E116">
        <v>58</v>
      </c>
      <c r="F116">
        <v>1</v>
      </c>
      <c r="G116">
        <v>1</v>
      </c>
      <c r="H116">
        <v>3</v>
      </c>
      <c r="I116" t="s">
        <v>48</v>
      </c>
      <c r="K116" t="s">
        <v>49</v>
      </c>
      <c r="L116">
        <v>1348</v>
      </c>
      <c r="N116">
        <v>1009</v>
      </c>
      <c r="O116" t="s">
        <v>50</v>
      </c>
      <c r="P116" t="s">
        <v>50</v>
      </c>
      <c r="Q116">
        <v>1000</v>
      </c>
      <c r="W116">
        <v>0</v>
      </c>
      <c r="X116">
        <v>2102561428</v>
      </c>
      <c r="Y116">
        <v>10.5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T116">
        <v>10.5</v>
      </c>
      <c r="AV116">
        <v>0</v>
      </c>
      <c r="AW116">
        <v>2</v>
      </c>
      <c r="AX116">
        <v>50961423</v>
      </c>
      <c r="AY116">
        <v>1</v>
      </c>
      <c r="AZ116">
        <v>0</v>
      </c>
      <c r="BA116">
        <v>122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Y116*Source!I111</f>
        <v>0.105</v>
      </c>
      <c r="CY116">
        <f>AA116</f>
        <v>0</v>
      </c>
      <c r="CZ116">
        <f>AE116</f>
        <v>0</v>
      </c>
      <c r="DA116">
        <f>AI116</f>
        <v>1</v>
      </c>
      <c r="DB116">
        <f t="shared" si="32"/>
        <v>0</v>
      </c>
      <c r="DC116">
        <f t="shared" si="33"/>
        <v>0</v>
      </c>
    </row>
    <row r="117" spans="1:107" ht="12.75">
      <c r="A117">
        <f>ROW(Source!A114)</f>
        <v>114</v>
      </c>
      <c r="B117">
        <v>50947576</v>
      </c>
      <c r="C117">
        <v>50948055</v>
      </c>
      <c r="D117">
        <v>47860458</v>
      </c>
      <c r="E117">
        <v>56</v>
      </c>
      <c r="F117">
        <v>1</v>
      </c>
      <c r="G117">
        <v>1</v>
      </c>
      <c r="H117">
        <v>1</v>
      </c>
      <c r="I117" t="s">
        <v>319</v>
      </c>
      <c r="K117" t="s">
        <v>320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687044855</v>
      </c>
      <c r="Y117">
        <v>3.1969999999999996</v>
      </c>
      <c r="AA117">
        <v>0</v>
      </c>
      <c r="AB117">
        <v>0</v>
      </c>
      <c r="AC117">
        <v>0</v>
      </c>
      <c r="AD117">
        <v>10.06</v>
      </c>
      <c r="AE117">
        <v>0</v>
      </c>
      <c r="AF117">
        <v>0</v>
      </c>
      <c r="AG117">
        <v>0</v>
      </c>
      <c r="AH117">
        <v>10.06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2.78</v>
      </c>
      <c r="AU117" t="s">
        <v>32</v>
      </c>
      <c r="AV117">
        <v>1</v>
      </c>
      <c r="AW117">
        <v>2</v>
      </c>
      <c r="AX117">
        <v>50948067</v>
      </c>
      <c r="AY117">
        <v>1</v>
      </c>
      <c r="AZ117">
        <v>0</v>
      </c>
      <c r="BA117">
        <v>123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Y117*Source!I114</f>
        <v>7.480979999999999</v>
      </c>
      <c r="CY117">
        <f>AD117</f>
        <v>10.06</v>
      </c>
      <c r="CZ117">
        <f>AH117</f>
        <v>10.06</v>
      </c>
      <c r="DA117">
        <f>AL117</f>
        <v>1</v>
      </c>
      <c r="DB117">
        <f>ROUND((ROUND(AT117*CZ117,2)*ROUND(1.15,7)),6)</f>
        <v>32.1655</v>
      </c>
      <c r="DC117">
        <f>ROUND((ROUND(AT117*AG117,2)*ROUND(1.15,7)),6)</f>
        <v>0</v>
      </c>
    </row>
    <row r="118" spans="1:107" ht="12.75">
      <c r="A118">
        <f>ROW(Source!A114)</f>
        <v>114</v>
      </c>
      <c r="B118">
        <v>50947576</v>
      </c>
      <c r="C118">
        <v>50948055</v>
      </c>
      <c r="D118">
        <v>47860585</v>
      </c>
      <c r="E118">
        <v>56</v>
      </c>
      <c r="F118">
        <v>1</v>
      </c>
      <c r="G118">
        <v>1</v>
      </c>
      <c r="H118">
        <v>1</v>
      </c>
      <c r="I118" t="s">
        <v>298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0.025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0.02</v>
      </c>
      <c r="AU118" t="s">
        <v>31</v>
      </c>
      <c r="AV118">
        <v>2</v>
      </c>
      <c r="AW118">
        <v>2</v>
      </c>
      <c r="AX118">
        <v>50948068</v>
      </c>
      <c r="AY118">
        <v>1</v>
      </c>
      <c r="AZ118">
        <v>0</v>
      </c>
      <c r="BA118">
        <v>124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Y118*Source!I114</f>
        <v>0.058499999999999996</v>
      </c>
      <c r="CY118">
        <f>AD118</f>
        <v>0</v>
      </c>
      <c r="CZ118">
        <f>AH118</f>
        <v>0</v>
      </c>
      <c r="DA118">
        <f>AL118</f>
        <v>1</v>
      </c>
      <c r="DB118">
        <f>ROUND((ROUND(AT118*CZ118,2)*ROUND(1.25,7)),6)</f>
        <v>0</v>
      </c>
      <c r="DC118">
        <f>ROUND((ROUND(AT118*AG118,2)*ROUND(1.25,7)),6)</f>
        <v>0</v>
      </c>
    </row>
    <row r="119" spans="1:107" ht="12.75">
      <c r="A119">
        <f>ROW(Source!A114)</f>
        <v>114</v>
      </c>
      <c r="B119">
        <v>50947576</v>
      </c>
      <c r="C119">
        <v>50948055</v>
      </c>
      <c r="D119">
        <v>48022139</v>
      </c>
      <c r="E119">
        <v>1</v>
      </c>
      <c r="F119">
        <v>1</v>
      </c>
      <c r="G119">
        <v>1</v>
      </c>
      <c r="H119">
        <v>2</v>
      </c>
      <c r="I119" t="s">
        <v>300</v>
      </c>
      <c r="J119" t="s">
        <v>301</v>
      </c>
      <c r="K119" t="s">
        <v>302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-841254546</v>
      </c>
      <c r="Y119">
        <v>0.025</v>
      </c>
      <c r="AA119">
        <v>0</v>
      </c>
      <c r="AB119">
        <v>65.71</v>
      </c>
      <c r="AC119">
        <v>11.6</v>
      </c>
      <c r="AD119">
        <v>0</v>
      </c>
      <c r="AE119">
        <v>0</v>
      </c>
      <c r="AF119">
        <v>65.71</v>
      </c>
      <c r="AG119">
        <v>11.6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0.02</v>
      </c>
      <c r="AU119" t="s">
        <v>31</v>
      </c>
      <c r="AV119">
        <v>0</v>
      </c>
      <c r="AW119">
        <v>2</v>
      </c>
      <c r="AX119">
        <v>50948069</v>
      </c>
      <c r="AY119">
        <v>1</v>
      </c>
      <c r="AZ119">
        <v>0</v>
      </c>
      <c r="BA119">
        <v>125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Y119*Source!I114</f>
        <v>0.058499999999999996</v>
      </c>
      <c r="CY119">
        <f>AB119</f>
        <v>65.71</v>
      </c>
      <c r="CZ119">
        <f>AF119</f>
        <v>65.71</v>
      </c>
      <c r="DA119">
        <f>AJ119</f>
        <v>1</v>
      </c>
      <c r="DB119">
        <f>ROUND((ROUND(AT119*CZ119,2)*ROUND(1.25,7)),6)</f>
        <v>1.6375</v>
      </c>
      <c r="DC119">
        <f>ROUND((ROUND(AT119*AG119,2)*ROUND(1.25,7)),6)</f>
        <v>0.2875</v>
      </c>
    </row>
    <row r="120" spans="1:107" ht="12.75">
      <c r="A120">
        <f>ROW(Source!A114)</f>
        <v>114</v>
      </c>
      <c r="B120">
        <v>50947576</v>
      </c>
      <c r="C120">
        <v>50948055</v>
      </c>
      <c r="D120">
        <v>48022349</v>
      </c>
      <c r="E120">
        <v>1</v>
      </c>
      <c r="F120">
        <v>1</v>
      </c>
      <c r="G120">
        <v>1</v>
      </c>
      <c r="H120">
        <v>2</v>
      </c>
      <c r="I120" t="s">
        <v>356</v>
      </c>
      <c r="J120" t="s">
        <v>357</v>
      </c>
      <c r="K120" t="s">
        <v>358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900652632</v>
      </c>
      <c r="Y120">
        <v>0.9125</v>
      </c>
      <c r="AA120">
        <v>0</v>
      </c>
      <c r="AB120">
        <v>8.1</v>
      </c>
      <c r="AC120">
        <v>0</v>
      </c>
      <c r="AD120">
        <v>0</v>
      </c>
      <c r="AE120">
        <v>0</v>
      </c>
      <c r="AF120">
        <v>8.1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0.73</v>
      </c>
      <c r="AU120" t="s">
        <v>31</v>
      </c>
      <c r="AV120">
        <v>0</v>
      </c>
      <c r="AW120">
        <v>2</v>
      </c>
      <c r="AX120">
        <v>50948070</v>
      </c>
      <c r="AY120">
        <v>1</v>
      </c>
      <c r="AZ120">
        <v>0</v>
      </c>
      <c r="BA120">
        <v>126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Y120*Source!I114</f>
        <v>2.1352499999999996</v>
      </c>
      <c r="CY120">
        <f>AB120</f>
        <v>8.1</v>
      </c>
      <c r="CZ120">
        <f>AF120</f>
        <v>8.1</v>
      </c>
      <c r="DA120">
        <f>AJ120</f>
        <v>1</v>
      </c>
      <c r="DB120">
        <f>ROUND((ROUND(AT120*CZ120,2)*ROUND(1.25,7)),6)</f>
        <v>7.3875</v>
      </c>
      <c r="DC120">
        <f>ROUND((ROUND(AT120*AG120,2)*ROUND(1.25,7)),6)</f>
        <v>0</v>
      </c>
    </row>
    <row r="121" spans="1:107" ht="12.75">
      <c r="A121">
        <f>ROW(Source!A114)</f>
        <v>114</v>
      </c>
      <c r="B121">
        <v>50947576</v>
      </c>
      <c r="C121">
        <v>50948055</v>
      </c>
      <c r="D121">
        <v>47873304</v>
      </c>
      <c r="E121">
        <v>1</v>
      </c>
      <c r="F121">
        <v>1</v>
      </c>
      <c r="G121">
        <v>1</v>
      </c>
      <c r="H121">
        <v>3</v>
      </c>
      <c r="I121" t="s">
        <v>359</v>
      </c>
      <c r="J121" t="s">
        <v>360</v>
      </c>
      <c r="K121" t="s">
        <v>361</v>
      </c>
      <c r="L121">
        <v>1348</v>
      </c>
      <c r="N121">
        <v>1009</v>
      </c>
      <c r="O121" t="s">
        <v>50</v>
      </c>
      <c r="P121" t="s">
        <v>50</v>
      </c>
      <c r="Q121">
        <v>1000</v>
      </c>
      <c r="W121">
        <v>0</v>
      </c>
      <c r="X121">
        <v>1467298708</v>
      </c>
      <c r="Y121">
        <v>8E-05</v>
      </c>
      <c r="AA121">
        <v>10315.01</v>
      </c>
      <c r="AB121">
        <v>0</v>
      </c>
      <c r="AC121">
        <v>0</v>
      </c>
      <c r="AD121">
        <v>0</v>
      </c>
      <c r="AE121">
        <v>10315.01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8E-05</v>
      </c>
      <c r="AV121">
        <v>0</v>
      </c>
      <c r="AW121">
        <v>2</v>
      </c>
      <c r="AX121">
        <v>50948071</v>
      </c>
      <c r="AY121">
        <v>1</v>
      </c>
      <c r="AZ121">
        <v>0</v>
      </c>
      <c r="BA121">
        <v>127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Y121*Source!I114</f>
        <v>0.0001872</v>
      </c>
      <c r="CY121">
        <f>AA121</f>
        <v>10315.01</v>
      </c>
      <c r="CZ121">
        <f>AE121</f>
        <v>10315.01</v>
      </c>
      <c r="DA121">
        <f>AI121</f>
        <v>1</v>
      </c>
      <c r="DB121">
        <f>ROUND(ROUND(AT121*CZ121,2),6)</f>
        <v>0.83</v>
      </c>
      <c r="DC121">
        <f>ROUND(ROUND(AT121*AG121,2),6)</f>
        <v>0</v>
      </c>
    </row>
    <row r="122" spans="1:107" ht="12.75">
      <c r="A122">
        <f>ROW(Source!A114)</f>
        <v>114</v>
      </c>
      <c r="B122">
        <v>50947576</v>
      </c>
      <c r="C122">
        <v>50948055</v>
      </c>
      <c r="D122">
        <v>47874409</v>
      </c>
      <c r="E122">
        <v>1</v>
      </c>
      <c r="F122">
        <v>1</v>
      </c>
      <c r="G122">
        <v>1</v>
      </c>
      <c r="H122">
        <v>3</v>
      </c>
      <c r="I122" t="s">
        <v>362</v>
      </c>
      <c r="J122" t="s">
        <v>363</v>
      </c>
      <c r="K122" t="s">
        <v>364</v>
      </c>
      <c r="L122">
        <v>1348</v>
      </c>
      <c r="N122">
        <v>1009</v>
      </c>
      <c r="O122" t="s">
        <v>50</v>
      </c>
      <c r="P122" t="s">
        <v>50</v>
      </c>
      <c r="Q122">
        <v>1000</v>
      </c>
      <c r="W122">
        <v>0</v>
      </c>
      <c r="X122">
        <v>-75391123</v>
      </c>
      <c r="Y122">
        <v>0.003</v>
      </c>
      <c r="AA122">
        <v>10068</v>
      </c>
      <c r="AB122">
        <v>0</v>
      </c>
      <c r="AC122">
        <v>0</v>
      </c>
      <c r="AD122">
        <v>0</v>
      </c>
      <c r="AE122">
        <v>10068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0.003</v>
      </c>
      <c r="AV122">
        <v>0</v>
      </c>
      <c r="AW122">
        <v>2</v>
      </c>
      <c r="AX122">
        <v>50948072</v>
      </c>
      <c r="AY122">
        <v>1</v>
      </c>
      <c r="AZ122">
        <v>0</v>
      </c>
      <c r="BA122">
        <v>128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Y122*Source!I114</f>
        <v>0.007019999999999999</v>
      </c>
      <c r="CY122">
        <f>AA122</f>
        <v>10068</v>
      </c>
      <c r="CZ122">
        <f>AE122</f>
        <v>10068</v>
      </c>
      <c r="DA122">
        <f>AI122</f>
        <v>1</v>
      </c>
      <c r="DB122">
        <f>ROUND(ROUND(AT122*CZ122,2),6)</f>
        <v>30.2</v>
      </c>
      <c r="DC122">
        <f>ROUND(ROUND(AT122*AG122,2),6)</f>
        <v>0</v>
      </c>
    </row>
    <row r="123" spans="1:107" ht="12.75">
      <c r="A123">
        <f>ROW(Source!A114)</f>
        <v>114</v>
      </c>
      <c r="B123">
        <v>50947576</v>
      </c>
      <c r="C123">
        <v>50948055</v>
      </c>
      <c r="D123">
        <v>47904195</v>
      </c>
      <c r="E123">
        <v>1</v>
      </c>
      <c r="F123">
        <v>1</v>
      </c>
      <c r="G123">
        <v>1</v>
      </c>
      <c r="H123">
        <v>3</v>
      </c>
      <c r="I123" t="s">
        <v>365</v>
      </c>
      <c r="J123" t="s">
        <v>366</v>
      </c>
      <c r="K123" t="s">
        <v>367</v>
      </c>
      <c r="L123">
        <v>1371</v>
      </c>
      <c r="N123">
        <v>1013</v>
      </c>
      <c r="O123" t="s">
        <v>61</v>
      </c>
      <c r="P123" t="s">
        <v>61</v>
      </c>
      <c r="Q123">
        <v>1</v>
      </c>
      <c r="W123">
        <v>0</v>
      </c>
      <c r="X123">
        <v>963662901</v>
      </c>
      <c r="Y123">
        <v>0.19</v>
      </c>
      <c r="AA123">
        <v>110.11</v>
      </c>
      <c r="AB123">
        <v>0</v>
      </c>
      <c r="AC123">
        <v>0</v>
      </c>
      <c r="AD123">
        <v>0</v>
      </c>
      <c r="AE123">
        <v>110.11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0.19</v>
      </c>
      <c r="AV123">
        <v>0</v>
      </c>
      <c r="AW123">
        <v>2</v>
      </c>
      <c r="AX123">
        <v>50948074</v>
      </c>
      <c r="AY123">
        <v>1</v>
      </c>
      <c r="AZ123">
        <v>0</v>
      </c>
      <c r="BA123">
        <v>130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Y123*Source!I114</f>
        <v>0.4446</v>
      </c>
      <c r="CY123">
        <f>AA123</f>
        <v>110.11</v>
      </c>
      <c r="CZ123">
        <f>AE123</f>
        <v>110.11</v>
      </c>
      <c r="DA123">
        <f>AI123</f>
        <v>1</v>
      </c>
      <c r="DB123">
        <f>ROUND(ROUND(AT123*CZ123,2),6)</f>
        <v>20.92</v>
      </c>
      <c r="DC123">
        <f>ROUND(ROUND(AT123*AG123,2),6)</f>
        <v>0</v>
      </c>
    </row>
    <row r="124" spans="1:107" ht="12.75">
      <c r="A124">
        <f>ROW(Source!A114)</f>
        <v>114</v>
      </c>
      <c r="B124">
        <v>50947576</v>
      </c>
      <c r="C124">
        <v>50948055</v>
      </c>
      <c r="D124">
        <v>0</v>
      </c>
      <c r="E124">
        <v>1</v>
      </c>
      <c r="F124">
        <v>1</v>
      </c>
      <c r="G124">
        <v>1</v>
      </c>
      <c r="H124">
        <v>3</v>
      </c>
      <c r="I124" t="s">
        <v>59</v>
      </c>
      <c r="K124" t="s">
        <v>177</v>
      </c>
      <c r="L124">
        <v>1371</v>
      </c>
      <c r="N124">
        <v>1013</v>
      </c>
      <c r="O124" t="s">
        <v>61</v>
      </c>
      <c r="P124" t="s">
        <v>61</v>
      </c>
      <c r="Q124">
        <v>1</v>
      </c>
      <c r="W124">
        <v>0</v>
      </c>
      <c r="X124">
        <v>-1756091015</v>
      </c>
      <c r="Y124">
        <v>0.42735</v>
      </c>
      <c r="AA124">
        <v>70334.19</v>
      </c>
      <c r="AB124">
        <v>0</v>
      </c>
      <c r="AC124">
        <v>0</v>
      </c>
      <c r="AD124">
        <v>0</v>
      </c>
      <c r="AE124">
        <v>70334.19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T124">
        <v>0.42735</v>
      </c>
      <c r="AV124">
        <v>0</v>
      </c>
      <c r="AW124">
        <v>1</v>
      </c>
      <c r="AX124">
        <v>-1</v>
      </c>
      <c r="AY124">
        <v>0</v>
      </c>
      <c r="AZ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Y124*Source!I114</f>
        <v>0.999999</v>
      </c>
      <c r="CY124">
        <f>AA124</f>
        <v>70334.19</v>
      </c>
      <c r="CZ124">
        <f>AE124</f>
        <v>70334.19</v>
      </c>
      <c r="DA124">
        <f>AI124</f>
        <v>1</v>
      </c>
      <c r="DB124">
        <f>ROUND(ROUND(AT124*CZ124,2),6)</f>
        <v>30057.32</v>
      </c>
      <c r="DC124">
        <f>ROUND(ROUND(AT124*AG124,2),6)</f>
        <v>0</v>
      </c>
    </row>
    <row r="125" spans="1:107" ht="12.75">
      <c r="A125">
        <f>ROW(Source!A115)</f>
        <v>115</v>
      </c>
      <c r="B125">
        <v>50961513</v>
      </c>
      <c r="C125">
        <v>50948055</v>
      </c>
      <c r="D125">
        <v>47860458</v>
      </c>
      <c r="E125">
        <v>56</v>
      </c>
      <c r="F125">
        <v>1</v>
      </c>
      <c r="G125">
        <v>1</v>
      </c>
      <c r="H125">
        <v>1</v>
      </c>
      <c r="I125" t="s">
        <v>319</v>
      </c>
      <c r="K125" t="s">
        <v>320</v>
      </c>
      <c r="L125">
        <v>1191</v>
      </c>
      <c r="N125">
        <v>1013</v>
      </c>
      <c r="O125" t="s">
        <v>297</v>
      </c>
      <c r="P125" t="s">
        <v>297</v>
      </c>
      <c r="Q125">
        <v>1</v>
      </c>
      <c r="W125">
        <v>0</v>
      </c>
      <c r="X125">
        <v>687044855</v>
      </c>
      <c r="Y125">
        <v>3.1969999999999996</v>
      </c>
      <c r="AA125">
        <v>0</v>
      </c>
      <c r="AB125">
        <v>0</v>
      </c>
      <c r="AC125">
        <v>0</v>
      </c>
      <c r="AD125">
        <v>10.06</v>
      </c>
      <c r="AE125">
        <v>0</v>
      </c>
      <c r="AF125">
        <v>0</v>
      </c>
      <c r="AG125">
        <v>0</v>
      </c>
      <c r="AH125">
        <v>10.06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2.78</v>
      </c>
      <c r="AU125" t="s">
        <v>32</v>
      </c>
      <c r="AV125">
        <v>1</v>
      </c>
      <c r="AW125">
        <v>2</v>
      </c>
      <c r="AX125">
        <v>50948067</v>
      </c>
      <c r="AY125">
        <v>1</v>
      </c>
      <c r="AZ125">
        <v>0</v>
      </c>
      <c r="BA125">
        <v>131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Y125*Source!I115</f>
        <v>7.480979999999999</v>
      </c>
      <c r="CY125">
        <f>AD125</f>
        <v>10.06</v>
      </c>
      <c r="CZ125">
        <f>AH125</f>
        <v>10.06</v>
      </c>
      <c r="DA125">
        <f>AL125</f>
        <v>1</v>
      </c>
      <c r="DB125">
        <f>ROUND((ROUND(AT125*CZ125,2)*ROUND(1.15,7)),6)</f>
        <v>32.1655</v>
      </c>
      <c r="DC125">
        <f>ROUND((ROUND(AT125*AG125,2)*ROUND(1.15,7)),6)</f>
        <v>0</v>
      </c>
    </row>
    <row r="126" spans="1:107" ht="12.75">
      <c r="A126">
        <f>ROW(Source!A115)</f>
        <v>115</v>
      </c>
      <c r="B126">
        <v>50961513</v>
      </c>
      <c r="C126">
        <v>50948055</v>
      </c>
      <c r="D126">
        <v>47860585</v>
      </c>
      <c r="E126">
        <v>56</v>
      </c>
      <c r="F126">
        <v>1</v>
      </c>
      <c r="G126">
        <v>1</v>
      </c>
      <c r="H126">
        <v>1</v>
      </c>
      <c r="I126" t="s">
        <v>298</v>
      </c>
      <c r="K126" t="s">
        <v>299</v>
      </c>
      <c r="L126">
        <v>1191</v>
      </c>
      <c r="N126">
        <v>1013</v>
      </c>
      <c r="O126" t="s">
        <v>297</v>
      </c>
      <c r="P126" t="s">
        <v>297</v>
      </c>
      <c r="Q126">
        <v>1</v>
      </c>
      <c r="W126">
        <v>0</v>
      </c>
      <c r="X126">
        <v>-1417349443</v>
      </c>
      <c r="Y126">
        <v>0.025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0.02</v>
      </c>
      <c r="AU126" t="s">
        <v>31</v>
      </c>
      <c r="AV126">
        <v>2</v>
      </c>
      <c r="AW126">
        <v>2</v>
      </c>
      <c r="AX126">
        <v>50948068</v>
      </c>
      <c r="AY126">
        <v>1</v>
      </c>
      <c r="AZ126">
        <v>0</v>
      </c>
      <c r="BA126">
        <v>132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Y126*Source!I115</f>
        <v>0.058499999999999996</v>
      </c>
      <c r="CY126">
        <f>AD126</f>
        <v>0</v>
      </c>
      <c r="CZ126">
        <f>AH126</f>
        <v>0</v>
      </c>
      <c r="DA126">
        <f>AL126</f>
        <v>1</v>
      </c>
      <c r="DB126">
        <f>ROUND((ROUND(AT126*CZ126,2)*ROUND(1.25,7)),6)</f>
        <v>0</v>
      </c>
      <c r="DC126">
        <f>ROUND((ROUND(AT126*AG126,2)*ROUND(1.25,7)),6)</f>
        <v>0</v>
      </c>
    </row>
    <row r="127" spans="1:107" ht="12.75">
      <c r="A127">
        <f>ROW(Source!A115)</f>
        <v>115</v>
      </c>
      <c r="B127">
        <v>50961513</v>
      </c>
      <c r="C127">
        <v>50948055</v>
      </c>
      <c r="D127">
        <v>48022139</v>
      </c>
      <c r="E127">
        <v>1</v>
      </c>
      <c r="F127">
        <v>1</v>
      </c>
      <c r="G127">
        <v>1</v>
      </c>
      <c r="H127">
        <v>2</v>
      </c>
      <c r="I127" t="s">
        <v>300</v>
      </c>
      <c r="J127" t="s">
        <v>301</v>
      </c>
      <c r="K127" t="s">
        <v>302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W127">
        <v>0</v>
      </c>
      <c r="X127">
        <v>-841254546</v>
      </c>
      <c r="Y127">
        <v>0.025</v>
      </c>
      <c r="AA127">
        <v>0</v>
      </c>
      <c r="AB127">
        <v>758.95</v>
      </c>
      <c r="AC127">
        <v>394.52</v>
      </c>
      <c r="AD127">
        <v>0</v>
      </c>
      <c r="AE127">
        <v>0</v>
      </c>
      <c r="AF127">
        <v>65.71</v>
      </c>
      <c r="AG127">
        <v>11.6</v>
      </c>
      <c r="AH127">
        <v>0</v>
      </c>
      <c r="AI127">
        <v>1</v>
      </c>
      <c r="AJ127">
        <v>11.55</v>
      </c>
      <c r="AK127">
        <v>34.01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0.02</v>
      </c>
      <c r="AU127" t="s">
        <v>31</v>
      </c>
      <c r="AV127">
        <v>0</v>
      </c>
      <c r="AW127">
        <v>2</v>
      </c>
      <c r="AX127">
        <v>50948069</v>
      </c>
      <c r="AY127">
        <v>1</v>
      </c>
      <c r="AZ127">
        <v>0</v>
      </c>
      <c r="BA127">
        <v>133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Y127*Source!I115</f>
        <v>0.058499999999999996</v>
      </c>
      <c r="CY127">
        <f>AB127</f>
        <v>758.95</v>
      </c>
      <c r="CZ127">
        <f>AF127</f>
        <v>65.71</v>
      </c>
      <c r="DA127">
        <f>AJ127</f>
        <v>11.55</v>
      </c>
      <c r="DB127">
        <f>ROUND((ROUND(AT127*CZ127,2)*ROUND(1.25,7)),6)</f>
        <v>1.6375</v>
      </c>
      <c r="DC127">
        <f>ROUND((ROUND(AT127*AG127,2)*ROUND(1.25,7)),6)</f>
        <v>0.2875</v>
      </c>
    </row>
    <row r="128" spans="1:107" ht="12.75">
      <c r="A128">
        <f>ROW(Source!A115)</f>
        <v>115</v>
      </c>
      <c r="B128">
        <v>50961513</v>
      </c>
      <c r="C128">
        <v>50948055</v>
      </c>
      <c r="D128">
        <v>48022349</v>
      </c>
      <c r="E128">
        <v>1</v>
      </c>
      <c r="F128">
        <v>1</v>
      </c>
      <c r="G128">
        <v>1</v>
      </c>
      <c r="H128">
        <v>2</v>
      </c>
      <c r="I128" t="s">
        <v>356</v>
      </c>
      <c r="J128" t="s">
        <v>357</v>
      </c>
      <c r="K128" t="s">
        <v>358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W128">
        <v>0</v>
      </c>
      <c r="X128">
        <v>900652632</v>
      </c>
      <c r="Y128">
        <v>0.9125</v>
      </c>
      <c r="AA128">
        <v>0</v>
      </c>
      <c r="AB128">
        <v>40.99</v>
      </c>
      <c r="AC128">
        <v>0</v>
      </c>
      <c r="AD128">
        <v>0</v>
      </c>
      <c r="AE128">
        <v>0</v>
      </c>
      <c r="AF128">
        <v>8.1</v>
      </c>
      <c r="AG128">
        <v>0</v>
      </c>
      <c r="AH128">
        <v>0</v>
      </c>
      <c r="AI128">
        <v>1</v>
      </c>
      <c r="AJ128">
        <v>5.06</v>
      </c>
      <c r="AK128">
        <v>34.01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0.73</v>
      </c>
      <c r="AU128" t="s">
        <v>31</v>
      </c>
      <c r="AV128">
        <v>0</v>
      </c>
      <c r="AW128">
        <v>2</v>
      </c>
      <c r="AX128">
        <v>50948070</v>
      </c>
      <c r="AY128">
        <v>1</v>
      </c>
      <c r="AZ128">
        <v>0</v>
      </c>
      <c r="BA128">
        <v>134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Y128*Source!I115</f>
        <v>2.1352499999999996</v>
      </c>
      <c r="CY128">
        <f>AB128</f>
        <v>40.99</v>
      </c>
      <c r="CZ128">
        <f>AF128</f>
        <v>8.1</v>
      </c>
      <c r="DA128">
        <f>AJ128</f>
        <v>5.06</v>
      </c>
      <c r="DB128">
        <f>ROUND((ROUND(AT128*CZ128,2)*ROUND(1.25,7)),6)</f>
        <v>7.3875</v>
      </c>
      <c r="DC128">
        <f>ROUND((ROUND(AT128*AG128,2)*ROUND(1.25,7)),6)</f>
        <v>0</v>
      </c>
    </row>
    <row r="129" spans="1:107" ht="12.75">
      <c r="A129">
        <f>ROW(Source!A115)</f>
        <v>115</v>
      </c>
      <c r="B129">
        <v>50961513</v>
      </c>
      <c r="C129">
        <v>50948055</v>
      </c>
      <c r="D129">
        <v>47873304</v>
      </c>
      <c r="E129">
        <v>1</v>
      </c>
      <c r="F129">
        <v>1</v>
      </c>
      <c r="G129">
        <v>1</v>
      </c>
      <c r="H129">
        <v>3</v>
      </c>
      <c r="I129" t="s">
        <v>359</v>
      </c>
      <c r="J129" t="s">
        <v>360</v>
      </c>
      <c r="K129" t="s">
        <v>361</v>
      </c>
      <c r="L129">
        <v>1348</v>
      </c>
      <c r="N129">
        <v>1009</v>
      </c>
      <c r="O129" t="s">
        <v>50</v>
      </c>
      <c r="P129" t="s">
        <v>50</v>
      </c>
      <c r="Q129">
        <v>1000</v>
      </c>
      <c r="W129">
        <v>0</v>
      </c>
      <c r="X129">
        <v>1467298708</v>
      </c>
      <c r="Y129">
        <v>8E-05</v>
      </c>
      <c r="AA129">
        <v>105316.25</v>
      </c>
      <c r="AB129">
        <v>0</v>
      </c>
      <c r="AC129">
        <v>0</v>
      </c>
      <c r="AD129">
        <v>0</v>
      </c>
      <c r="AE129">
        <v>10315.01</v>
      </c>
      <c r="AF129">
        <v>0</v>
      </c>
      <c r="AG129">
        <v>0</v>
      </c>
      <c r="AH129">
        <v>0</v>
      </c>
      <c r="AI129">
        <v>10.21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8E-05</v>
      </c>
      <c r="AV129">
        <v>0</v>
      </c>
      <c r="AW129">
        <v>2</v>
      </c>
      <c r="AX129">
        <v>50948071</v>
      </c>
      <c r="AY129">
        <v>1</v>
      </c>
      <c r="AZ129">
        <v>0</v>
      </c>
      <c r="BA129">
        <v>135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Y129*Source!I115</f>
        <v>0.0001872</v>
      </c>
      <c r="CY129">
        <f>AA129</f>
        <v>105316.25</v>
      </c>
      <c r="CZ129">
        <f>AE129</f>
        <v>10315.01</v>
      </c>
      <c r="DA129">
        <f>AI129</f>
        <v>10.21</v>
      </c>
      <c r="DB129">
        <f aca="true" t="shared" si="34" ref="DB129:DB136">ROUND(ROUND(AT129*CZ129,2),6)</f>
        <v>0.83</v>
      </c>
      <c r="DC129">
        <f aca="true" t="shared" si="35" ref="DC129:DC136">ROUND(ROUND(AT129*AG129,2),6)</f>
        <v>0</v>
      </c>
    </row>
    <row r="130" spans="1:107" ht="12.75">
      <c r="A130">
        <f>ROW(Source!A115)</f>
        <v>115</v>
      </c>
      <c r="B130">
        <v>50961513</v>
      </c>
      <c r="C130">
        <v>50948055</v>
      </c>
      <c r="D130">
        <v>47874409</v>
      </c>
      <c r="E130">
        <v>1</v>
      </c>
      <c r="F130">
        <v>1</v>
      </c>
      <c r="G130">
        <v>1</v>
      </c>
      <c r="H130">
        <v>3</v>
      </c>
      <c r="I130" t="s">
        <v>362</v>
      </c>
      <c r="J130" t="s">
        <v>363</v>
      </c>
      <c r="K130" t="s">
        <v>364</v>
      </c>
      <c r="L130">
        <v>1348</v>
      </c>
      <c r="N130">
        <v>1009</v>
      </c>
      <c r="O130" t="s">
        <v>50</v>
      </c>
      <c r="P130" t="s">
        <v>50</v>
      </c>
      <c r="Q130">
        <v>1000</v>
      </c>
      <c r="W130">
        <v>0</v>
      </c>
      <c r="X130">
        <v>-75391123</v>
      </c>
      <c r="Y130">
        <v>0.003</v>
      </c>
      <c r="AA130">
        <v>181324.68</v>
      </c>
      <c r="AB130">
        <v>0</v>
      </c>
      <c r="AC130">
        <v>0</v>
      </c>
      <c r="AD130">
        <v>0</v>
      </c>
      <c r="AE130">
        <v>10068</v>
      </c>
      <c r="AF130">
        <v>0</v>
      </c>
      <c r="AG130">
        <v>0</v>
      </c>
      <c r="AH130">
        <v>0</v>
      </c>
      <c r="AI130">
        <v>18.01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0.003</v>
      </c>
      <c r="AV130">
        <v>0</v>
      </c>
      <c r="AW130">
        <v>2</v>
      </c>
      <c r="AX130">
        <v>50948072</v>
      </c>
      <c r="AY130">
        <v>1</v>
      </c>
      <c r="AZ130">
        <v>0</v>
      </c>
      <c r="BA130">
        <v>136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Y130*Source!I115</f>
        <v>0.007019999999999999</v>
      </c>
      <c r="CY130">
        <f>AA130</f>
        <v>181324.68</v>
      </c>
      <c r="CZ130">
        <f>AE130</f>
        <v>10068</v>
      </c>
      <c r="DA130">
        <f>AI130</f>
        <v>18.01</v>
      </c>
      <c r="DB130">
        <f t="shared" si="34"/>
        <v>30.2</v>
      </c>
      <c r="DC130">
        <f t="shared" si="35"/>
        <v>0</v>
      </c>
    </row>
    <row r="131" spans="1:107" ht="12.75">
      <c r="A131">
        <f>ROW(Source!A115)</f>
        <v>115</v>
      </c>
      <c r="B131">
        <v>50961513</v>
      </c>
      <c r="C131">
        <v>50948055</v>
      </c>
      <c r="D131">
        <v>47904195</v>
      </c>
      <c r="E131">
        <v>1</v>
      </c>
      <c r="F131">
        <v>1</v>
      </c>
      <c r="G131">
        <v>1</v>
      </c>
      <c r="H131">
        <v>3</v>
      </c>
      <c r="I131" t="s">
        <v>365</v>
      </c>
      <c r="J131" t="s">
        <v>366</v>
      </c>
      <c r="K131" t="s">
        <v>367</v>
      </c>
      <c r="L131">
        <v>1371</v>
      </c>
      <c r="N131">
        <v>1013</v>
      </c>
      <c r="O131" t="s">
        <v>61</v>
      </c>
      <c r="P131" t="s">
        <v>61</v>
      </c>
      <c r="Q131">
        <v>1</v>
      </c>
      <c r="W131">
        <v>0</v>
      </c>
      <c r="X131">
        <v>963662901</v>
      </c>
      <c r="Y131">
        <v>0.19</v>
      </c>
      <c r="AA131">
        <v>474.57</v>
      </c>
      <c r="AB131">
        <v>0</v>
      </c>
      <c r="AC131">
        <v>0</v>
      </c>
      <c r="AD131">
        <v>0</v>
      </c>
      <c r="AE131">
        <v>110.11</v>
      </c>
      <c r="AF131">
        <v>0</v>
      </c>
      <c r="AG131">
        <v>0</v>
      </c>
      <c r="AH131">
        <v>0</v>
      </c>
      <c r="AI131">
        <v>4.31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0.19</v>
      </c>
      <c r="AV131">
        <v>0</v>
      </c>
      <c r="AW131">
        <v>2</v>
      </c>
      <c r="AX131">
        <v>50948074</v>
      </c>
      <c r="AY131">
        <v>1</v>
      </c>
      <c r="AZ131">
        <v>0</v>
      </c>
      <c r="BA131">
        <v>138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Y131*Source!I115</f>
        <v>0.4446</v>
      </c>
      <c r="CY131">
        <f>AA131</f>
        <v>474.57</v>
      </c>
      <c r="CZ131">
        <f>AE131</f>
        <v>110.11</v>
      </c>
      <c r="DA131">
        <f>AI131</f>
        <v>4.31</v>
      </c>
      <c r="DB131">
        <f t="shared" si="34"/>
        <v>20.92</v>
      </c>
      <c r="DC131">
        <f t="shared" si="35"/>
        <v>0</v>
      </c>
    </row>
    <row r="132" spans="1:107" ht="12.75">
      <c r="A132">
        <f>ROW(Source!A115)</f>
        <v>115</v>
      </c>
      <c r="B132">
        <v>50961513</v>
      </c>
      <c r="C132">
        <v>50948055</v>
      </c>
      <c r="D132">
        <v>0</v>
      </c>
      <c r="E132">
        <v>1</v>
      </c>
      <c r="F132">
        <v>1</v>
      </c>
      <c r="G132">
        <v>1</v>
      </c>
      <c r="H132">
        <v>3</v>
      </c>
      <c r="I132" t="s">
        <v>59</v>
      </c>
      <c r="K132" t="s">
        <v>177</v>
      </c>
      <c r="L132">
        <v>1371</v>
      </c>
      <c r="N132">
        <v>1013</v>
      </c>
      <c r="O132" t="s">
        <v>61</v>
      </c>
      <c r="P132" t="s">
        <v>61</v>
      </c>
      <c r="Q132">
        <v>1</v>
      </c>
      <c r="W132">
        <v>0</v>
      </c>
      <c r="X132">
        <v>-1756091015</v>
      </c>
      <c r="Y132">
        <v>0.42735</v>
      </c>
      <c r="AA132">
        <v>70334.19</v>
      </c>
      <c r="AB132">
        <v>0</v>
      </c>
      <c r="AC132">
        <v>0</v>
      </c>
      <c r="AD132">
        <v>0</v>
      </c>
      <c r="AE132">
        <v>70334.19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T132">
        <v>0.42735</v>
      </c>
      <c r="AV132">
        <v>0</v>
      </c>
      <c r="AW132">
        <v>1</v>
      </c>
      <c r="AX132">
        <v>-1</v>
      </c>
      <c r="AY132">
        <v>0</v>
      </c>
      <c r="AZ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Y132*Source!I115</f>
        <v>0.999999</v>
      </c>
      <c r="CY132">
        <f>AA132</f>
        <v>70334.19</v>
      </c>
      <c r="CZ132">
        <f>AE132</f>
        <v>70334.19</v>
      </c>
      <c r="DA132">
        <f>AI132</f>
        <v>1</v>
      </c>
      <c r="DB132">
        <f t="shared" si="34"/>
        <v>30057.32</v>
      </c>
      <c r="DC132">
        <f t="shared" si="35"/>
        <v>0</v>
      </c>
    </row>
    <row r="133" spans="1:107" ht="12.75">
      <c r="A133">
        <f>ROW(Source!A153)</f>
        <v>153</v>
      </c>
      <c r="B133">
        <v>50947576</v>
      </c>
      <c r="C133">
        <v>50947934</v>
      </c>
      <c r="D133">
        <v>9670109</v>
      </c>
      <c r="E133">
        <v>1</v>
      </c>
      <c r="F133">
        <v>1</v>
      </c>
      <c r="G133">
        <v>1</v>
      </c>
      <c r="H133">
        <v>1</v>
      </c>
      <c r="I133" t="s">
        <v>368</v>
      </c>
      <c r="K133" t="s">
        <v>369</v>
      </c>
      <c r="L133">
        <v>1369</v>
      </c>
      <c r="N133">
        <v>1013</v>
      </c>
      <c r="O133" t="s">
        <v>370</v>
      </c>
      <c r="P133" t="s">
        <v>370</v>
      </c>
      <c r="Q133">
        <v>1</v>
      </c>
      <c r="W133">
        <v>0</v>
      </c>
      <c r="X133">
        <v>317644410</v>
      </c>
      <c r="Y133">
        <v>0.5777</v>
      </c>
      <c r="AA133">
        <v>0</v>
      </c>
      <c r="AB133">
        <v>0</v>
      </c>
      <c r="AC133">
        <v>0</v>
      </c>
      <c r="AD133">
        <v>7.19</v>
      </c>
      <c r="AE133">
        <v>0</v>
      </c>
      <c r="AF133">
        <v>0</v>
      </c>
      <c r="AG133">
        <v>0</v>
      </c>
      <c r="AH133">
        <v>7.19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0.5777</v>
      </c>
      <c r="AV133">
        <v>1</v>
      </c>
      <c r="AW133">
        <v>1</v>
      </c>
      <c r="AX133">
        <v>-1</v>
      </c>
      <c r="AY133">
        <v>0</v>
      </c>
      <c r="AZ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Y133*Source!I153</f>
        <v>0.300404</v>
      </c>
      <c r="CY133">
        <f>AD133</f>
        <v>7.19</v>
      </c>
      <c r="CZ133">
        <f>AH133</f>
        <v>7.19</v>
      </c>
      <c r="DA133">
        <f>AL133</f>
        <v>1</v>
      </c>
      <c r="DB133">
        <f t="shared" si="34"/>
        <v>4.15</v>
      </c>
      <c r="DC133">
        <f t="shared" si="35"/>
        <v>0</v>
      </c>
    </row>
    <row r="134" spans="1:107" ht="12.75">
      <c r="A134">
        <f>ROW(Source!A153)</f>
        <v>153</v>
      </c>
      <c r="B134">
        <v>50947576</v>
      </c>
      <c r="C134">
        <v>50947934</v>
      </c>
      <c r="D134">
        <v>0</v>
      </c>
      <c r="E134">
        <v>1</v>
      </c>
      <c r="F134">
        <v>1</v>
      </c>
      <c r="G134">
        <v>1</v>
      </c>
      <c r="H134">
        <v>2</v>
      </c>
      <c r="I134" t="s">
        <v>371</v>
      </c>
      <c r="J134" t="s">
        <v>372</v>
      </c>
      <c r="K134" t="s">
        <v>373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1020660697</v>
      </c>
      <c r="Y134">
        <v>0.29</v>
      </c>
      <c r="AA134">
        <v>0</v>
      </c>
      <c r="AB134">
        <v>111</v>
      </c>
      <c r="AC134">
        <v>11.6</v>
      </c>
      <c r="AD134">
        <v>0</v>
      </c>
      <c r="AE134">
        <v>0</v>
      </c>
      <c r="AF134">
        <v>111</v>
      </c>
      <c r="AG134">
        <v>11.6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0.29</v>
      </c>
      <c r="AV134">
        <v>0</v>
      </c>
      <c r="AW134">
        <v>1</v>
      </c>
      <c r="AX134">
        <v>-1</v>
      </c>
      <c r="AY134">
        <v>0</v>
      </c>
      <c r="AZ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Y134*Source!I153</f>
        <v>0.1508</v>
      </c>
      <c r="CY134">
        <f>AB134</f>
        <v>111</v>
      </c>
      <c r="CZ134">
        <f>AF134</f>
        <v>111</v>
      </c>
      <c r="DA134">
        <f>AJ134</f>
        <v>1</v>
      </c>
      <c r="DB134">
        <f t="shared" si="34"/>
        <v>32.19</v>
      </c>
      <c r="DC134">
        <f t="shared" si="35"/>
        <v>3.36</v>
      </c>
    </row>
    <row r="135" spans="1:107" ht="12.75">
      <c r="A135">
        <f>ROW(Source!A154)</f>
        <v>154</v>
      </c>
      <c r="B135">
        <v>50961513</v>
      </c>
      <c r="C135">
        <v>50947934</v>
      </c>
      <c r="D135">
        <v>9670109</v>
      </c>
      <c r="E135">
        <v>1</v>
      </c>
      <c r="F135">
        <v>1</v>
      </c>
      <c r="G135">
        <v>1</v>
      </c>
      <c r="H135">
        <v>1</v>
      </c>
      <c r="I135" t="s">
        <v>368</v>
      </c>
      <c r="K135" t="s">
        <v>369</v>
      </c>
      <c r="L135">
        <v>1369</v>
      </c>
      <c r="N135">
        <v>1013</v>
      </c>
      <c r="O135" t="s">
        <v>370</v>
      </c>
      <c r="P135" t="s">
        <v>370</v>
      </c>
      <c r="Q135">
        <v>1</v>
      </c>
      <c r="W135">
        <v>0</v>
      </c>
      <c r="X135">
        <v>317644410</v>
      </c>
      <c r="Y135">
        <v>0.5777</v>
      </c>
      <c r="AA135">
        <v>0</v>
      </c>
      <c r="AB135">
        <v>0</v>
      </c>
      <c r="AC135">
        <v>0</v>
      </c>
      <c r="AD135">
        <v>7.19</v>
      </c>
      <c r="AE135">
        <v>0</v>
      </c>
      <c r="AF135">
        <v>0</v>
      </c>
      <c r="AG135">
        <v>0</v>
      </c>
      <c r="AH135">
        <v>7.19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0.5777</v>
      </c>
      <c r="AV135">
        <v>1</v>
      </c>
      <c r="AW135">
        <v>1</v>
      </c>
      <c r="AX135">
        <v>-1</v>
      </c>
      <c r="AY135">
        <v>0</v>
      </c>
      <c r="AZ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Y135*Source!I154</f>
        <v>0.300404</v>
      </c>
      <c r="CY135">
        <f>AD135</f>
        <v>7.19</v>
      </c>
      <c r="CZ135">
        <f>AH135</f>
        <v>7.19</v>
      </c>
      <c r="DA135">
        <f>AL135</f>
        <v>1</v>
      </c>
      <c r="DB135">
        <f t="shared" si="34"/>
        <v>4.15</v>
      </c>
      <c r="DC135">
        <f t="shared" si="35"/>
        <v>0</v>
      </c>
    </row>
    <row r="136" spans="1:107" ht="12.75">
      <c r="A136">
        <f>ROW(Source!A154)</f>
        <v>154</v>
      </c>
      <c r="B136">
        <v>50961513</v>
      </c>
      <c r="C136">
        <v>50947934</v>
      </c>
      <c r="D136">
        <v>0</v>
      </c>
      <c r="E136">
        <v>1</v>
      </c>
      <c r="F136">
        <v>1</v>
      </c>
      <c r="G136">
        <v>1</v>
      </c>
      <c r="H136">
        <v>2</v>
      </c>
      <c r="I136" t="s">
        <v>371</v>
      </c>
      <c r="J136" t="s">
        <v>372</v>
      </c>
      <c r="K136" t="s">
        <v>373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1020660697</v>
      </c>
      <c r="Y136">
        <v>0.29</v>
      </c>
      <c r="AA136">
        <v>0</v>
      </c>
      <c r="AB136">
        <v>111</v>
      </c>
      <c r="AC136">
        <v>11.6</v>
      </c>
      <c r="AD136">
        <v>0</v>
      </c>
      <c r="AE136">
        <v>0</v>
      </c>
      <c r="AF136">
        <v>111</v>
      </c>
      <c r="AG136">
        <v>11.6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0.29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Y136*Source!I154</f>
        <v>0.1508</v>
      </c>
      <c r="CY136">
        <f>AB136</f>
        <v>111</v>
      </c>
      <c r="CZ136">
        <f>AF136</f>
        <v>111</v>
      </c>
      <c r="DA136">
        <f>AJ136</f>
        <v>1</v>
      </c>
      <c r="DB136">
        <f t="shared" si="34"/>
        <v>32.19</v>
      </c>
      <c r="DC136">
        <f t="shared" si="35"/>
        <v>3.36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2021-10-07T09:28:45Z</dcterms:created>
  <dcterms:modified xsi:type="dcterms:W3CDTF">2021-10-20T10:54:21Z</dcterms:modified>
  <cp:category/>
  <cp:version/>
  <cp:contentType/>
  <cp:contentStatus/>
</cp:coreProperties>
</file>