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Смета по ФЕР 421пр (12 гр." sheetId="1" r:id="rId1"/>
    <sheet name="Ведомость объемов работ" sheetId="2" r:id="rId2"/>
    <sheet name="UnionSheet" sheetId="3" state="hidden" r:id="rId3"/>
    <sheet name="Дефектная ведомость" sheetId="4" r:id="rId4"/>
    <sheet name="Source" sheetId="5" r:id="rId5"/>
    <sheet name="SourceObSm" sheetId="6" r:id="rId6"/>
    <sheet name="SmtRes" sheetId="7" r:id="rId7"/>
    <sheet name="EtalonRes" sheetId="8" r:id="rId8"/>
  </sheets>
  <definedNames>
    <definedName name="_xlnm.Print_Titles" localSheetId="1">'Ведомость объемов работ'!$17:$17</definedName>
    <definedName name="_xlnm.Print_Titles" localSheetId="3">'Дефектная ведомость'!$18:$18</definedName>
    <definedName name="_xlnm.Print_Titles" localSheetId="0">'Смета по ФЕР 421пр (12 гр.'!$46:$46</definedName>
    <definedName name="_xlnm.Print_Area" localSheetId="1">'Ведомость объемов работ'!$A$1:$H$57</definedName>
    <definedName name="_xlnm.Print_Area" localSheetId="3">'Дефектная ведомость'!$A$1:$E$58</definedName>
    <definedName name="_xlnm.Print_Area" localSheetId="0">'Смета по ФЕР 421пр (12 гр.'!$A$1:$L$345</definedName>
  </definedNames>
  <calcPr fullCalcOnLoad="1"/>
</workbook>
</file>

<file path=xl/sharedStrings.xml><?xml version="1.0" encoding="utf-8"?>
<sst xmlns="http://schemas.openxmlformats.org/spreadsheetml/2006/main" count="6183" uniqueCount="529">
  <si>
    <t>Smeta.RU  (495) 974-1589</t>
  </si>
  <si>
    <t>_PS_</t>
  </si>
  <si>
    <t>Smeta.RU</t>
  </si>
  <si>
    <t/>
  </si>
  <si>
    <t>Выполнение ремонтных работ по облицовке пола лифтовых холлов 5-6 этажа строения № 1 ИПУ РАН</t>
  </si>
  <si>
    <t>Степанова А.М.</t>
  </si>
  <si>
    <t>Ведущий инженер РеСО</t>
  </si>
  <si>
    <t>Покшин В.И.</t>
  </si>
  <si>
    <t>Заведующий РеСО</t>
  </si>
  <si>
    <t>Муравьев К.В.</t>
  </si>
  <si>
    <t>Главный инженер</t>
  </si>
  <si>
    <t>ИПУ РАН</t>
  </si>
  <si>
    <t>Сметные нормы списания</t>
  </si>
  <si>
    <t>Коды ценников</t>
  </si>
  <si>
    <t>ФЕР-2020 И9 приказы НР № 812/пр, СП № 774/пр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</si>
  <si>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</si>
  <si>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</si>
  <si>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Капитальный ремонт жилых и общественных зданий</t>
  </si>
  <si>
    <t>ГСН</t>
  </si>
  <si>
    <t>Новый раздел</t>
  </si>
  <si>
    <t>Лифтовые холлы  5, 6 эт.</t>
  </si>
  <si>
    <t>1</t>
  </si>
  <si>
    <t>57-3-1</t>
  </si>
  <si>
    <t>Разборка плинтусов: деревянных и из пластмассовых материалов</t>
  </si>
  <si>
    <t>100 м</t>
  </si>
  <si>
    <t>ФЕРр-2001, 57-3-1 приказ Минстроя России № 876/пр от 26.12.2019</t>
  </si>
  <si>
    <t>Ремонтно-строительные работы</t>
  </si>
  <si>
    <t>Полы</t>
  </si>
  <si>
    <t>рФЕР-57</t>
  </si>
  <si>
    <t>Пр/812-091.0-1</t>
  </si>
  <si>
    <t>Пр/774-091.0</t>
  </si>
  <si>
    <t>1,1</t>
  </si>
  <si>
    <t>999-9900</t>
  </si>
  <si>
    <t>Строительный мусор</t>
  </si>
  <si>
    <t>т</t>
  </si>
  <si>
    <t>2</t>
  </si>
  <si>
    <t>11-01-052-03</t>
  </si>
  <si>
    <t>Демонтаж полимерных наливных полов из полиуретана: кварценаполненных с толщиной покрытия 4 мм (Применитиельно)</t>
  </si>
  <si>
    <t>100 м2</t>
  </si>
  <si>
    <t>ФЕР-2001 доп.6, 11-01-052-03, приказ Минстроя России № 321/пр от 24.05.2021</t>
  </si>
  <si>
    <t>Поправка: МР 519/пр Табл.2, п.1  Наименование: При демонтаже (разборке) сборных бетонных и железобетонных конструкций</t>
  </si>
  <si>
    <t>)*0</t>
  </si>
  <si>
    <t>)*0,8</t>
  </si>
  <si>
    <t>Общестроительные работы</t>
  </si>
  <si>
    <t>ФЕР-11</t>
  </si>
  <si>
    <t>Поправка: МР 519/пр Табл.2, п.1</t>
  </si>
  <si>
    <t>Пр/812-011.0-1</t>
  </si>
  <si>
    <t>Пр/774-011.0</t>
  </si>
  <si>
    <t>3</t>
  </si>
  <si>
    <t>46-04-010-03</t>
  </si>
  <si>
    <t>Разборка покрытий полов: паркетных</t>
  </si>
  <si>
    <t>ФЕР-2001, 46-04-010-03, приказ Минстроя России № 876/пр от 26.12.2019</t>
  </si>
  <si>
    <t>Работы по реконструкции зданий и сооружений</t>
  </si>
  <si>
    <t>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</si>
  <si>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ФЕР-46</t>
  </si>
  <si>
    <t>Пр/812-040.2-1</t>
  </si>
  <si>
    <t>Пр/774-040.2</t>
  </si>
  <si>
    <t>3,1</t>
  </si>
  <si>
    <t>4</t>
  </si>
  <si>
    <t>57-2-4</t>
  </si>
  <si>
    <t>Разборка покрытий полов: цементных толщиной 150 мм</t>
  </si>
  <si>
    <t>ФЕРр-2001 доп.8, 57-2-4, приказ Минстроя России № 746/пр от 14.10.2021</t>
  </si>
  <si>
    <t>4,1</t>
  </si>
  <si>
    <t>5</t>
  </si>
  <si>
    <t>57-2-9</t>
  </si>
  <si>
    <t>Добавлять или исключать на каждые 5 мм изменения толщины покрытия к расценке 57-2-4 (исключить 135 мм до 15 мм, К=27)</t>
  </si>
  <si>
    <t>ФЕРр-2001 доп.8, 57-2-9, приказ Минстроя России № 746/пр от 14.10.2021</t>
  </si>
  <si>
    <t>)*(-27)</t>
  </si>
  <si>
    <t>5,1</t>
  </si>
  <si>
    <t>6</t>
  </si>
  <si>
    <t>11-01-011-09</t>
  </si>
  <si>
    <t>Устройство стяжек: из самовыравнивающейся смеси на цементной основе, толщиной 3 мм</t>
  </si>
  <si>
    <t>ФЕР-2001 доп. 2, 11-01-011-09, приказ Минстроя России № 294/пр от 01.06.2020</t>
  </si>
  <si>
    <t>)*1,25</t>
  </si>
  <si>
    <t>)*1,15</t>
  </si>
  <si>
    <t>)*0,9</t>
  </si>
  <si>
    <t>)*0,85</t>
  </si>
  <si>
    <t>Поправка: М-ка 421/пр 04.08.20 п.58 п.п. б)</t>
  </si>
  <si>
    <t>6,1</t>
  </si>
  <si>
    <t>04.3.02.01-0502</t>
  </si>
  <si>
    <t>Смесь самовыравнивающая быстротвердеющая для полов "БИРСС 34Р"</t>
  </si>
  <si>
    <t>ФССЦ-2001, 04.3.02.01-0502, приказ Минстроя России № 876/пр от 26.12.2019</t>
  </si>
  <si>
    <t>6,2</t>
  </si>
  <si>
    <t>14.1.02.03-0002</t>
  </si>
  <si>
    <t>Клей ПВА</t>
  </si>
  <si>
    <t>кг</t>
  </si>
  <si>
    <t>ФССЦ-2001, 14.1.02.03-0002, приказ Минстроя России № 876/пр от 26.12.2019</t>
  </si>
  <si>
    <t>6,3</t>
  </si>
  <si>
    <t>14.4.01.02-0012</t>
  </si>
  <si>
    <t>Грунтовка укрепляющая, глубокого проникновения, быстросохнущая, паропроницаемая</t>
  </si>
  <si>
    <t>ФССЦ-2001, 14.4.01.02-0012, приказ Минстроя России № 876/пр от 26.12.2019</t>
  </si>
  <si>
    <t>7</t>
  </si>
  <si>
    <t>11-01-011-11</t>
  </si>
  <si>
    <t>Устройство стяжек: на каждый последующий слой толщиной 1 мм добавлять к расценке 11-01-011-09 (добавлять до 10 мм, К=7)</t>
  </si>
  <si>
    <t>ФЕР-2001 доп. 2, 11-01-011-11, приказ Минстроя России № 294/пр от 01.06.2020</t>
  </si>
  <si>
    <t>)*7</t>
  </si>
  <si>
    <t>)*1,25)*7</t>
  </si>
  <si>
    <t>)*1,15)*7</t>
  </si>
  <si>
    <t>7,1</t>
  </si>
  <si>
    <t>8</t>
  </si>
  <si>
    <t>11-01-047-01</t>
  </si>
  <si>
    <t>Устройство покрытий из плит керамогранитных размером: 45х45 см (Применительно)</t>
  </si>
  <si>
    <t>ФЕР-2001 доп.6, 11-01-047-01, приказ Минстроя России № 321/пр от 24.05.2021</t>
  </si>
  <si>
    <t>8,1</t>
  </si>
  <si>
    <t>06.2.05.03</t>
  </si>
  <si>
    <t>Плиты керамогранитные 400х400 мм</t>
  </si>
  <si>
    <t>м2</t>
  </si>
  <si>
    <t>8,2</t>
  </si>
  <si>
    <t>8,3</t>
  </si>
  <si>
    <t>11.2.04.05</t>
  </si>
  <si>
    <t>Рейки деревянные</t>
  </si>
  <si>
    <t>м3</t>
  </si>
  <si>
    <t>8,4</t>
  </si>
  <si>
    <t>14.1.06.02</t>
  </si>
  <si>
    <t>Клей для облицовочных работ (сухая смесь)</t>
  </si>
  <si>
    <t>9</t>
  </si>
  <si>
    <t>11-01-039-04</t>
  </si>
  <si>
    <t>Устройство плинтусов: из плиток керамических</t>
  </si>
  <si>
    <t>ФЕР-2001, 11-01-039-04, приказ Минстроя России № 876/пр от 26.12.2019</t>
  </si>
  <si>
    <t>9,1</t>
  </si>
  <si>
    <t>Плитки керамические плинтусные</t>
  </si>
  <si>
    <t>м</t>
  </si>
  <si>
    <t>10</t>
  </si>
  <si>
    <t>62-47-1</t>
  </si>
  <si>
    <t>Расчистка поверхностей шпателем, щетками от старых покрасок</t>
  </si>
  <si>
    <t>ФЕРр-2001 доп. 5, 62-47-1, приказ Минстроя России № 51/пр от 09.02.2021</t>
  </si>
  <si>
    <t>Малярные работы</t>
  </si>
  <si>
    <t>рФЕР-62</t>
  </si>
  <si>
    <t>Пр/812-096.0-1</t>
  </si>
  <si>
    <t>Пр/774-096.0</t>
  </si>
  <si>
    <t>11</t>
  </si>
  <si>
    <t>15-04-006-04</t>
  </si>
  <si>
    <t>Покрытие поверхностей грунтовкой глубокого проникновения: за 2 раза стен</t>
  </si>
  <si>
    <t>ФЕР-2001, 15-04-006-04, приказ Минстроя России № 876/пр от 26.12.2019</t>
  </si>
  <si>
    <t>Отделочные работы</t>
  </si>
  <si>
    <t>ФЕР-15</t>
  </si>
  <si>
    <t>Пр/812-015.0-1</t>
  </si>
  <si>
    <t>Пр/774-015.0</t>
  </si>
  <si>
    <t>11,1</t>
  </si>
  <si>
    <t>12</t>
  </si>
  <si>
    <t>11-01-049-01</t>
  </si>
  <si>
    <t>Установка торцевого алюминиевого профиля по периметру проема (Применительно)</t>
  </si>
  <si>
    <t>ФЕР-2001, 11-01-049-01, приказ Минстроя России №1039/пр от 30.12.2016г.</t>
  </si>
  <si>
    <t>12,1</t>
  </si>
  <si>
    <t>09.2.03.04-0021</t>
  </si>
  <si>
    <t>Профиль угловой алюминиевый перфорированный: PL 19х19 мм</t>
  </si>
  <si>
    <t>10 м</t>
  </si>
  <si>
    <t>ФССЦ-2001, 09.2.03.04-0021, приказ Минстроя России № 876/пр от 26.12.2019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</si>
  <si>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</si>
  <si>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</si>
  <si>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</si>
  <si>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</si>
  <si>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</si>
  <si>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</si>
  <si>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</si>
  <si>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</si>
  <si>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</si>
  <si>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</si>
  <si>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</si>
  <si>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</si>
  <si>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</si>
  <si>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</si>
  <si>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</si>
  <si>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</si>
  <si>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</si>
  <si>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</si>
  <si>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</si>
  <si>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</si>
  <si>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</si>
  <si>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</si>
  <si>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</si>
  <si>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</si>
  <si>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</si>
  <si>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</si>
  <si>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</si>
  <si>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</si>
  <si>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</si>
  <si>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</si>
  <si>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</si>
  <si>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</si>
  <si>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</si>
  <si>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</si>
  <si>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</si>
  <si>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</si>
  <si>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</si>
  <si>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</si>
  <si>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</si>
  <si>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</si>
  <si>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</si>
  <si>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</si>
  <si>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</si>
  <si>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</si>
  <si>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</si>
  <si>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</si>
  <si>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</si>
  <si>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</si>
  <si>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</si>
  <si>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</si>
  <si>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</si>
  <si>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</si>
  <si>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</si>
  <si>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</si>
  <si>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Разные работы</t>
  </si>
  <si>
    <t>13</t>
  </si>
  <si>
    <t>11-01-050-01</t>
  </si>
  <si>
    <t>Укрытие полиэтиленовой пленкой (Применительно)</t>
  </si>
  <si>
    <t>ФЕР-2001, 11-01-050-01, приказ Минстроя России № 876/пр от 26.12.2019</t>
  </si>
  <si>
    <t>14</t>
  </si>
  <si>
    <t>69-9-1</t>
  </si>
  <si>
    <t>Очистка помещений от строительного мусора</t>
  </si>
  <si>
    <t>100 т</t>
  </si>
  <si>
    <t>ФЕРр-2001, 69-9-1, приказ Минстроя России № 876/пр от 26.12.2019</t>
  </si>
  <si>
    <t>Прочие ремонтно-строительные работы</t>
  </si>
  <si>
    <t>рФЕР-69</t>
  </si>
  <si>
    <t>Пр/812-103.0-1</t>
  </si>
  <si>
    <t>Пр/774-103.0</t>
  </si>
  <si>
    <t>14,1</t>
  </si>
  <si>
    <t>01.7.07.07</t>
  </si>
  <si>
    <t>15</t>
  </si>
  <si>
    <t>69-15-1</t>
  </si>
  <si>
    <t>Затаривание строительного мусора в мешки</t>
  </si>
  <si>
    <t>ФЕРр-2001, 69-15-1, приказ Минстроя России № 876/пр от 26.12.2019</t>
  </si>
  <si>
    <t>16</t>
  </si>
  <si>
    <t>т03-01-01-050</t>
  </si>
  <si>
    <t>Перевозка грузов I класса автомобилями бортовыми грузоподъемностью до 15 т на расстояние: до 50 км</t>
  </si>
  <si>
    <t>1 Т ГРУЗА</t>
  </si>
  <si>
    <t>ФССЦпг-2001, т03-01-01-050, приказ Минстроя России №876/пр от 26.12.2019</t>
  </si>
  <si>
    <t>Автомобили бортовые</t>
  </si>
  <si>
    <t>Перевозка строительных грузов автомобильным транспортом</t>
  </si>
  <si>
    <t>ФССЦпр , изм. 7</t>
  </si>
  <si>
    <t>Всего материалов</t>
  </si>
  <si>
    <t>итог1</t>
  </si>
  <si>
    <t>итого по разделу</t>
  </si>
  <si>
    <t>итог 2</t>
  </si>
  <si>
    <t>НДС 20%</t>
  </si>
  <si>
    <t>Всего по смете</t>
  </si>
  <si>
    <t>Итого по смете</t>
  </si>
  <si>
    <t>Итого</t>
  </si>
  <si>
    <t>Итого1</t>
  </si>
  <si>
    <t>Итого2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</si>
  <si>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</si>
  <si>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</si>
  <si>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</si>
  <si>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</si>
  <si>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</si>
  <si>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</si>
  <si>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</si>
  <si>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</si>
  <si>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</si>
  <si>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</si>
  <si>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</si>
  <si>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</si>
  <si>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</si>
  <si>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</si>
  <si>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</si>
  <si>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</si>
  <si>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</si>
  <si>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</si>
  <si>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</si>
  <si>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</si>
  <si>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</si>
  <si>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</si>
  <si>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</si>
  <si>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</si>
  <si>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</si>
  <si>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</si>
  <si>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</si>
  <si>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</si>
  <si>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</si>
  <si>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</si>
  <si>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</si>
  <si>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</si>
  <si>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</si>
  <si>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</si>
  <si>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</si>
  <si>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</si>
  <si>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</si>
  <si>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</si>
  <si>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</si>
  <si>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</si>
  <si>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</si>
  <si>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</si>
  <si>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</si>
  <si>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</si>
  <si>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</si>
  <si>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</si>
  <si>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</si>
  <si>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</si>
  <si>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</si>
  <si>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</si>
  <si>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</si>
  <si>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</si>
  <si>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</si>
  <si>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</si>
  <si>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</si>
  <si>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</si>
  <si>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</si>
  <si>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</si>
  <si>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</si>
  <si>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</si>
  <si>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</si>
  <si>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</si>
  <si>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</si>
  <si>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</si>
  <si>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</si>
  <si>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</si>
  <si>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</si>
  <si>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</si>
  <si>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Новый уровень цен</t>
  </si>
  <si>
    <t>Индексы за итогом</t>
  </si>
  <si>
    <t>_OBSM_</t>
  </si>
  <si>
    <t>1-100-20</t>
  </si>
  <si>
    <t>Рабочий среднего разряда 2</t>
  </si>
  <si>
    <t>чел.-ч.</t>
  </si>
  <si>
    <t>1-100-29</t>
  </si>
  <si>
    <t>Затраты труда рабочих (Средний разряд - 2,9)</t>
  </si>
  <si>
    <t>4-100-00</t>
  </si>
  <si>
    <t>Затраты труда машинистов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</si>
  <si>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</si>
  <si>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</si>
  <si>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</si>
  <si>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маш.-ч.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</si>
  <si>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</si>
  <si>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</si>
  <si>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</si>
  <si>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91.21.22-638</t>
  </si>
  <si>
    <t>ФСЭМ-2001, 91.21.22-638 , приказ Минстроя России № 876/пр от 26.12.2019</t>
  </si>
  <si>
    <t>Пылесосы промышленные, мощность до 2000 Вт</t>
  </si>
  <si>
    <t>01.7.07.12-1006</t>
  </si>
  <si>
    <t>ФССЦ-2001, 01.7.07.12-1006, приказ Минстроя России № 876/пр от 26.12.2019</t>
  </si>
  <si>
    <t>Пленка полиэтиленовая, толщина 80 мкм</t>
  </si>
  <si>
    <t>01.7.20.08-0051</t>
  </si>
  <si>
    <t>ФССЦ-2001, 01.7.20.08-0051, приказ Минстроя России № 876/пр от 26.12.2019</t>
  </si>
  <si>
    <t>Ветошь</t>
  </si>
  <si>
    <t>02.3.01.07-0002</t>
  </si>
  <si>
    <t>ФССЦ-2001, 02.3.01.07-0002, приказ Минстроя России № 876/пр от 26.12.2019</t>
  </si>
  <si>
    <t>Песок кварцевый</t>
  </si>
  <si>
    <t>04.3.02.02-0102</t>
  </si>
  <si>
    <t>ФССЦ-2001, 04.3.02.02-0102, приказ Минстроя России № 876/пр от 26.12.2019</t>
  </si>
  <si>
    <t>Состав двухкомпонентный полиуретановый для устройства монолитных покрытий пола</t>
  </si>
  <si>
    <t>14.5.09.07-1016</t>
  </si>
  <si>
    <t>ФССЦ-2001, 14.5.09.07-1016, приказ Минстроя России № 876/пр от 26.12.2019</t>
  </si>
  <si>
    <t>Растворитель органический для очистки от полиуретановых составов</t>
  </si>
  <si>
    <t>л</t>
  </si>
  <si>
    <t>Затраты труда рабочих (Средний разряд - 2)</t>
  </si>
  <si>
    <t>1-100-30</t>
  </si>
  <si>
    <t>Затраты труда рабочих (Средний разряд - 3)</t>
  </si>
  <si>
    <t>91.18.01-508</t>
  </si>
  <si>
    <t>ФСЭМ-2001, 91.18.01-508 , приказ Минстроя России № 876/пр от 26.12.2019</t>
  </si>
  <si>
    <t>Компрессоры передвижные с электродвигателем, производительность до 5,0 м3/мин</t>
  </si>
  <si>
    <t>91.21.10-003</t>
  </si>
  <si>
    <t>ФСЭМ-2001, 91.21.10-003 , приказ Минстроя России № 876/пр от 26.12.2019</t>
  </si>
  <si>
    <t>Молотки при работе от передвижных компрессорных станций отбойные пневматические</t>
  </si>
  <si>
    <t>91.06.06-046</t>
  </si>
  <si>
    <t>ФСЭМ-2001, 91.06.06-046 , приказ Минстроя России № 876/пр от 26.12.2019</t>
  </si>
  <si>
    <t>Подъемники одномачтовые, грузоподъемность до 500 кг, высота подъема 25 м</t>
  </si>
  <si>
    <t>01.7.03.01-0001</t>
  </si>
  <si>
    <t>ФССЦ-2001, 01.7.03.01-0001, приказ Минстроя России № 876/пр от 26.12.2019</t>
  </si>
  <si>
    <t>Вода</t>
  </si>
  <si>
    <t>1-100-32</t>
  </si>
  <si>
    <t>Затраты труда рабочих (Средний разряд - 3,2)</t>
  </si>
  <si>
    <t>91.05.01-016</t>
  </si>
  <si>
    <t>ФСЭМ-2001, 91.05.01-016 , приказ Минстроя России № 876/пр от 26.12.2019</t>
  </si>
  <si>
    <t>Краны башенные, грузоподъемность 5 т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</si>
  <si>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</si>
  <si>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</si>
  <si>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</si>
  <si>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91.07.08-024</t>
  </si>
  <si>
    <t>ФСЭМ-2001, 91.07.08-024 , приказ Минстроя России № 876/пр от 26.12.2019</t>
  </si>
  <si>
    <t>Растворосмесители передвижные, объем барабана 65 л</t>
  </si>
  <si>
    <t>04.3.02.09-0102</t>
  </si>
  <si>
    <t>ФССЦ-2001, 04.3.02.09-0102, приказ Минстроя России № 876/пр от 26.12.2019</t>
  </si>
  <si>
    <t>Смеси сухие водостойкие для затирки межплиточных швов шириной 1-6 мм (различная цветовая гамма)</t>
  </si>
  <si>
    <t>1-100-39</t>
  </si>
  <si>
    <t>Рабочий среднего разряда 3.9</t>
  </si>
  <si>
    <t>маш.-ч</t>
  </si>
  <si>
    <t>04.3.01.09-0016</t>
  </si>
  <si>
    <t>ФССЦ-2001, 04.3.01.09-0016, приказ Минстроя России № 876/пр от 26.12.2019</t>
  </si>
  <si>
    <t>Раствор готовый кладочный, цементный, М200</t>
  </si>
  <si>
    <t>1-100-16</t>
  </si>
  <si>
    <t>Затраты труда рабочих (Средний разряд - 1,6)</t>
  </si>
  <si>
    <t>1-100-40</t>
  </si>
  <si>
    <t>Затраты труда рабочих (Средний разряд - 4)</t>
  </si>
  <si>
    <t>Рабочий среднего разряда 3.2</t>
  </si>
  <si>
    <t>01.7.15.04-0048</t>
  </si>
  <si>
    <t>ФССЦ-2001, 01.7.15.04-0048, приказ Минстроя России №1039/пр от 30.12.2016г.</t>
  </si>
  <si>
    <t>Винты самонарезающие остроконечные длиной 35 мм</t>
  </si>
  <si>
    <t>100 шт.</t>
  </si>
  <si>
    <t>01.7.07.12-0022</t>
  </si>
  <si>
    <t>ФССЦ-2001, 01.7.07.12-0022, приказ Минстроя России № 876/пр от 26.12.2019</t>
  </si>
  <si>
    <t>Пленка полиэтиленовая, толщина 0,2-0,5 мм</t>
  </si>
  <si>
    <t>1-100-11</t>
  </si>
  <si>
    <t>Рабочий среднего разряда 1.1</t>
  </si>
  <si>
    <t>1-100-10</t>
  </si>
  <si>
    <t>Рабочий среднего разряда 1</t>
  </si>
  <si>
    <t>14.4.01.21</t>
  </si>
  <si>
    <t>Грунтовка</t>
  </si>
  <si>
    <t>04.3.02.01</t>
  </si>
  <si>
    <t>Смеси сухие на цементной основе</t>
  </si>
  <si>
    <t>14.4.01.02</t>
  </si>
  <si>
    <t>Грунтовки на акриловой основе</t>
  </si>
  <si>
    <t>14.3.01.03</t>
  </si>
  <si>
    <t>09.2.03.02</t>
  </si>
  <si>
    <t>Профили стыкоперекрывающие из алюминиевых сплавов (порожки) с покрытием</t>
  </si>
  <si>
    <t>01.7.20.03-0003</t>
  </si>
  <si>
    <t>ФССЦ-2001, 01.7.20.03-0003, приказ Минстроя России № 876/пр от 26.12.2019</t>
  </si>
  <si>
    <t>Мешки полипропиленовые (50 кг)</t>
  </si>
  <si>
    <t>100 ШТ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</si>
  <si>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</si>
  <si>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</si>
  <si>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"СОГЛАСОВАНО"</t>
  </si>
  <si>
    <t>"УТВЕРЖДАЮ"</t>
  </si>
  <si>
    <t>"_____"________________ 2023 г.</t>
  </si>
  <si>
    <t>Главный инженер ИПУ РАН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</si>
  <si>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</si>
  <si>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</si>
  <si>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</si>
  <si>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</si>
  <si>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</si>
  <si>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</si>
  <si>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</si>
  <si>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</si>
  <si>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</si>
  <si>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</si>
  <si>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</si>
  <si>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</si>
  <si>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</si>
  <si>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</si>
  <si>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</si>
  <si>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</si>
  <si>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</si>
  <si>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</si>
  <si>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</si>
  <si>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</si>
  <si>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</si>
  <si>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</si>
  <si>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</si>
  <si>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</si>
  <si>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</si>
  <si>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</si>
  <si>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</si>
  <si>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</si>
  <si>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</si>
  <si>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</si>
  <si>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</si>
  <si>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</si>
  <si>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</si>
  <si>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</si>
  <si>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</si>
  <si>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I квартал 2023 года (1.01.2000)</t>
  </si>
  <si>
    <t>Раздел: Лифтовые холлы  5, 6 эт.</t>
  </si>
  <si>
    <t>ОТ</t>
  </si>
  <si>
    <t>ЭМ</t>
  </si>
  <si>
    <t>в т.ч. ОТм</t>
  </si>
  <si>
    <t>М</t>
  </si>
  <si>
    <t>ЗТ</t>
  </si>
  <si>
    <t>чел-ч</t>
  </si>
  <si>
    <t>ЗТм</t>
  </si>
  <si>
    <t>Итого по расценке</t>
  </si>
  <si>
    <t>ФОТ</t>
  </si>
  <si>
    <t>НР Полы</t>
  </si>
  <si>
    <t>%</t>
  </si>
  <si>
    <t>СП Полы</t>
  </si>
  <si>
    <t>Всего по позиции</t>
  </si>
  <si>
    <r>
      <t>Демонтаж полимерных наливных полов из полиуретана: кварценаполненных с толщиной покрытия 4 мм (Применитиельно)</t>
    </r>
    <r>
      <rPr>
        <i/>
        <sz val="10"/>
        <rFont val="Arial"/>
        <family val="2"/>
      </rPr>
      <t xml:space="preserve">
Поправки к: 
М )*0;   
ЭМ )*0,8;   
ОТм )*0,8;   
ОТ )*0,8;   
ЗТ )*0,8;   
ЗТм )*0,8</t>
    </r>
  </si>
  <si>
    <t>НР 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</si>
  <si>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СП 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</si>
  <si>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r>
      <t>Добавлять или исключать на каждые 5 мм изменения толщины покрытия к расценке 57-2-4 (исключить 135 мм до 15 мм, К=27)</t>
    </r>
    <r>
      <rPr>
        <i/>
        <sz val="10"/>
        <rFont val="Arial"/>
        <family val="2"/>
      </rPr>
      <t xml:space="preserve">
Поправки к: 
М )*(-27);   
ЭМ )*(-27);   
ОТм )*(-27);   
ОТ )*(-27);   
ЗТ )*(-27);   
ЗТм )*(-27)</t>
    </r>
  </si>
  <si>
    <t>Исключен
Строительный мусор</t>
  </si>
  <si>
    <r>
      <t>Устройство стяжек: из самовыравнивающейся смеси на цементной основе, толщиной 3 мм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</si>
  <si>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Пр/812-011.0-1;
п.25</t>
  </si>
  <si>
    <t>Пр/774-011.0;
п.16</t>
  </si>
  <si>
    <r>
      <t>Устройство стяжек: на каждый последующий слой толщиной 1 мм добавлять к расценке 11-01-011-09 (добавлять до 10 мм, К=7)</t>
    </r>
    <r>
      <rPr>
        <i/>
        <sz val="10"/>
        <rFont val="Arial"/>
        <family val="2"/>
      </rPr>
      <t xml:space="preserve">
Поправки к: 
М )*7;   
ЭМ )*1,25)*7;   
ОТм )*1,25)*7;   
ОТ )*1,15)*7;   
ЗТ )*1,15)*7;   
ЗТм )*1,25)*7;   
НР )*0,9;   
СП )*0,85</t>
    </r>
  </si>
  <si>
    <r>
      <t>Устройство покрытий из плит керамогранитных размером: 45х45 см (Применительно)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</si>
  <si>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r>
      <t>Устройство плинтусов: из плиток керамических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</si>
  <si>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НР Малярные работы</t>
  </si>
  <si>
    <t>СП Малярные работы</t>
  </si>
  <si>
    <r>
      <t>Покрытие поверхностей грунтовкой глубокого проникновения: за 2 раза стен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</si>
  <si>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Пр/812-015.0-1;
п.25</t>
  </si>
  <si>
    <t>НР Отделочные работы</t>
  </si>
  <si>
    <t>Пр/774-015.0;
п.16</t>
  </si>
  <si>
    <t>СП Отделочные работы</t>
  </si>
  <si>
    <r>
      <t>Установка торцевого алюминиевого профиля по периметру проема (Применительно)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</si>
  <si>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Итого прямые затраты по разделу (в базисном уровне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</si>
  <si>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</si>
  <si>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</si>
  <si>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</si>
  <si>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</si>
  <si>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</si>
  <si>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уровне цен) (справочно)</t>
  </si>
  <si>
    <t>Итого накладные расходы (в базисном уровне цен)</t>
  </si>
  <si>
    <t>Итого сметная прибыль (в базисном уровне цен)</t>
  </si>
  <si>
    <t>Итого оборудование (в базисном уровне цен)</t>
  </si>
  <si>
    <t>Итого прочие затраты (в базисном уровне цен)</t>
  </si>
  <si>
    <t>Итого по разделу (в базисном уровне цен)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</si>
  <si>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</si>
  <si>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</si>
  <si>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Разные работы</t>
  </si>
  <si>
    <r>
      <t>Укрытие полиэтиленовой пленкой (Применительно)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</si>
  <si>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НР Прочие ремонтно-строительные работы</t>
  </si>
  <si>
    <t>СП Прочие ремонтно-строительные работы</t>
  </si>
  <si>
    <t>НР Перевозка строительных грузов автомобильным транспортом</t>
  </si>
  <si>
    <t>СП Перевозка строительных грузов автомобильным транспортом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</si>
  <si>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</si>
  <si>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</si>
  <si>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</si>
  <si>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</si>
  <si>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</si>
  <si>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</si>
  <si>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</si>
  <si>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   пусконаладочные работы</t>
  </si>
  <si>
    <t xml:space="preserve">  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</si>
  <si>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</si>
  <si>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</si>
  <si>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</si>
  <si>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</si>
  <si>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</si>
  <si>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>№ в ЛСР</t>
  </si>
  <si>
    <t>Ссылка на чертежи, спецификации</t>
  </si>
  <si>
    <t>Формула расчета, расчет объемов работ и расхода материалов</t>
  </si>
  <si>
    <t>Примечание</t>
  </si>
  <si>
    <t>Главный инженер проекта _________________</t>
  </si>
  <si>
    <t>Составил _________________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</si>
  <si>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</si>
  <si>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</si>
  <si>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</si>
  <si>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Заказчик _________________</t>
  </si>
  <si>
    <t>Подрядчик _________________</t>
  </si>
  <si>
    <t>Локальный сметный расчет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</si>
</sst>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[Red]\-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>
      <alignment vertical="top" wrapText="1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Alignment="1" quotePrefix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5" fontId="17" fillId="0" borderId="14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4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1" width="0" style="0" hidden="1" customWidth="1"/>
    <col min="92" max="92" width="171.7109375" style="0" hidden="1" customWidth="1"/>
    <col min="93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ht="12.75">
      <c r="A1" s="12" t="str">
        <f>Source!B1</f>
        <v>Smeta.RU  (495) 974-1589</v>
      </c>
    </row>
    <row r="3" spans="1:12" ht="16.5">
      <c r="A3" s="13"/>
      <c r="B3" s="135" t="s">
        <v>410</v>
      </c>
      <c r="C3" s="135"/>
      <c r="D3" s="135"/>
      <c r="E3" s="135"/>
      <c r="F3" s="14"/>
      <c r="G3" s="14"/>
      <c r="H3" s="135" t="s">
        <v>411</v>
      </c>
      <c r="I3" s="135"/>
      <c r="J3" s="135"/>
      <c r="K3" s="135"/>
      <c r="L3" s="135"/>
    </row>
    <row r="4" spans="1:12" ht="14.25">
      <c r="A4" s="14"/>
      <c r="B4" s="109"/>
      <c r="C4" s="109"/>
      <c r="D4" s="109"/>
      <c r="E4" s="109"/>
      <c r="F4" s="14"/>
      <c r="G4" s="14"/>
      <c r="H4" s="109" t="s">
        <v>413</v>
      </c>
      <c r="I4" s="109"/>
      <c r="J4" s="109"/>
      <c r="K4" s="109"/>
      <c r="L4" s="109"/>
    </row>
    <row r="5" spans="1:12" ht="14.25">
      <c r="A5" s="15"/>
      <c r="B5" s="15"/>
      <c r="C5" s="16"/>
      <c r="D5" s="16"/>
      <c r="E5" s="16"/>
      <c r="F5" s="14"/>
      <c r="G5" s="14"/>
      <c r="H5" s="17"/>
      <c r="I5" s="16"/>
      <c r="J5" s="16"/>
      <c r="K5" s="16"/>
      <c r="L5" s="17"/>
    </row>
    <row r="6" spans="1:12" ht="14.25">
      <c r="A6" s="17"/>
      <c r="B6" s="109" t="str">
        <f>CONCATENATE("______________________ ",IF(Source!AL12&lt;&gt;"",Source!AL12,""))</f>
        <v>______________________ </v>
      </c>
      <c r="C6" s="109"/>
      <c r="D6" s="109"/>
      <c r="E6" s="109"/>
      <c r="F6" s="14"/>
      <c r="G6" s="14"/>
      <c r="H6" s="109" t="str">
        <f>CONCATENATE("______________________ ",IF(Source!AH12&lt;&gt;"",Source!AH12,""))</f>
        <v>______________________ Муравьев К.В.</v>
      </c>
      <c r="I6" s="109"/>
      <c r="J6" s="109"/>
      <c r="K6" s="109"/>
      <c r="L6" s="109"/>
    </row>
    <row r="7" spans="1:12" ht="14.25">
      <c r="A7" s="18"/>
      <c r="B7" s="133" t="s">
        <v>412</v>
      </c>
      <c r="C7" s="133"/>
      <c r="D7" s="133"/>
      <c r="E7" s="133"/>
      <c r="F7" s="14"/>
      <c r="G7" s="14"/>
      <c r="H7" s="133" t="s">
        <v>412</v>
      </c>
      <c r="I7" s="133"/>
      <c r="J7" s="133"/>
      <c r="K7" s="133"/>
      <c r="L7" s="133"/>
    </row>
    <row r="10" spans="1:94" ht="38.25">
      <c r="A10" s="134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CP10" s="74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</row>
    <row r="11" spans="1:11" ht="12.75">
      <c r="A11" s="11"/>
      <c r="B11" s="11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34" t="s">
        <v>447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5" spans="1:12" ht="15.75">
      <c r="A15" s="1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8"/>
    </row>
    <row r="16" spans="1:12" ht="14.25">
      <c r="A16" s="20"/>
      <c r="B16" s="129" t="s">
        <v>414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8"/>
    </row>
    <row r="17" spans="1:1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92" ht="15.75">
      <c r="A18" s="14"/>
      <c r="B18" s="128" t="str">
        <f>IF(Source!G12&lt;&gt;"Новый объект",Source!G12,"")</f>
        <v>Выполнение ремонтных работ по облицовке пола лифтовых холлов 5-6 этажа строения № 1 ИПУ РАН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4"/>
      <c r="CN18" s="75" t="str">
        <f>IF(Source!G12&lt;&gt;"Новый объект",Source!G12,"")</f>
        <v>Выполнение ремонтных работ по облицовке пола лифтовых холлов 5-6 этажа строения № 1 ИПУ РАН</v>
      </c>
    </row>
    <row r="19" spans="1:12" ht="14.25">
      <c r="A19" s="14"/>
      <c r="B19" s="129" t="s">
        <v>415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4"/>
    </row>
    <row r="20" spans="1:12" ht="14.25">
      <c r="A20" s="14"/>
      <c r="B20" s="14"/>
      <c r="C20" s="14"/>
      <c r="D20" s="14"/>
      <c r="E20" s="14"/>
      <c r="F20" s="21"/>
      <c r="G20" s="21"/>
      <c r="H20" s="21" t="s">
        <v>3</v>
      </c>
      <c r="I20" s="21"/>
      <c r="J20" s="21"/>
      <c r="K20" s="21"/>
      <c r="L20" s="21"/>
    </row>
    <row r="21" spans="1:12" ht="15.75">
      <c r="A21" s="22"/>
      <c r="B21" s="130" t="s">
        <v>528</v>
      </c>
      <c r="C21" s="130"/>
      <c r="D21" s="130"/>
      <c r="E21" s="130"/>
      <c r="F21" s="130"/>
      <c r="G21" s="130"/>
      <c r="H21" s="130"/>
      <c r="I21" s="130"/>
      <c r="J21" s="130"/>
      <c r="K21" s="130"/>
      <c r="L21" s="22"/>
    </row>
    <row r="22" spans="1:12" ht="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</row>
    <row r="23" spans="1:12" ht="18">
      <c r="A23" s="14"/>
      <c r="B23" s="131">
        <f>IF(Source!G20&lt;&gt;"Новая локальная смета",Source!G20,"")</f>
      </c>
      <c r="C23" s="131"/>
      <c r="D23" s="131"/>
      <c r="E23" s="131"/>
      <c r="F23" s="131"/>
      <c r="G23" s="131"/>
      <c r="H23" s="131"/>
      <c r="I23" s="131"/>
      <c r="J23" s="131"/>
      <c r="K23" s="131"/>
      <c r="L23" s="24"/>
    </row>
    <row r="24" spans="1:12" ht="14.25">
      <c r="A24" s="14"/>
      <c r="B24" s="129" t="s">
        <v>416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8"/>
    </row>
    <row r="25" spans="1:12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1" t="s">
        <v>417</v>
      </c>
      <c r="B27" s="11"/>
      <c r="C27" s="25" t="s">
        <v>448</v>
      </c>
      <c r="D27" s="11" t="s">
        <v>418</v>
      </c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 t="s">
        <v>419</v>
      </c>
      <c r="B29" s="11"/>
      <c r="C29" s="132"/>
      <c r="D29" s="132"/>
      <c r="E29" s="132"/>
      <c r="F29" s="132"/>
      <c r="G29" s="132"/>
      <c r="H29" s="11"/>
      <c r="I29" s="11"/>
      <c r="J29" s="11"/>
      <c r="K29" s="11"/>
      <c r="L29" s="26"/>
    </row>
    <row r="30" spans="1:12" ht="12.75">
      <c r="A30" s="27"/>
      <c r="B30" s="28"/>
      <c r="C30" s="124" t="s">
        <v>420</v>
      </c>
      <c r="D30" s="124"/>
      <c r="E30" s="124"/>
      <c r="F30" s="124"/>
      <c r="G30" s="124"/>
      <c r="H30" s="29"/>
      <c r="I30" s="29"/>
      <c r="J30" s="29"/>
      <c r="K30" s="29"/>
      <c r="L30" s="29"/>
    </row>
    <row r="31" spans="1:12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25">
      <c r="A32" s="30" t="s">
        <v>449</v>
      </c>
      <c r="B32" s="14"/>
      <c r="C32" s="14"/>
      <c r="D32" s="31"/>
      <c r="E32" s="32"/>
      <c r="F32" s="14"/>
      <c r="G32" s="14"/>
      <c r="H32" s="14"/>
      <c r="I32" s="14"/>
      <c r="J32" s="14"/>
      <c r="K32" s="14"/>
      <c r="L32" s="14"/>
    </row>
    <row r="33" spans="1:12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25">
      <c r="A34" s="30" t="s">
        <v>421</v>
      </c>
      <c r="B34" s="14"/>
      <c r="C34" s="51">
        <f>C37+C38+C39+C40</f>
        <v>2593.74</v>
      </c>
      <c r="D34" s="125">
        <f>D37+D38+D39+D40</f>
        <v>100.93</v>
      </c>
      <c r="E34" s="126"/>
      <c r="F34" s="33" t="s">
        <v>422</v>
      </c>
      <c r="G34" s="34"/>
      <c r="H34" s="34"/>
      <c r="I34" s="34"/>
      <c r="J34" s="34"/>
      <c r="K34" s="14"/>
      <c r="L34" s="14"/>
    </row>
    <row r="35" spans="1:12" ht="14.25">
      <c r="A35" s="14"/>
      <c r="B35" s="14"/>
      <c r="C35" s="44"/>
      <c r="D35" s="52"/>
      <c r="E35" s="34"/>
      <c r="F35" s="33"/>
      <c r="G35" s="33" t="s">
        <v>423</v>
      </c>
      <c r="H35" s="34"/>
      <c r="I35" s="34"/>
      <c r="J35" s="34"/>
      <c r="K35" s="14"/>
      <c r="L35" s="14"/>
    </row>
    <row r="36" spans="1:12" ht="14.25">
      <c r="A36" s="14"/>
      <c r="B36" s="35" t="s">
        <v>424</v>
      </c>
      <c r="C36" s="44"/>
      <c r="D36" s="52"/>
      <c r="E36" s="36"/>
      <c r="F36" s="33"/>
      <c r="G36" s="33" t="s">
        <v>425</v>
      </c>
      <c r="H36" s="34" t="s">
        <v>426</v>
      </c>
      <c r="I36" s="37">
        <f>ROUND((SUM(U47:U337))/1000,2)</f>
        <v>893.82</v>
      </c>
      <c r="J36" s="37">
        <f>ROUND((SUM(Q47:Q337))/1000,2)</f>
        <v>24.51</v>
      </c>
      <c r="K36" s="11" t="s">
        <v>422</v>
      </c>
      <c r="L36" s="14"/>
    </row>
    <row r="37" spans="1:12" ht="14.25">
      <c r="A37" s="14"/>
      <c r="B37" s="30" t="s">
        <v>427</v>
      </c>
      <c r="C37" s="51">
        <f>ROUND((ROUND(SUM(AO47:AO337)*Source!D258,2)+ROUND(SUM(AP47:AP337)*Source!E258,2)+ROUND(SUM(AQ47:AQ337)*Source!G258,2)+ROUND(SUM(AR47:AR337)*Source!L258,2)+SUM(AS47:AS337)+SUM(AT47:AT337))/1000,2)</f>
        <v>2593.74</v>
      </c>
      <c r="D37" s="125">
        <f>ROUND((SUM(AN47:AN337)+SUM(AR47:AR337))/1000,2)</f>
        <v>100.93</v>
      </c>
      <c r="E37" s="126"/>
      <c r="F37" s="33" t="s">
        <v>422</v>
      </c>
      <c r="G37" s="33" t="s">
        <v>428</v>
      </c>
      <c r="H37" s="34"/>
      <c r="I37" s="33"/>
      <c r="J37" s="53">
        <f>Source!P180</f>
        <v>2839.833835</v>
      </c>
      <c r="K37" s="11" t="s">
        <v>313</v>
      </c>
      <c r="L37" s="14"/>
    </row>
    <row r="38" spans="1:12" ht="14.25">
      <c r="A38" s="14"/>
      <c r="B38" s="30" t="s">
        <v>429</v>
      </c>
      <c r="C38" s="51">
        <f>ROUND((ROUND(SUM(AY47:AY337)*Source!D258,2)+ROUND(SUM(AZ47:AZ337)*Source!E258,2)+ROUND(SUM(BA47:BA337)*Source!G258,2)+ROUND(SUM(BB47:BB337)*Source!L258,2)+SUM(BC47:BC337)+SUM(BD47:BD337))/1000,2)</f>
        <v>0</v>
      </c>
      <c r="D38" s="125">
        <f>ROUND((SUM(AX47:AX337)+SUM(BB47:BB337))/1000,2)</f>
        <v>0</v>
      </c>
      <c r="E38" s="126"/>
      <c r="F38" s="33" t="s">
        <v>422</v>
      </c>
      <c r="G38" s="33" t="s">
        <v>430</v>
      </c>
      <c r="H38" s="34"/>
      <c r="I38" s="33"/>
      <c r="J38" s="53">
        <f>Source!P181</f>
        <v>30.044020000000003</v>
      </c>
      <c r="K38" s="11" t="s">
        <v>313</v>
      </c>
      <c r="L38" s="14"/>
    </row>
    <row r="39" spans="1:12" ht="14.25">
      <c r="A39" s="14"/>
      <c r="B39" s="30" t="s">
        <v>431</v>
      </c>
      <c r="C39" s="51">
        <f>ROUND((ROUND(SUM(BH47:BH337)*Source!H258,2)+ROUND(SUM(BI47:BI337)*Source!L258,2))/1000,2)</f>
        <v>0</v>
      </c>
      <c r="D39" s="125">
        <f>ROUND((SUM(BH47:BH337)+SUM(BI47:BI337))/1000,2)</f>
        <v>0</v>
      </c>
      <c r="E39" s="126"/>
      <c r="F39" s="33" t="s">
        <v>422</v>
      </c>
      <c r="G39" s="33" t="s">
        <v>432</v>
      </c>
      <c r="H39" s="34"/>
      <c r="I39" s="33"/>
      <c r="J39" s="38"/>
      <c r="K39" s="14"/>
      <c r="L39" s="14"/>
    </row>
    <row r="40" spans="1:12" ht="14.25">
      <c r="A40" s="14"/>
      <c r="B40" s="30" t="s">
        <v>433</v>
      </c>
      <c r="C40" s="51">
        <f>ROUND((ROUND(SUM(BM47:BM337)*Source!I258,2)+SUM(BU47:BU337)+ROUND(SUM(BO47:BO337)*Source!H258,2)+ROUND(SUM(BP47:BP337)*Source!L258,2))/1000,2)</f>
        <v>0</v>
      </c>
      <c r="D40" s="125">
        <f>ROUND((SUM(BM47:BM337)+SUM(BN47:BN337)+SUM(BO47:BO337)+SUM(BP47:BP337))/1000,2)</f>
        <v>0</v>
      </c>
      <c r="E40" s="127"/>
      <c r="F40" s="33" t="s">
        <v>422</v>
      </c>
      <c r="G40" s="33" t="s">
        <v>434</v>
      </c>
      <c r="H40" s="34"/>
      <c r="I40" s="33">
        <f>Source!I20</f>
        <v>0</v>
      </c>
      <c r="J40" s="39">
        <f>Source!H20</f>
      </c>
      <c r="K40" s="14"/>
      <c r="L40" s="14"/>
    </row>
    <row r="41" spans="1:12" ht="14.25">
      <c r="A41" s="14"/>
      <c r="B41" s="14"/>
      <c r="C41" s="14"/>
      <c r="D41" s="34"/>
      <c r="E41" s="34"/>
      <c r="F41" s="34"/>
      <c r="G41" s="34"/>
      <c r="H41" s="34"/>
      <c r="I41" s="34"/>
      <c r="J41" s="34"/>
      <c r="K41" s="14"/>
      <c r="L41" s="14"/>
    </row>
    <row r="42" spans="1:12" ht="12.75">
      <c r="A42" s="111" t="s">
        <v>435</v>
      </c>
      <c r="B42" s="111" t="s">
        <v>436</v>
      </c>
      <c r="C42" s="111" t="s">
        <v>437</v>
      </c>
      <c r="D42" s="111" t="s">
        <v>438</v>
      </c>
      <c r="E42" s="115" t="s">
        <v>439</v>
      </c>
      <c r="F42" s="116"/>
      <c r="G42" s="117"/>
      <c r="H42" s="115" t="s">
        <v>440</v>
      </c>
      <c r="I42" s="116"/>
      <c r="J42" s="117"/>
      <c r="K42" s="111" t="s">
        <v>441</v>
      </c>
      <c r="L42" s="111" t="s">
        <v>442</v>
      </c>
    </row>
    <row r="43" spans="1:12" ht="12.75">
      <c r="A43" s="112"/>
      <c r="B43" s="112"/>
      <c r="C43" s="112"/>
      <c r="D43" s="112"/>
      <c r="E43" s="118"/>
      <c r="F43" s="119"/>
      <c r="G43" s="120"/>
      <c r="H43" s="118"/>
      <c r="I43" s="119"/>
      <c r="J43" s="120"/>
      <c r="K43" s="112"/>
      <c r="L43" s="112"/>
    </row>
    <row r="44" spans="1:12" ht="12.75">
      <c r="A44" s="112"/>
      <c r="B44" s="112"/>
      <c r="C44" s="112"/>
      <c r="D44" s="112"/>
      <c r="E44" s="121"/>
      <c r="F44" s="122"/>
      <c r="G44" s="123"/>
      <c r="H44" s="121"/>
      <c r="I44" s="122"/>
      <c r="J44" s="123"/>
      <c r="K44" s="112"/>
      <c r="L44" s="112"/>
    </row>
    <row r="45" spans="1:12" ht="25.5">
      <c r="A45" s="113"/>
      <c r="B45" s="113"/>
      <c r="C45" s="113"/>
      <c r="D45" s="113"/>
      <c r="E45" s="40" t="s">
        <v>443</v>
      </c>
      <c r="F45" s="40" t="s">
        <v>444</v>
      </c>
      <c r="G45" s="40" t="s">
        <v>445</v>
      </c>
      <c r="H45" s="40" t="s">
        <v>443</v>
      </c>
      <c r="I45" s="40" t="s">
        <v>444</v>
      </c>
      <c r="J45" s="40" t="s">
        <v>446</v>
      </c>
      <c r="K45" s="113"/>
      <c r="L45" s="113"/>
    </row>
    <row r="46" spans="1:12" ht="14.25">
      <c r="A46" s="41">
        <v>1</v>
      </c>
      <c r="B46" s="41">
        <v>2</v>
      </c>
      <c r="C46" s="41">
        <v>3</v>
      </c>
      <c r="D46" s="41">
        <v>4</v>
      </c>
      <c r="E46" s="41">
        <v>5</v>
      </c>
      <c r="F46" s="41">
        <v>6</v>
      </c>
      <c r="G46" s="41">
        <v>7</v>
      </c>
      <c r="H46" s="41">
        <v>8</v>
      </c>
      <c r="I46" s="41">
        <v>9</v>
      </c>
      <c r="J46" s="41">
        <v>10</v>
      </c>
      <c r="K46" s="42">
        <v>11</v>
      </c>
      <c r="L46" s="43">
        <v>12</v>
      </c>
    </row>
    <row r="48" spans="1:12" ht="16.5">
      <c r="A48" s="110" t="s">
        <v>450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</row>
    <row r="49" spans="1:56" ht="28.5">
      <c r="A49" s="71">
        <v>1</v>
      </c>
      <c r="B49" s="71" t="str">
        <f>Source!F29</f>
        <v>57-3-1</v>
      </c>
      <c r="C49" s="71" t="str">
        <f>Source!G29</f>
        <v>Разборка плинтусов: деревянных и из пластмассовых материалов</v>
      </c>
      <c r="D49" s="55" t="str">
        <f>Source!H29</f>
        <v>100 м</v>
      </c>
      <c r="E49" s="50">
        <f>Source!K29</f>
        <v>4.79</v>
      </c>
      <c r="F49" s="50"/>
      <c r="G49" s="50">
        <f>Source!I29</f>
        <v>4.79</v>
      </c>
      <c r="H49" s="49"/>
      <c r="I49" s="56"/>
      <c r="J49" s="49"/>
      <c r="K49" s="56"/>
      <c r="L49" s="49"/>
      <c r="AG49">
        <f>Source!X29</f>
        <v>125.37</v>
      </c>
      <c r="AH49">
        <f>Source!HK29</f>
        <v>4572.4</v>
      </c>
      <c r="AI49">
        <f>Source!Y29</f>
        <v>69.03</v>
      </c>
      <c r="AJ49">
        <f>Source!HL29</f>
        <v>2517.39</v>
      </c>
      <c r="AS49">
        <f>IF(Source!BI29&lt;=1,AH49,0)</f>
        <v>4572.4</v>
      </c>
      <c r="AT49">
        <f>IF(Source!BI29&lt;=1,AJ49,0)</f>
        <v>2517.39</v>
      </c>
      <c r="BC49">
        <f>IF(Source!BI29=2,AH49,0)</f>
        <v>0</v>
      </c>
      <c r="BD49">
        <f>IF(Source!BI29=2,AJ49,0)</f>
        <v>0</v>
      </c>
    </row>
    <row r="51" ht="12.75">
      <c r="C51" s="45" t="str">
        <f>"Объем: "&amp;Source!K29&amp;"=479/"&amp;"100"</f>
        <v>Объем: 4,79=479/100</v>
      </c>
    </row>
    <row r="52" spans="1:12" ht="14.25">
      <c r="A52" s="71"/>
      <c r="B52" s="72">
        <v>1</v>
      </c>
      <c r="C52" s="71" t="s">
        <v>451</v>
      </c>
      <c r="D52" s="55"/>
      <c r="E52" s="50"/>
      <c r="F52" s="50"/>
      <c r="G52" s="50"/>
      <c r="H52" s="49">
        <f>Source!AO29</f>
        <v>29.41</v>
      </c>
      <c r="I52" s="56"/>
      <c r="J52" s="49">
        <f>ROUND(Source!AF29*Source!I29,2)</f>
        <v>140.87</v>
      </c>
      <c r="K52" s="56">
        <f>IF(Source!BA29&lt;&gt;0,Source!BA29,1)</f>
        <v>36.47</v>
      </c>
      <c r="L52" s="49">
        <f>Source!HJ29</f>
        <v>5137.53</v>
      </c>
    </row>
    <row r="53" spans="1:12" ht="14.25">
      <c r="A53" s="71"/>
      <c r="B53" s="72">
        <v>3</v>
      </c>
      <c r="C53" s="71" t="s">
        <v>452</v>
      </c>
      <c r="D53" s="55"/>
      <c r="E53" s="50"/>
      <c r="F53" s="50"/>
      <c r="G53" s="50"/>
      <c r="H53" s="49">
        <f>Source!AM29</f>
        <v>0</v>
      </c>
      <c r="I53" s="56"/>
      <c r="J53" s="49">
        <f>ROUND((((Source!ET29)-(Source!EU29))+Source!AE29)*Source!I29,2)</f>
        <v>0</v>
      </c>
      <c r="K53" s="56"/>
      <c r="L53" s="49"/>
    </row>
    <row r="54" spans="1:12" ht="14.25">
      <c r="A54" s="71"/>
      <c r="B54" s="72">
        <v>2</v>
      </c>
      <c r="C54" s="71" t="s">
        <v>453</v>
      </c>
      <c r="D54" s="55"/>
      <c r="E54" s="50"/>
      <c r="F54" s="50"/>
      <c r="G54" s="50"/>
      <c r="H54" s="49">
        <f>Source!AN29</f>
        <v>0</v>
      </c>
      <c r="I54" s="56"/>
      <c r="J54" s="57">
        <f>ROUND(Source!AE29*Source!I29,2)</f>
        <v>0</v>
      </c>
      <c r="K54" s="56">
        <f>IF(Source!BS29&lt;&gt;0,Source!BS29,1)</f>
        <v>36.47</v>
      </c>
      <c r="L54" s="57">
        <f>Source!HI29</f>
        <v>0</v>
      </c>
    </row>
    <row r="55" spans="1:12" ht="14.25">
      <c r="A55" s="71"/>
      <c r="B55" s="72">
        <v>4</v>
      </c>
      <c r="C55" s="71" t="s">
        <v>454</v>
      </c>
      <c r="D55" s="55"/>
      <c r="E55" s="50"/>
      <c r="F55" s="50"/>
      <c r="G55" s="50"/>
      <c r="H55" s="49">
        <f>Source!AL29</f>
        <v>0</v>
      </c>
      <c r="I55" s="56"/>
      <c r="J55" s="49">
        <f>ROUND(Source!AC29*Source!I29,2)</f>
        <v>0</v>
      </c>
      <c r="K55" s="56"/>
      <c r="L55" s="49"/>
    </row>
    <row r="56" spans="1:12" ht="14.25">
      <c r="A56" s="71"/>
      <c r="B56" s="71"/>
      <c r="C56" s="71" t="s">
        <v>455</v>
      </c>
      <c r="D56" s="55" t="s">
        <v>456</v>
      </c>
      <c r="E56" s="50">
        <f>Source!AQ29</f>
        <v>3.77</v>
      </c>
      <c r="F56" s="50"/>
      <c r="G56" s="101">
        <f>ROUND(Source!U29,7)</f>
        <v>18.0583</v>
      </c>
      <c r="H56" s="49"/>
      <c r="I56" s="56"/>
      <c r="J56" s="49"/>
      <c r="K56" s="56"/>
      <c r="L56" s="49"/>
    </row>
    <row r="57" spans="1:12" ht="14.25">
      <c r="A57" s="71"/>
      <c r="B57" s="71"/>
      <c r="C57" s="73" t="s">
        <v>457</v>
      </c>
      <c r="D57" s="58" t="s">
        <v>456</v>
      </c>
      <c r="E57" s="59">
        <f>Source!AR29</f>
        <v>0</v>
      </c>
      <c r="F57" s="59"/>
      <c r="G57" s="59">
        <f>ROUND(Source!V29,7)</f>
        <v>0</v>
      </c>
      <c r="H57" s="60"/>
      <c r="I57" s="61"/>
      <c r="J57" s="60"/>
      <c r="K57" s="61"/>
      <c r="L57" s="60"/>
    </row>
    <row r="58" spans="1:12" ht="14.25">
      <c r="A58" s="71"/>
      <c r="B58" s="71"/>
      <c r="C58" s="71" t="s">
        <v>458</v>
      </c>
      <c r="D58" s="55"/>
      <c r="E58" s="50"/>
      <c r="F58" s="50"/>
      <c r="G58" s="50"/>
      <c r="H58" s="49">
        <f>H52+H53+H55</f>
        <v>29.41</v>
      </c>
      <c r="I58" s="56"/>
      <c r="J58" s="49">
        <f>J52+J53+J55</f>
        <v>140.87</v>
      </c>
      <c r="K58" s="56"/>
      <c r="L58" s="49"/>
    </row>
    <row r="59" spans="1:56" ht="14.25">
      <c r="A59" s="71" t="s">
        <v>31</v>
      </c>
      <c r="B59" s="71" t="str">
        <f>Source!F31</f>
        <v>999-9900</v>
      </c>
      <c r="C59" s="71" t="str">
        <f>Source!G31</f>
        <v>Строительный мусор</v>
      </c>
      <c r="D59" s="55" t="str">
        <f>Source!H31</f>
        <v>т</v>
      </c>
      <c r="E59" s="50">
        <f>SmtRes!AT4</f>
        <v>0.11</v>
      </c>
      <c r="F59" s="50"/>
      <c r="G59" s="101">
        <f>Source!I31</f>
        <v>0.5269</v>
      </c>
      <c r="H59" s="49">
        <f>Source!AL31+Source!AO31+Source!AM31</f>
        <v>0</v>
      </c>
      <c r="I59" s="56"/>
      <c r="J59" s="49">
        <f>ROUND(Source!AC31*Source!I31,2)+ROUND((((Source!ET31)-(Source!EU31))+Source!AE31)*Source!I31,2)+ROUND(Source!AF31*Source!I31,2)</f>
        <v>0</v>
      </c>
      <c r="K59" s="56"/>
      <c r="L59" s="49"/>
      <c r="AF59" s="47">
        <f>J59</f>
        <v>0</v>
      </c>
      <c r="AG59">
        <f>Source!X31</f>
        <v>0</v>
      </c>
      <c r="AH59">
        <f>Source!HK31</f>
        <v>0</v>
      </c>
      <c r="AI59">
        <f>Source!Y31</f>
        <v>0</v>
      </c>
      <c r="AJ59">
        <f>Source!HL31</f>
        <v>0</v>
      </c>
      <c r="AN59">
        <f>IF(Source!BI31&lt;=1,J59,0)</f>
        <v>0</v>
      </c>
      <c r="AO59">
        <f>IF(Source!BI31&lt;=1,J59,0)</f>
        <v>0</v>
      </c>
      <c r="AS59">
        <f>IF(Source!BI31&lt;=1,AH59,0)</f>
        <v>0</v>
      </c>
      <c r="AT59">
        <f>IF(Source!BI31&lt;=1,AJ59,0)</f>
        <v>0</v>
      </c>
      <c r="AX59">
        <f>IF(Source!BI31=2,J59,0)</f>
        <v>0</v>
      </c>
      <c r="AY59">
        <f>IF(Source!BI31=2,J59,0)</f>
        <v>0</v>
      </c>
      <c r="BC59">
        <f>IF(Source!BI31=2,AH59,0)</f>
        <v>0</v>
      </c>
      <c r="BD59">
        <f>IF(Source!BI31=2,AJ59,0)</f>
        <v>0</v>
      </c>
    </row>
    <row r="60" spans="1:12" ht="14.25">
      <c r="A60" s="71"/>
      <c r="B60" s="71"/>
      <c r="C60" s="71" t="s">
        <v>459</v>
      </c>
      <c r="D60" s="55"/>
      <c r="E60" s="50"/>
      <c r="F60" s="50"/>
      <c r="G60" s="50"/>
      <c r="H60" s="49"/>
      <c r="I60" s="56"/>
      <c r="J60" s="49">
        <f>SUM(Q49:Q63)+SUM(V49:V63)+SUM(X49:X63)+SUM(Y49:Y63)</f>
        <v>140.87</v>
      </c>
      <c r="K60" s="56"/>
      <c r="L60" s="49">
        <f>SUM(U49:U63)+SUM(W49:W63)+SUM(Z49:Z63)+SUM(AA49:AA63)</f>
        <v>5137.53</v>
      </c>
    </row>
    <row r="61" spans="1:12" ht="14.25">
      <c r="A61" s="71"/>
      <c r="B61" s="71" t="s">
        <v>29</v>
      </c>
      <c r="C61" s="71" t="s">
        <v>460</v>
      </c>
      <c r="D61" s="55" t="s">
        <v>461</v>
      </c>
      <c r="E61" s="50">
        <f>Source!BZ29</f>
        <v>89</v>
      </c>
      <c r="F61" s="50"/>
      <c r="G61" s="50">
        <f>Source!AT29</f>
        <v>89</v>
      </c>
      <c r="H61" s="49"/>
      <c r="I61" s="56"/>
      <c r="J61" s="49">
        <f>SUM(AG49:AG63)</f>
        <v>125.37</v>
      </c>
      <c r="K61" s="56"/>
      <c r="L61" s="49">
        <f>SUM(AH49:AH63)</f>
        <v>4572.4</v>
      </c>
    </row>
    <row r="62" spans="1:12" ht="14.25">
      <c r="A62" s="73"/>
      <c r="B62" s="73" t="s">
        <v>30</v>
      </c>
      <c r="C62" s="73" t="s">
        <v>462</v>
      </c>
      <c r="D62" s="58" t="s">
        <v>461</v>
      </c>
      <c r="E62" s="59">
        <f>Source!CA29</f>
        <v>49</v>
      </c>
      <c r="F62" s="59"/>
      <c r="G62" s="59">
        <f>Source!AU29</f>
        <v>49</v>
      </c>
      <c r="H62" s="60"/>
      <c r="I62" s="61"/>
      <c r="J62" s="60">
        <f>SUM(AI49:AI63)</f>
        <v>69.03</v>
      </c>
      <c r="K62" s="61"/>
      <c r="L62" s="60">
        <f>SUM(AJ49:AJ63)</f>
        <v>2517.39</v>
      </c>
    </row>
    <row r="63" spans="3:53" ht="15">
      <c r="C63" s="106" t="s">
        <v>463</v>
      </c>
      <c r="D63" s="106"/>
      <c r="E63" s="106"/>
      <c r="F63" s="106"/>
      <c r="G63" s="106"/>
      <c r="H63" s="106"/>
      <c r="I63" s="106">
        <f>J52+J53+J55+J61+J62+SUM(J59:J59)</f>
        <v>335.27</v>
      </c>
      <c r="J63" s="106"/>
      <c r="O63" s="47">
        <f>I63</f>
        <v>335.27</v>
      </c>
      <c r="P63">
        <f>K63</f>
        <v>0</v>
      </c>
      <c r="Q63" s="47">
        <f>J52</f>
        <v>140.87</v>
      </c>
      <c r="R63" s="47">
        <f>J52</f>
        <v>140.87</v>
      </c>
      <c r="U63" s="47">
        <f>L52</f>
        <v>5137.53</v>
      </c>
      <c r="X63" s="47">
        <f>J54</f>
        <v>0</v>
      </c>
      <c r="Z63" s="47">
        <f>L54</f>
        <v>0</v>
      </c>
      <c r="AB63" s="47">
        <f>J53</f>
        <v>0</v>
      </c>
      <c r="AD63" s="47">
        <f>L53</f>
        <v>0</v>
      </c>
      <c r="AF63" s="47">
        <f>J55</f>
        <v>0</v>
      </c>
      <c r="AN63">
        <f>IF(Source!BI29&lt;=1,J52+J53+J55+J61+J62,0)</f>
        <v>335.27</v>
      </c>
      <c r="AO63">
        <f>IF(Source!BI29&lt;=1,J55,0)</f>
        <v>0</v>
      </c>
      <c r="AP63">
        <f>IF(Source!BI29&lt;=1,J53,0)</f>
        <v>0</v>
      </c>
      <c r="AQ63">
        <f>IF(Source!BI29&lt;=1,J52,0)</f>
        <v>140.87</v>
      </c>
      <c r="AX63">
        <f>IF(Source!BI29=2,J52+J53+J55+J61+J62,0)</f>
        <v>0</v>
      </c>
      <c r="AY63">
        <f>IF(Source!BI29=2,J55,0)</f>
        <v>0</v>
      </c>
      <c r="AZ63">
        <f>IF(Source!BI29=2,J53,0)</f>
        <v>0</v>
      </c>
      <c r="BA63">
        <f>IF(Source!BI29=2,J52,0)</f>
        <v>0</v>
      </c>
    </row>
    <row r="64" spans="1:56" ht="146.25">
      <c r="A64" s="71">
        <v>2</v>
      </c>
      <c r="B64" s="71" t="str">
        <f>Source!F33</f>
        <v>11-01-052-03</v>
      </c>
      <c r="C64" s="71" t="s">
        <v>464</v>
      </c>
      <c r="D64" s="55" t="str">
        <f>Source!H33</f>
        <v>100 м2</v>
      </c>
      <c r="E64" s="50">
        <f>Source!K33</f>
        <v>2.48</v>
      </c>
      <c r="F64" s="50"/>
      <c r="G64" s="50">
        <f>Source!I33</f>
        <v>2.48</v>
      </c>
      <c r="H64" s="49"/>
      <c r="I64" s="56"/>
      <c r="J64" s="49"/>
      <c r="K64" s="56"/>
      <c r="L64" s="49"/>
      <c r="AG64">
        <f>Source!X33</f>
        <v>1101.81</v>
      </c>
      <c r="AH64">
        <f>Source!HK33</f>
        <v>40183.06</v>
      </c>
      <c r="AI64">
        <f>Source!Y33</f>
        <v>639.44</v>
      </c>
      <c r="AJ64">
        <f>Source!HL33</f>
        <v>23320.52</v>
      </c>
      <c r="AS64">
        <f>IF(Source!BI33&lt;=1,AH64,0)</f>
        <v>40183.06</v>
      </c>
      <c r="AT64">
        <f>IF(Source!BI33&lt;=1,AJ64,0)</f>
        <v>23320.52</v>
      </c>
      <c r="BC64">
        <f>IF(Source!BI33=2,AH64,0)</f>
        <v>0</v>
      </c>
      <c r="BD64">
        <f>IF(Source!BI33=2,AJ64,0)</f>
        <v>0</v>
      </c>
    </row>
    <row r="65" spans="2:3" ht="51">
      <c r="B65" s="48" t="str">
        <f>Source!EO33</f>
        <v>Поправка: МР 519/пр Табл.2, п.1</v>
      </c>
      <c r="C65" s="48" t="str">
        <f>Source!CN33</f>
        <v>Поправка: МР 519/пр Табл.2, п.1  Наименование: При демонтаже (разборке) сборных бетонных и железобетонных конструкций</v>
      </c>
    </row>
    <row r="66" ht="12.75">
      <c r="C66" s="45" t="str">
        <f>"Объем: "&amp;Source!K33&amp;"=248/"&amp;"100"</f>
        <v>Объем: 2,48=248/100</v>
      </c>
    </row>
    <row r="67" spans="1:12" ht="14.25">
      <c r="A67" s="71"/>
      <c r="B67" s="72">
        <v>1</v>
      </c>
      <c r="C67" s="71" t="s">
        <v>451</v>
      </c>
      <c r="D67" s="55"/>
      <c r="E67" s="50"/>
      <c r="F67" s="50"/>
      <c r="G67" s="50"/>
      <c r="H67" s="49">
        <f>Source!AO33</f>
        <v>485.43</v>
      </c>
      <c r="I67" s="56">
        <f>ROUND(0.8,7)</f>
        <v>0.8</v>
      </c>
      <c r="J67" s="49">
        <f>ROUND(Source!AF33*Source!I33,2)</f>
        <v>963.08</v>
      </c>
      <c r="K67" s="56">
        <f>IF(Source!BA33&lt;&gt;0,Source!BA33,1)</f>
        <v>36.47</v>
      </c>
      <c r="L67" s="49">
        <f>Source!HJ33</f>
        <v>35123.53</v>
      </c>
    </row>
    <row r="68" spans="1:12" ht="14.25">
      <c r="A68" s="71"/>
      <c r="B68" s="72">
        <v>3</v>
      </c>
      <c r="C68" s="71" t="s">
        <v>452</v>
      </c>
      <c r="D68" s="55"/>
      <c r="E68" s="50"/>
      <c r="F68" s="50"/>
      <c r="G68" s="50"/>
      <c r="H68" s="49">
        <f>Source!AM33</f>
        <v>65.88</v>
      </c>
      <c r="I68" s="56">
        <f>ROUND(0.8,7)</f>
        <v>0.8</v>
      </c>
      <c r="J68" s="49">
        <f>ROUND(((((Source!ET33*ROUND(0.8,7)))-((Source!EU33*ROUND(0.8,7))))+Source!AE33)*Source!I33,2)</f>
        <v>130.72</v>
      </c>
      <c r="K68" s="56"/>
      <c r="L68" s="49"/>
    </row>
    <row r="69" spans="1:12" ht="14.25">
      <c r="A69" s="71"/>
      <c r="B69" s="72">
        <v>2</v>
      </c>
      <c r="C69" s="71" t="s">
        <v>453</v>
      </c>
      <c r="D69" s="55"/>
      <c r="E69" s="50"/>
      <c r="F69" s="50"/>
      <c r="G69" s="50"/>
      <c r="H69" s="49">
        <f>Source!AN33</f>
        <v>10.42</v>
      </c>
      <c r="I69" s="56">
        <f>ROUND(0.8,7)</f>
        <v>0.8</v>
      </c>
      <c r="J69" s="57">
        <f>ROUND(Source!AE33*Source!I33,2)</f>
        <v>20.68</v>
      </c>
      <c r="K69" s="56">
        <f>IF(Source!BS33&lt;&gt;0,Source!BS33,1)</f>
        <v>36.47</v>
      </c>
      <c r="L69" s="57">
        <f>Source!HI33</f>
        <v>754.2</v>
      </c>
    </row>
    <row r="70" spans="1:12" ht="14.25">
      <c r="A70" s="71"/>
      <c r="B70" s="72">
        <v>4</v>
      </c>
      <c r="C70" s="71" t="s">
        <v>454</v>
      </c>
      <c r="D70" s="55"/>
      <c r="E70" s="50"/>
      <c r="F70" s="50"/>
      <c r="G70" s="50"/>
      <c r="H70" s="49">
        <f>Source!AL33</f>
        <v>28862.05</v>
      </c>
      <c r="I70" s="56">
        <f>ROUND(0,7)</f>
        <v>0</v>
      </c>
      <c r="J70" s="49">
        <f>ROUND(Source!AC33*Source!I33,2)</f>
        <v>0</v>
      </c>
      <c r="K70" s="56"/>
      <c r="L70" s="49"/>
    </row>
    <row r="71" spans="1:12" ht="14.25">
      <c r="A71" s="71"/>
      <c r="B71" s="71"/>
      <c r="C71" s="71" t="s">
        <v>455</v>
      </c>
      <c r="D71" s="55" t="s">
        <v>456</v>
      </c>
      <c r="E71" s="50">
        <f>Source!AQ33</f>
        <v>57.38</v>
      </c>
      <c r="F71" s="50">
        <f>ROUND(0.8,7)</f>
        <v>0.8</v>
      </c>
      <c r="G71" s="101">
        <f>ROUND(Source!U33,7)</f>
        <v>113.84192</v>
      </c>
      <c r="H71" s="49"/>
      <c r="I71" s="56"/>
      <c r="J71" s="49"/>
      <c r="K71" s="56"/>
      <c r="L71" s="49"/>
    </row>
    <row r="72" spans="1:12" ht="14.25">
      <c r="A72" s="71"/>
      <c r="B72" s="71"/>
      <c r="C72" s="73" t="s">
        <v>457</v>
      </c>
      <c r="D72" s="58" t="s">
        <v>456</v>
      </c>
      <c r="E72" s="59">
        <f>Source!AR33</f>
        <v>0.88</v>
      </c>
      <c r="F72" s="59">
        <f>ROUND(0.8,7)</f>
        <v>0.8</v>
      </c>
      <c r="G72" s="102">
        <f>ROUND(Source!V33,7)</f>
        <v>1.74592</v>
      </c>
      <c r="H72" s="60"/>
      <c r="I72" s="61"/>
      <c r="J72" s="60"/>
      <c r="K72" s="61"/>
      <c r="L72" s="60"/>
    </row>
    <row r="73" spans="1:12" ht="14.25">
      <c r="A73" s="71"/>
      <c r="B73" s="71"/>
      <c r="C73" s="71" t="s">
        <v>458</v>
      </c>
      <c r="D73" s="55"/>
      <c r="E73" s="50"/>
      <c r="F73" s="50"/>
      <c r="G73" s="50"/>
      <c r="H73" s="49">
        <f>H67+H68+H70</f>
        <v>29413.36</v>
      </c>
      <c r="I73" s="56"/>
      <c r="J73" s="49">
        <f>J67+J68+J70</f>
        <v>1093.8</v>
      </c>
      <c r="K73" s="56"/>
      <c r="L73" s="49"/>
    </row>
    <row r="74" spans="1:12" ht="14.25">
      <c r="A74" s="71"/>
      <c r="B74" s="71"/>
      <c r="C74" s="71" t="s">
        <v>459</v>
      </c>
      <c r="D74" s="55"/>
      <c r="E74" s="50"/>
      <c r="F74" s="50"/>
      <c r="G74" s="50"/>
      <c r="H74" s="49"/>
      <c r="I74" s="56"/>
      <c r="J74" s="49">
        <f>SUM(Q64:Q77)+SUM(V64:V77)+SUM(X64:X77)+SUM(Y64:Y77)</f>
        <v>983.76</v>
      </c>
      <c r="K74" s="56"/>
      <c r="L74" s="49">
        <f>SUM(U64:U77)+SUM(W64:W77)+SUM(Z64:Z77)+SUM(AA64:AA77)</f>
        <v>35877.729999999996</v>
      </c>
    </row>
    <row r="75" spans="1:12" ht="14.25">
      <c r="A75" s="71"/>
      <c r="B75" s="71" t="s">
        <v>46</v>
      </c>
      <c r="C75" s="71" t="s">
        <v>460</v>
      </c>
      <c r="D75" s="55" t="s">
        <v>461</v>
      </c>
      <c r="E75" s="50">
        <f>Source!BZ33</f>
        <v>112</v>
      </c>
      <c r="F75" s="50"/>
      <c r="G75" s="50">
        <f>Source!AT33</f>
        <v>112</v>
      </c>
      <c r="H75" s="49"/>
      <c r="I75" s="56"/>
      <c r="J75" s="49">
        <f>SUM(AG64:AG77)</f>
        <v>1101.81</v>
      </c>
      <c r="K75" s="56"/>
      <c r="L75" s="49">
        <f>SUM(AH64:AH77)</f>
        <v>40183.06</v>
      </c>
    </row>
    <row r="76" spans="1:12" ht="14.25">
      <c r="A76" s="73"/>
      <c r="B76" s="73" t="s">
        <v>47</v>
      </c>
      <c r="C76" s="73" t="s">
        <v>462</v>
      </c>
      <c r="D76" s="58" t="s">
        <v>461</v>
      </c>
      <c r="E76" s="59">
        <f>Source!CA33</f>
        <v>65</v>
      </c>
      <c r="F76" s="59"/>
      <c r="G76" s="59">
        <f>Source!AU33</f>
        <v>65</v>
      </c>
      <c r="H76" s="60"/>
      <c r="I76" s="61"/>
      <c r="J76" s="60">
        <f>SUM(AI64:AI77)</f>
        <v>639.44</v>
      </c>
      <c r="K76" s="61"/>
      <c r="L76" s="60">
        <f>SUM(AJ64:AJ77)</f>
        <v>23320.52</v>
      </c>
    </row>
    <row r="77" spans="3:53" ht="15">
      <c r="C77" s="106" t="s">
        <v>463</v>
      </c>
      <c r="D77" s="106"/>
      <c r="E77" s="106"/>
      <c r="F77" s="106"/>
      <c r="G77" s="106"/>
      <c r="H77" s="106"/>
      <c r="I77" s="106">
        <f>J67+J68+J70+J75+J76</f>
        <v>2835.0499999999997</v>
      </c>
      <c r="J77" s="106"/>
      <c r="O77" s="47">
        <f>I77</f>
        <v>2835.0499999999997</v>
      </c>
      <c r="P77">
        <f>K77</f>
        <v>0</v>
      </c>
      <c r="Q77" s="47">
        <f>J67</f>
        <v>963.08</v>
      </c>
      <c r="R77" s="47">
        <f>J67</f>
        <v>963.08</v>
      </c>
      <c r="U77" s="47">
        <f>L67</f>
        <v>35123.53</v>
      </c>
      <c r="X77" s="47">
        <f>J69</f>
        <v>20.68</v>
      </c>
      <c r="Z77" s="47">
        <f>L69</f>
        <v>754.2</v>
      </c>
      <c r="AB77" s="47">
        <f>J68</f>
        <v>130.72</v>
      </c>
      <c r="AD77" s="47">
        <f>L68</f>
        <v>0</v>
      </c>
      <c r="AF77" s="47">
        <f>J70</f>
        <v>0</v>
      </c>
      <c r="AN77">
        <f>IF(Source!BI33&lt;=1,J67+J68+J70+J75+J76,0)</f>
        <v>2835.0499999999997</v>
      </c>
      <c r="AO77">
        <f>IF(Source!BI33&lt;=1,J70,0)</f>
        <v>0</v>
      </c>
      <c r="AP77">
        <f>IF(Source!BI33&lt;=1,J68,0)</f>
        <v>130.72</v>
      </c>
      <c r="AQ77">
        <f>IF(Source!BI33&lt;=1,J67,0)</f>
        <v>963.08</v>
      </c>
      <c r="AX77">
        <f>IF(Source!BI33=2,J67+J68+J70+J75+J76,0)</f>
        <v>0</v>
      </c>
      <c r="AY77">
        <f>IF(Source!BI33=2,J70,0)</f>
        <v>0</v>
      </c>
      <c r="AZ77">
        <f>IF(Source!BI33=2,J68,0)</f>
        <v>0</v>
      </c>
      <c r="BA77">
        <f>IF(Source!BI33=2,J67,0)</f>
        <v>0</v>
      </c>
    </row>
    <row r="78" spans="1:56" ht="14.25">
      <c r="A78" s="71">
        <v>3</v>
      </c>
      <c r="B78" s="71" t="str">
        <f>Source!F35</f>
        <v>46-04-010-03</v>
      </c>
      <c r="C78" s="71" t="str">
        <f>Source!G35</f>
        <v>Разборка покрытий полов: паркетных</v>
      </c>
      <c r="D78" s="55" t="str">
        <f>Source!H35</f>
        <v>100 м2</v>
      </c>
      <c r="E78" s="50">
        <f>Source!K35</f>
        <v>2.76</v>
      </c>
      <c r="F78" s="50"/>
      <c r="G78" s="50">
        <f>Source!I35</f>
        <v>2.76</v>
      </c>
      <c r="H78" s="49"/>
      <c r="I78" s="56"/>
      <c r="J78" s="49"/>
      <c r="K78" s="56"/>
      <c r="L78" s="49"/>
      <c r="AG78">
        <f>Source!X35</f>
        <v>961.04</v>
      </c>
      <c r="AH78">
        <f>Source!HK35</f>
        <v>35049.2</v>
      </c>
      <c r="AI78">
        <f>Source!Y35</f>
        <v>549.17</v>
      </c>
      <c r="AJ78">
        <f>Source!HL35</f>
        <v>20028.11</v>
      </c>
      <c r="AS78">
        <f>IF(Source!BI35&lt;=1,AH78,0)</f>
        <v>35049.2</v>
      </c>
      <c r="AT78">
        <f>IF(Source!BI35&lt;=1,AJ78,0)</f>
        <v>20028.11</v>
      </c>
      <c r="BC78">
        <f>IF(Source!BI35=2,AH78,0)</f>
        <v>0</v>
      </c>
      <c r="BD78">
        <f>IF(Source!BI35=2,AJ78,0)</f>
        <v>0</v>
      </c>
    </row>
    <row r="80" ht="12.75">
      <c r="C80" s="45" t="str">
        <f>"Объем: "&amp;Source!K35&amp;"=276/"&amp;"100"</f>
        <v>Объем: 2,76=276/100</v>
      </c>
    </row>
    <row r="81" spans="1:12" ht="14.25">
      <c r="A81" s="71"/>
      <c r="B81" s="72">
        <v>1</v>
      </c>
      <c r="C81" s="71" t="s">
        <v>451</v>
      </c>
      <c r="D81" s="55"/>
      <c r="E81" s="50"/>
      <c r="F81" s="50"/>
      <c r="G81" s="50"/>
      <c r="H81" s="49">
        <f>Source!AO35</f>
        <v>358.88</v>
      </c>
      <c r="I81" s="56"/>
      <c r="J81" s="49">
        <f>ROUND(Source!AF35*Source!I35,2)</f>
        <v>990.51</v>
      </c>
      <c r="K81" s="56">
        <f>IF(Source!BA35&lt;&gt;0,Source!BA35,1)</f>
        <v>36.47</v>
      </c>
      <c r="L81" s="49">
        <f>Source!HJ35</f>
        <v>36123.9</v>
      </c>
    </row>
    <row r="82" spans="1:12" ht="14.25">
      <c r="A82" s="71"/>
      <c r="B82" s="72">
        <v>3</v>
      </c>
      <c r="C82" s="71" t="s">
        <v>452</v>
      </c>
      <c r="D82" s="55"/>
      <c r="E82" s="50"/>
      <c r="F82" s="50"/>
      <c r="G82" s="50"/>
      <c r="H82" s="49">
        <f>Source!AM35</f>
        <v>55.02</v>
      </c>
      <c r="I82" s="56"/>
      <c r="J82" s="49">
        <f>ROUND((((Source!ET35)-(Source!EU35))+Source!AE35)*Source!I35,2)</f>
        <v>151.86</v>
      </c>
      <c r="K82" s="56"/>
      <c r="L82" s="49"/>
    </row>
    <row r="83" spans="1:12" ht="14.25">
      <c r="A83" s="71"/>
      <c r="B83" s="72">
        <v>2</v>
      </c>
      <c r="C83" s="71" t="s">
        <v>453</v>
      </c>
      <c r="D83" s="55"/>
      <c r="E83" s="50"/>
      <c r="F83" s="50"/>
      <c r="G83" s="50"/>
      <c r="H83" s="49">
        <f>Source!AN35</f>
        <v>23.76</v>
      </c>
      <c r="I83" s="56"/>
      <c r="J83" s="57">
        <f>ROUND(Source!AE35*Source!I35,2)</f>
        <v>65.58</v>
      </c>
      <c r="K83" s="56">
        <f>IF(Source!BS35&lt;&gt;0,Source!BS35,1)</f>
        <v>36.47</v>
      </c>
      <c r="L83" s="57">
        <f>Source!HI35</f>
        <v>2391.7</v>
      </c>
    </row>
    <row r="84" spans="1:12" ht="14.25">
      <c r="A84" s="71"/>
      <c r="B84" s="72">
        <v>4</v>
      </c>
      <c r="C84" s="71" t="s">
        <v>454</v>
      </c>
      <c r="D84" s="55"/>
      <c r="E84" s="50"/>
      <c r="F84" s="50"/>
      <c r="G84" s="50"/>
      <c r="H84" s="49">
        <f>Source!AL35</f>
        <v>0</v>
      </c>
      <c r="I84" s="56"/>
      <c r="J84" s="49">
        <f>ROUND(Source!AC35*Source!I35,2)</f>
        <v>0</v>
      </c>
      <c r="K84" s="56"/>
      <c r="L84" s="49"/>
    </row>
    <row r="85" spans="1:12" ht="14.25">
      <c r="A85" s="71"/>
      <c r="B85" s="71"/>
      <c r="C85" s="71" t="s">
        <v>455</v>
      </c>
      <c r="D85" s="55" t="s">
        <v>456</v>
      </c>
      <c r="E85" s="50">
        <f>Source!AQ35</f>
        <v>46.01</v>
      </c>
      <c r="F85" s="50"/>
      <c r="G85" s="101">
        <f>ROUND(Source!U35,7)</f>
        <v>126.9876</v>
      </c>
      <c r="H85" s="49"/>
      <c r="I85" s="56"/>
      <c r="J85" s="49"/>
      <c r="K85" s="56"/>
      <c r="L85" s="49"/>
    </row>
    <row r="86" spans="1:12" ht="14.25">
      <c r="A86" s="71"/>
      <c r="B86" s="71"/>
      <c r="C86" s="73" t="s">
        <v>457</v>
      </c>
      <c r="D86" s="58" t="s">
        <v>456</v>
      </c>
      <c r="E86" s="59">
        <f>Source!AR35</f>
        <v>1.76</v>
      </c>
      <c r="F86" s="59"/>
      <c r="G86" s="102">
        <f>ROUND(Source!V35,7)</f>
        <v>4.8576</v>
      </c>
      <c r="H86" s="60"/>
      <c r="I86" s="61"/>
      <c r="J86" s="60"/>
      <c r="K86" s="61"/>
      <c r="L86" s="60"/>
    </row>
    <row r="87" spans="1:12" ht="14.25">
      <c r="A87" s="71"/>
      <c r="B87" s="71"/>
      <c r="C87" s="71" t="s">
        <v>458</v>
      </c>
      <c r="D87" s="55"/>
      <c r="E87" s="50"/>
      <c r="F87" s="50"/>
      <c r="G87" s="50"/>
      <c r="H87" s="49">
        <f>H81+H82+H84</f>
        <v>413.9</v>
      </c>
      <c r="I87" s="56"/>
      <c r="J87" s="49">
        <f>J81+J82+J84</f>
        <v>1142.37</v>
      </c>
      <c r="K87" s="56"/>
      <c r="L87" s="49"/>
    </row>
    <row r="88" spans="1:56" ht="14.25">
      <c r="A88" s="71" t="s">
        <v>57</v>
      </c>
      <c r="B88" s="71" t="str">
        <f>Source!F37</f>
        <v>999-9900</v>
      </c>
      <c r="C88" s="71" t="str">
        <f>Source!G37</f>
        <v>Строительный мусор</v>
      </c>
      <c r="D88" s="55" t="str">
        <f>Source!H37</f>
        <v>т</v>
      </c>
      <c r="E88" s="50">
        <f>SmtRes!AT32</f>
        <v>2.8</v>
      </c>
      <c r="F88" s="50"/>
      <c r="G88" s="50">
        <f>Source!I37</f>
        <v>7.728</v>
      </c>
      <c r="H88" s="49">
        <f>Source!AL37+Source!AO37+Source!AM37</f>
        <v>0</v>
      </c>
      <c r="I88" s="56"/>
      <c r="J88" s="49">
        <f>ROUND(Source!AC37*Source!I37,2)+ROUND((((Source!ET37)-(Source!EU37))+Source!AE37)*Source!I37,2)+ROUND(Source!AF37*Source!I37,2)</f>
        <v>0</v>
      </c>
      <c r="K88" s="56"/>
      <c r="L88" s="49"/>
      <c r="AF88" s="47">
        <f>J88</f>
        <v>0</v>
      </c>
      <c r="AG88">
        <f>Source!X37</f>
        <v>0</v>
      </c>
      <c r="AH88">
        <f>Source!HK37</f>
        <v>0</v>
      </c>
      <c r="AI88">
        <f>Source!Y37</f>
        <v>0</v>
      </c>
      <c r="AJ88">
        <f>Source!HL37</f>
        <v>0</v>
      </c>
      <c r="AN88">
        <f>IF(Source!BI37&lt;=1,J88,0)</f>
        <v>0</v>
      </c>
      <c r="AO88">
        <f>IF(Source!BI37&lt;=1,J88,0)</f>
        <v>0</v>
      </c>
      <c r="AS88">
        <f>IF(Source!BI37&lt;=1,AH88,0)</f>
        <v>0</v>
      </c>
      <c r="AT88">
        <f>IF(Source!BI37&lt;=1,AJ88,0)</f>
        <v>0</v>
      </c>
      <c r="AX88">
        <f>IF(Source!BI37=2,J88,0)</f>
        <v>0</v>
      </c>
      <c r="AY88">
        <f>IF(Source!BI37=2,J88,0)</f>
        <v>0</v>
      </c>
      <c r="BC88">
        <f>IF(Source!BI37=2,AH88,0)</f>
        <v>0</v>
      </c>
      <c r="BD88">
        <f>IF(Source!BI37=2,AJ88,0)</f>
        <v>0</v>
      </c>
    </row>
    <row r="89" spans="1:12" ht="14.25">
      <c r="A89" s="71"/>
      <c r="B89" s="71"/>
      <c r="C89" s="71" t="s">
        <v>459</v>
      </c>
      <c r="D89" s="55"/>
      <c r="E89" s="50"/>
      <c r="F89" s="50"/>
      <c r="G89" s="50"/>
      <c r="H89" s="49"/>
      <c r="I89" s="56"/>
      <c r="J89" s="49">
        <f>SUM(Q78:Q92)+SUM(V78:V92)+SUM(X78:X92)+SUM(Y78:Y92)</f>
        <v>1056.09</v>
      </c>
      <c r="K89" s="56"/>
      <c r="L89" s="49">
        <f>SUM(U78:U92)+SUM(W78:W92)+SUM(Z78:Z92)+SUM(AA78:AA92)</f>
        <v>38515.6</v>
      </c>
    </row>
    <row r="90" spans="1:12" ht="71.25">
      <c r="A90" s="71"/>
      <c r="B90" s="71" t="s">
        <v>55</v>
      </c>
      <c r="C90" s="71" t="s">
        <v>465</v>
      </c>
      <c r="D90" s="55" t="s">
        <v>461</v>
      </c>
      <c r="E90" s="50">
        <f>Source!BZ35</f>
        <v>91</v>
      </c>
      <c r="F90" s="50"/>
      <c r="G90" s="50">
        <f>Source!AT35</f>
        <v>91</v>
      </c>
      <c r="H90" s="49"/>
      <c r="I90" s="56"/>
      <c r="J90" s="49">
        <f>SUM(AG78:AG92)</f>
        <v>961.04</v>
      </c>
      <c r="K90" s="56"/>
      <c r="L90" s="49">
        <f>SUM(AH78:AH92)</f>
        <v>35049.2</v>
      </c>
    </row>
    <row r="91" spans="1:12" ht="71.25">
      <c r="A91" s="73"/>
      <c r="B91" s="73" t="s">
        <v>56</v>
      </c>
      <c r="C91" s="73" t="s">
        <v>466</v>
      </c>
      <c r="D91" s="58" t="s">
        <v>461</v>
      </c>
      <c r="E91" s="59">
        <f>Source!CA35</f>
        <v>52</v>
      </c>
      <c r="F91" s="59"/>
      <c r="G91" s="59">
        <f>Source!AU35</f>
        <v>52</v>
      </c>
      <c r="H91" s="60"/>
      <c r="I91" s="61"/>
      <c r="J91" s="60">
        <f>SUM(AI78:AI92)</f>
        <v>549.17</v>
      </c>
      <c r="K91" s="61"/>
      <c r="L91" s="60">
        <f>SUM(AJ78:AJ92)</f>
        <v>20028.11</v>
      </c>
    </row>
    <row r="92" spans="3:53" ht="15">
      <c r="C92" s="106" t="s">
        <v>463</v>
      </c>
      <c r="D92" s="106"/>
      <c r="E92" s="106"/>
      <c r="F92" s="106"/>
      <c r="G92" s="106"/>
      <c r="H92" s="106"/>
      <c r="I92" s="106">
        <f>J81+J82+J84+J90+J91+SUM(J88:J88)</f>
        <v>2652.58</v>
      </c>
      <c r="J92" s="106"/>
      <c r="O92" s="47">
        <f>I92</f>
        <v>2652.58</v>
      </c>
      <c r="P92">
        <f>K92</f>
        <v>0</v>
      </c>
      <c r="Q92" s="47">
        <f>J81</f>
        <v>990.51</v>
      </c>
      <c r="R92" s="47">
        <f>J81</f>
        <v>990.51</v>
      </c>
      <c r="U92" s="47">
        <f>L81</f>
        <v>36123.9</v>
      </c>
      <c r="X92" s="47">
        <f>J83</f>
        <v>65.58</v>
      </c>
      <c r="Z92" s="47">
        <f>L83</f>
        <v>2391.7</v>
      </c>
      <c r="AB92" s="47">
        <f>J82</f>
        <v>151.86</v>
      </c>
      <c r="AD92" s="47">
        <f>L82</f>
        <v>0</v>
      </c>
      <c r="AF92" s="47">
        <f>J84</f>
        <v>0</v>
      </c>
      <c r="AN92">
        <f>IF(Source!BI35&lt;=1,J81+J82+J84+J90+J91,0)</f>
        <v>2652.58</v>
      </c>
      <c r="AO92">
        <f>IF(Source!BI35&lt;=1,J84,0)</f>
        <v>0</v>
      </c>
      <c r="AP92">
        <f>IF(Source!BI35&lt;=1,J82,0)</f>
        <v>151.86</v>
      </c>
      <c r="AQ92">
        <f>IF(Source!BI35&lt;=1,J81,0)</f>
        <v>990.51</v>
      </c>
      <c r="AX92">
        <f>IF(Source!BI35=2,J81+J82+J84+J90+J91,0)</f>
        <v>0</v>
      </c>
      <c r="AY92">
        <f>IF(Source!BI35=2,J84,0)</f>
        <v>0</v>
      </c>
      <c r="AZ92">
        <f>IF(Source!BI35=2,J82,0)</f>
        <v>0</v>
      </c>
      <c r="BA92">
        <f>IF(Source!BI35=2,J81,0)</f>
        <v>0</v>
      </c>
    </row>
    <row r="93" spans="1:56" ht="28.5">
      <c r="A93" s="71">
        <v>4</v>
      </c>
      <c r="B93" s="71" t="str">
        <f>Source!F39</f>
        <v>57-2-4</v>
      </c>
      <c r="C93" s="71" t="str">
        <f>Source!G39</f>
        <v>Разборка покрытий полов: цементных толщиной 150 мм</v>
      </c>
      <c r="D93" s="55" t="str">
        <f>Source!H39</f>
        <v>100 м2</v>
      </c>
      <c r="E93" s="50">
        <f>Source!K39</f>
        <v>5.23</v>
      </c>
      <c r="F93" s="50"/>
      <c r="G93" s="50">
        <f>Source!I39</f>
        <v>5.23</v>
      </c>
      <c r="H93" s="49"/>
      <c r="I93" s="56"/>
      <c r="J93" s="49"/>
      <c r="K93" s="56"/>
      <c r="L93" s="49"/>
      <c r="AG93">
        <f>Source!X39</f>
        <v>4528.28</v>
      </c>
      <c r="AH93">
        <f>Source!HK39</f>
        <v>165146.2</v>
      </c>
      <c r="AI93">
        <f>Source!Y39</f>
        <v>2493.1</v>
      </c>
      <c r="AJ93">
        <f>Source!HL39</f>
        <v>90923.19</v>
      </c>
      <c r="AS93">
        <f>IF(Source!BI39&lt;=1,AH93,0)</f>
        <v>165146.2</v>
      </c>
      <c r="AT93">
        <f>IF(Source!BI39&lt;=1,AJ93,0)</f>
        <v>90923.19</v>
      </c>
      <c r="BC93">
        <f>IF(Source!BI39=2,AH93,0)</f>
        <v>0</v>
      </c>
      <c r="BD93">
        <f>IF(Source!BI39=2,AJ93,0)</f>
        <v>0</v>
      </c>
    </row>
    <row r="95" ht="12.75">
      <c r="C95" s="45" t="str">
        <f>"Объем: "&amp;Source!K39&amp;"=523/"&amp;"100"</f>
        <v>Объем: 5,23=523/100</v>
      </c>
    </row>
    <row r="96" spans="1:12" ht="14.25">
      <c r="A96" s="71"/>
      <c r="B96" s="72">
        <v>1</v>
      </c>
      <c r="C96" s="71" t="s">
        <v>451</v>
      </c>
      <c r="D96" s="55"/>
      <c r="E96" s="50"/>
      <c r="F96" s="50"/>
      <c r="G96" s="50"/>
      <c r="H96" s="49">
        <f>Source!AO39</f>
        <v>948.54</v>
      </c>
      <c r="I96" s="56"/>
      <c r="J96" s="49">
        <f>ROUND(Source!AF39*Source!I39,2)</f>
        <v>4960.86</v>
      </c>
      <c r="K96" s="56">
        <f>IF(Source!BA39&lt;&gt;0,Source!BA39,1)</f>
        <v>36.47</v>
      </c>
      <c r="L96" s="49">
        <f>Source!HJ39</f>
        <v>180922.56</v>
      </c>
    </row>
    <row r="97" spans="1:12" ht="14.25">
      <c r="A97" s="71"/>
      <c r="B97" s="72">
        <v>3</v>
      </c>
      <c r="C97" s="71" t="s">
        <v>452</v>
      </c>
      <c r="D97" s="55"/>
      <c r="E97" s="50"/>
      <c r="F97" s="50"/>
      <c r="G97" s="50"/>
      <c r="H97" s="49">
        <f>Source!AM39</f>
        <v>1052.17</v>
      </c>
      <c r="I97" s="56"/>
      <c r="J97" s="49">
        <f>ROUND((((Source!ET39)-(Source!EU39))+Source!AE39)*Source!I39,2)</f>
        <v>5502.85</v>
      </c>
      <c r="K97" s="56"/>
      <c r="L97" s="49"/>
    </row>
    <row r="98" spans="1:12" ht="14.25">
      <c r="A98" s="71"/>
      <c r="B98" s="72">
        <v>2</v>
      </c>
      <c r="C98" s="71" t="s">
        <v>453</v>
      </c>
      <c r="D98" s="55"/>
      <c r="E98" s="50"/>
      <c r="F98" s="50"/>
      <c r="G98" s="50"/>
      <c r="H98" s="49">
        <f>Source!AN39</f>
        <v>24.3</v>
      </c>
      <c r="I98" s="56"/>
      <c r="J98" s="57">
        <f>ROUND(Source!AE39*Source!I39,2)</f>
        <v>127.09</v>
      </c>
      <c r="K98" s="56">
        <f>IF(Source!BS39&lt;&gt;0,Source!BS39,1)</f>
        <v>36.47</v>
      </c>
      <c r="L98" s="57">
        <f>Source!HI39</f>
        <v>4634.97</v>
      </c>
    </row>
    <row r="99" spans="1:12" ht="14.25">
      <c r="A99" s="71"/>
      <c r="B99" s="72">
        <v>4</v>
      </c>
      <c r="C99" s="71" t="s">
        <v>454</v>
      </c>
      <c r="D99" s="55"/>
      <c r="E99" s="50"/>
      <c r="F99" s="50"/>
      <c r="G99" s="50"/>
      <c r="H99" s="49">
        <f>Source!AL39</f>
        <v>0</v>
      </c>
      <c r="I99" s="56"/>
      <c r="J99" s="49">
        <f>ROUND(Source!AC39*Source!I39,2)</f>
        <v>0</v>
      </c>
      <c r="K99" s="56"/>
      <c r="L99" s="49"/>
    </row>
    <row r="100" spans="1:12" ht="14.25">
      <c r="A100" s="71"/>
      <c r="B100" s="71"/>
      <c r="C100" s="71" t="s">
        <v>455</v>
      </c>
      <c r="D100" s="55" t="s">
        <v>456</v>
      </c>
      <c r="E100" s="50">
        <f>Source!AQ39</f>
        <v>111.2</v>
      </c>
      <c r="F100" s="50"/>
      <c r="G100" s="101">
        <f>ROUND(Source!U39,7)</f>
        <v>581.576</v>
      </c>
      <c r="H100" s="49"/>
      <c r="I100" s="56"/>
      <c r="J100" s="49"/>
      <c r="K100" s="56"/>
      <c r="L100" s="49"/>
    </row>
    <row r="101" spans="1:12" ht="14.25">
      <c r="A101" s="71"/>
      <c r="B101" s="71"/>
      <c r="C101" s="73" t="s">
        <v>457</v>
      </c>
      <c r="D101" s="58" t="s">
        <v>456</v>
      </c>
      <c r="E101" s="59">
        <f>Source!AR39</f>
        <v>1.8</v>
      </c>
      <c r="F101" s="59"/>
      <c r="G101" s="102">
        <f>ROUND(Source!V39,7)</f>
        <v>9.414</v>
      </c>
      <c r="H101" s="60"/>
      <c r="I101" s="61"/>
      <c r="J101" s="60"/>
      <c r="K101" s="61"/>
      <c r="L101" s="60"/>
    </row>
    <row r="102" spans="1:12" ht="14.25">
      <c r="A102" s="71"/>
      <c r="B102" s="71"/>
      <c r="C102" s="71" t="s">
        <v>458</v>
      </c>
      <c r="D102" s="55"/>
      <c r="E102" s="50"/>
      <c r="F102" s="50"/>
      <c r="G102" s="50"/>
      <c r="H102" s="49">
        <f>H96+H97+H99</f>
        <v>2000.71</v>
      </c>
      <c r="I102" s="56"/>
      <c r="J102" s="49">
        <f>J96+J97+J99</f>
        <v>10463.71</v>
      </c>
      <c r="K102" s="56"/>
      <c r="L102" s="49"/>
    </row>
    <row r="103" spans="1:56" ht="14.25">
      <c r="A103" s="71" t="s">
        <v>62</v>
      </c>
      <c r="B103" s="71" t="str">
        <f>Source!F41</f>
        <v>999-9900</v>
      </c>
      <c r="C103" s="71" t="str">
        <f>Source!G41</f>
        <v>Строительный мусор</v>
      </c>
      <c r="D103" s="55" t="str">
        <f>Source!H41</f>
        <v>т</v>
      </c>
      <c r="E103" s="50">
        <f>SmtRes!AT44</f>
        <v>33</v>
      </c>
      <c r="F103" s="50"/>
      <c r="G103" s="50">
        <f>Source!I41</f>
        <v>172.59</v>
      </c>
      <c r="H103" s="49">
        <f>Source!AL41+Source!AO41+Source!AM41</f>
        <v>0</v>
      </c>
      <c r="I103" s="56"/>
      <c r="J103" s="49">
        <f>ROUND(Source!AC41*Source!I41,2)+ROUND((((Source!ET41)-(Source!EU41))+Source!AE41)*Source!I41,2)+ROUND(Source!AF41*Source!I41,2)</f>
        <v>0</v>
      </c>
      <c r="K103" s="56"/>
      <c r="L103" s="49"/>
      <c r="AF103" s="47">
        <f>J103</f>
        <v>0</v>
      </c>
      <c r="AG103">
        <f>Source!X41</f>
        <v>0</v>
      </c>
      <c r="AH103">
        <f>Source!HK41</f>
        <v>0</v>
      </c>
      <c r="AI103">
        <f>Source!Y41</f>
        <v>0</v>
      </c>
      <c r="AJ103">
        <f>Source!HL41</f>
        <v>0</v>
      </c>
      <c r="AN103">
        <f>IF(Source!BI41&lt;=1,J103,0)</f>
        <v>0</v>
      </c>
      <c r="AO103">
        <f>IF(Source!BI41&lt;=1,J103,0)</f>
        <v>0</v>
      </c>
      <c r="AS103">
        <f>IF(Source!BI41&lt;=1,AH103,0)</f>
        <v>0</v>
      </c>
      <c r="AT103">
        <f>IF(Source!BI41&lt;=1,AJ103,0)</f>
        <v>0</v>
      </c>
      <c r="AX103">
        <f>IF(Source!BI41=2,J103,0)</f>
        <v>0</v>
      </c>
      <c r="AY103">
        <f>IF(Source!BI41=2,J103,0)</f>
        <v>0</v>
      </c>
      <c r="BC103">
        <f>IF(Source!BI41=2,AH103,0)</f>
        <v>0</v>
      </c>
      <c r="BD103">
        <f>IF(Source!BI41=2,AJ103,0)</f>
        <v>0</v>
      </c>
    </row>
    <row r="104" spans="1:12" ht="14.25">
      <c r="A104" s="71"/>
      <c r="B104" s="71"/>
      <c r="C104" s="71" t="s">
        <v>459</v>
      </c>
      <c r="D104" s="55"/>
      <c r="E104" s="50"/>
      <c r="F104" s="50"/>
      <c r="G104" s="50"/>
      <c r="H104" s="49"/>
      <c r="I104" s="56"/>
      <c r="J104" s="49">
        <f>SUM(Q93:Q107)+SUM(V93:V107)+SUM(X93:X107)+SUM(Y93:Y107)</f>
        <v>5087.95</v>
      </c>
      <c r="K104" s="56"/>
      <c r="L104" s="49">
        <f>SUM(U93:U107)+SUM(W93:W107)+SUM(Z93:Z107)+SUM(AA93:AA107)</f>
        <v>185557.53</v>
      </c>
    </row>
    <row r="105" spans="1:12" ht="14.25">
      <c r="A105" s="71"/>
      <c r="B105" s="71" t="s">
        <v>29</v>
      </c>
      <c r="C105" s="71" t="s">
        <v>460</v>
      </c>
      <c r="D105" s="55" t="s">
        <v>461</v>
      </c>
      <c r="E105" s="50">
        <f>Source!BZ39</f>
        <v>89</v>
      </c>
      <c r="F105" s="50"/>
      <c r="G105" s="50">
        <f>Source!AT39</f>
        <v>89</v>
      </c>
      <c r="H105" s="49"/>
      <c r="I105" s="56"/>
      <c r="J105" s="49">
        <f>SUM(AG93:AG107)</f>
        <v>4528.28</v>
      </c>
      <c r="K105" s="56"/>
      <c r="L105" s="49">
        <f>SUM(AH93:AH107)</f>
        <v>165146.2</v>
      </c>
    </row>
    <row r="106" spans="1:12" ht="14.25">
      <c r="A106" s="73"/>
      <c r="B106" s="73" t="s">
        <v>30</v>
      </c>
      <c r="C106" s="73" t="s">
        <v>462</v>
      </c>
      <c r="D106" s="58" t="s">
        <v>461</v>
      </c>
      <c r="E106" s="59">
        <f>Source!CA39</f>
        <v>49</v>
      </c>
      <c r="F106" s="59"/>
      <c r="G106" s="59">
        <f>Source!AU39</f>
        <v>49</v>
      </c>
      <c r="H106" s="60"/>
      <c r="I106" s="61"/>
      <c r="J106" s="60">
        <f>SUM(AI93:AI107)</f>
        <v>2493.1</v>
      </c>
      <c r="K106" s="61"/>
      <c r="L106" s="60">
        <f>SUM(AJ93:AJ107)</f>
        <v>90923.19</v>
      </c>
    </row>
    <row r="107" spans="3:53" ht="15">
      <c r="C107" s="106" t="s">
        <v>463</v>
      </c>
      <c r="D107" s="106"/>
      <c r="E107" s="106"/>
      <c r="F107" s="106"/>
      <c r="G107" s="106"/>
      <c r="H107" s="106"/>
      <c r="I107" s="106">
        <f>J96+J97+J99+J105+J106+SUM(J103:J103)</f>
        <v>17485.089999999997</v>
      </c>
      <c r="J107" s="106"/>
      <c r="O107" s="47">
        <f>I107</f>
        <v>17485.089999999997</v>
      </c>
      <c r="P107">
        <f>K107</f>
        <v>0</v>
      </c>
      <c r="Q107" s="47">
        <f>J96</f>
        <v>4960.86</v>
      </c>
      <c r="R107" s="47">
        <f>J96</f>
        <v>4960.86</v>
      </c>
      <c r="U107" s="47">
        <f>L96</f>
        <v>180922.56</v>
      </c>
      <c r="X107" s="47">
        <f>J98</f>
        <v>127.09</v>
      </c>
      <c r="Z107" s="47">
        <f>L98</f>
        <v>4634.97</v>
      </c>
      <c r="AB107" s="47">
        <f>J97</f>
        <v>5502.85</v>
      </c>
      <c r="AD107" s="47">
        <f>L97</f>
        <v>0</v>
      </c>
      <c r="AF107" s="47">
        <f>J99</f>
        <v>0</v>
      </c>
      <c r="AN107">
        <f>IF(Source!BI39&lt;=1,J96+J97+J99+J105+J106,0)</f>
        <v>17485.089999999997</v>
      </c>
      <c r="AO107">
        <f>IF(Source!BI39&lt;=1,J99,0)</f>
        <v>0</v>
      </c>
      <c r="AP107">
        <f>IF(Source!BI39&lt;=1,J97,0)</f>
        <v>5502.85</v>
      </c>
      <c r="AQ107">
        <f>IF(Source!BI39&lt;=1,J96,0)</f>
        <v>4960.86</v>
      </c>
      <c r="AX107">
        <f>IF(Source!BI39=2,J96+J97+J99+J105+J106,0)</f>
        <v>0</v>
      </c>
      <c r="AY107">
        <f>IF(Source!BI39=2,J99,0)</f>
        <v>0</v>
      </c>
      <c r="AZ107">
        <f>IF(Source!BI39=2,J97,0)</f>
        <v>0</v>
      </c>
      <c r="BA107">
        <f>IF(Source!BI39=2,J96,0)</f>
        <v>0</v>
      </c>
    </row>
    <row r="108" spans="1:56" ht="146.25">
      <c r="A108" s="71">
        <v>5</v>
      </c>
      <c r="B108" s="71" t="str">
        <f>Source!F43</f>
        <v>57-2-9</v>
      </c>
      <c r="C108" s="71" t="s">
        <v>467</v>
      </c>
      <c r="D108" s="55" t="str">
        <f>Source!H43</f>
        <v>100 м2</v>
      </c>
      <c r="E108" s="50">
        <f>Source!K43</f>
        <v>5.23</v>
      </c>
      <c r="F108" s="50"/>
      <c r="G108" s="50">
        <f>Source!I43</f>
        <v>5.23</v>
      </c>
      <c r="H108" s="49"/>
      <c r="I108" s="56"/>
      <c r="J108" s="49"/>
      <c r="K108" s="56"/>
      <c r="L108" s="49"/>
      <c r="AG108">
        <f>Source!X43</f>
        <v>-2915.7</v>
      </c>
      <c r="AH108">
        <f>Source!HK43</f>
        <v>-106335.66</v>
      </c>
      <c r="AI108">
        <f>Source!Y43</f>
        <v>-1605.27</v>
      </c>
      <c r="AJ108">
        <f>Source!HL43</f>
        <v>-58544.35</v>
      </c>
      <c r="AS108">
        <f>IF(Source!BI43&lt;=1,AH108,0)</f>
        <v>-106335.66</v>
      </c>
      <c r="AT108">
        <f>IF(Source!BI43&lt;=1,AJ108,0)</f>
        <v>-58544.35</v>
      </c>
      <c r="BC108">
        <f>IF(Source!BI43=2,AH108,0)</f>
        <v>0</v>
      </c>
      <c r="BD108">
        <f>IF(Source!BI43=2,AJ108,0)</f>
        <v>0</v>
      </c>
    </row>
    <row r="110" ht="12.75">
      <c r="C110" s="45" t="str">
        <f>"Объем: "&amp;Source!K43&amp;"=523/"&amp;"100"</f>
        <v>Объем: 5,23=523/100</v>
      </c>
    </row>
    <row r="111" spans="1:12" ht="14.25">
      <c r="A111" s="71"/>
      <c r="B111" s="72">
        <v>1</v>
      </c>
      <c r="C111" s="71" t="s">
        <v>451</v>
      </c>
      <c r="D111" s="55"/>
      <c r="E111" s="50"/>
      <c r="F111" s="50"/>
      <c r="G111" s="50"/>
      <c r="H111" s="49">
        <f>Source!AO43</f>
        <v>23.2</v>
      </c>
      <c r="I111" s="56">
        <f>ROUND((-27),7)</f>
        <v>-27</v>
      </c>
      <c r="J111" s="49">
        <f>ROUND(Source!AF43*Source!I43,2)</f>
        <v>-3276.07</v>
      </c>
      <c r="K111" s="56">
        <f>IF(Source!BA43&lt;&gt;0,Source!BA43,1)</f>
        <v>36.47</v>
      </c>
      <c r="L111" s="49">
        <f>Source!HJ43</f>
        <v>-119478.27</v>
      </c>
    </row>
    <row r="112" spans="1:12" ht="14.25">
      <c r="A112" s="71"/>
      <c r="B112" s="72">
        <v>3</v>
      </c>
      <c r="C112" s="71" t="s">
        <v>452</v>
      </c>
      <c r="D112" s="55"/>
      <c r="E112" s="50"/>
      <c r="F112" s="50"/>
      <c r="G112" s="50"/>
      <c r="H112" s="49">
        <f>Source!AM43</f>
        <v>0</v>
      </c>
      <c r="I112" s="56">
        <f>ROUND((-27),7)</f>
        <v>-27</v>
      </c>
      <c r="J112" s="49">
        <f>ROUND(((((Source!ET43*ROUND(-27,7)))-((Source!EU43*ROUND(-27,7))))+Source!AE43)*Source!I43,2)</f>
        <v>0</v>
      </c>
      <c r="K112" s="56"/>
      <c r="L112" s="49"/>
    </row>
    <row r="113" spans="1:12" ht="14.25">
      <c r="A113" s="71"/>
      <c r="B113" s="72">
        <v>2</v>
      </c>
      <c r="C113" s="71" t="s">
        <v>453</v>
      </c>
      <c r="D113" s="55"/>
      <c r="E113" s="50"/>
      <c r="F113" s="50"/>
      <c r="G113" s="50"/>
      <c r="H113" s="49">
        <f>Source!AN43</f>
        <v>0</v>
      </c>
      <c r="I113" s="56">
        <f>ROUND((-27),7)</f>
        <v>-27</v>
      </c>
      <c r="J113" s="57">
        <f>ROUND(Source!AE43*Source!I43,2)</f>
        <v>0</v>
      </c>
      <c r="K113" s="56">
        <f>IF(Source!BS43&lt;&gt;0,Source!BS43,1)</f>
        <v>36.47</v>
      </c>
      <c r="L113" s="57">
        <f>Source!HI43</f>
        <v>0</v>
      </c>
    </row>
    <row r="114" spans="1:12" ht="14.25">
      <c r="A114" s="71"/>
      <c r="B114" s="72">
        <v>4</v>
      </c>
      <c r="C114" s="71" t="s">
        <v>454</v>
      </c>
      <c r="D114" s="55"/>
      <c r="E114" s="50"/>
      <c r="F114" s="50"/>
      <c r="G114" s="50"/>
      <c r="H114" s="49">
        <f>Source!AL43</f>
        <v>0</v>
      </c>
      <c r="I114" s="56">
        <f>ROUND((-27),7)</f>
        <v>-27</v>
      </c>
      <c r="J114" s="49">
        <f>ROUND(Source!AC43*Source!I43,2)</f>
        <v>0</v>
      </c>
      <c r="K114" s="56"/>
      <c r="L114" s="49"/>
    </row>
    <row r="115" spans="1:12" ht="14.25">
      <c r="A115" s="71"/>
      <c r="B115" s="71"/>
      <c r="C115" s="71" t="s">
        <v>455</v>
      </c>
      <c r="D115" s="55" t="s">
        <v>456</v>
      </c>
      <c r="E115" s="50">
        <f>Source!AQ43</f>
        <v>2.72</v>
      </c>
      <c r="F115" s="50">
        <f>ROUND((-27),7)</f>
        <v>-27</v>
      </c>
      <c r="G115" s="101">
        <f>ROUND(Source!U43,7)</f>
        <v>-384.0912</v>
      </c>
      <c r="H115" s="49"/>
      <c r="I115" s="56"/>
      <c r="J115" s="49"/>
      <c r="K115" s="56"/>
      <c r="L115" s="49"/>
    </row>
    <row r="116" spans="1:12" ht="14.25">
      <c r="A116" s="71"/>
      <c r="B116" s="71"/>
      <c r="C116" s="73" t="s">
        <v>457</v>
      </c>
      <c r="D116" s="58" t="s">
        <v>456</v>
      </c>
      <c r="E116" s="59">
        <f>Source!AR43</f>
        <v>0</v>
      </c>
      <c r="F116" s="59">
        <f>ROUND((-27),7)</f>
        <v>-27</v>
      </c>
      <c r="G116" s="59">
        <f>ROUND(Source!V43,7)</f>
        <v>0</v>
      </c>
      <c r="H116" s="60"/>
      <c r="I116" s="61"/>
      <c r="J116" s="60"/>
      <c r="K116" s="61"/>
      <c r="L116" s="60"/>
    </row>
    <row r="117" spans="1:12" ht="14.25">
      <c r="A117" s="71"/>
      <c r="B117" s="71"/>
      <c r="C117" s="71" t="s">
        <v>458</v>
      </c>
      <c r="D117" s="55"/>
      <c r="E117" s="50"/>
      <c r="F117" s="50"/>
      <c r="G117" s="50"/>
      <c r="H117" s="49">
        <f>H111+H112+H114</f>
        <v>23.2</v>
      </c>
      <c r="I117" s="56"/>
      <c r="J117" s="49">
        <f>J111+J112+J114</f>
        <v>-3276.07</v>
      </c>
      <c r="K117" s="56"/>
      <c r="L117" s="49"/>
    </row>
    <row r="118" spans="1:56" ht="28.5">
      <c r="A118" s="71" t="s">
        <v>68</v>
      </c>
      <c r="B118" s="71" t="str">
        <f>Source!F45</f>
        <v>999-9900</v>
      </c>
      <c r="C118" s="71" t="s">
        <v>468</v>
      </c>
      <c r="D118" s="55" t="str">
        <f>Source!H45</f>
        <v>т</v>
      </c>
      <c r="E118" s="50">
        <f>SmtRes!AT48</f>
        <v>1.1</v>
      </c>
      <c r="F118" s="50">
        <f>ROUND((-27),7)</f>
        <v>-27</v>
      </c>
      <c r="G118" s="101">
        <f>Source!I45</f>
        <v>-155.331</v>
      </c>
      <c r="H118" s="49">
        <f>Source!AL45+Source!AO45+Source!AM45</f>
        <v>0</v>
      </c>
      <c r="I118" s="56"/>
      <c r="J118" s="49">
        <f>ROUND(Source!AC45*Source!I45,2)+ROUND((((Source!ET45)-(Source!EU45))+Source!AE45)*Source!I45,2)+ROUND(Source!AF45*Source!I45,2)</f>
        <v>0</v>
      </c>
      <c r="K118" s="56"/>
      <c r="L118" s="49"/>
      <c r="AF118" s="47">
        <f>J118</f>
        <v>0</v>
      </c>
      <c r="AG118">
        <f>Source!X45</f>
        <v>0</v>
      </c>
      <c r="AH118">
        <f>Source!HK45</f>
        <v>0</v>
      </c>
      <c r="AI118">
        <f>Source!Y45</f>
        <v>0</v>
      </c>
      <c r="AJ118">
        <f>Source!HL45</f>
        <v>0</v>
      </c>
      <c r="AN118">
        <f>IF(Source!BI45&lt;=1,J118,0)</f>
        <v>0</v>
      </c>
      <c r="AO118">
        <f>IF(Source!BI45&lt;=1,J118,0)</f>
        <v>0</v>
      </c>
      <c r="AS118">
        <f>IF(Source!BI45&lt;=1,AH118,0)</f>
        <v>0</v>
      </c>
      <c r="AT118">
        <f>IF(Source!BI45&lt;=1,AJ118,0)</f>
        <v>0</v>
      </c>
      <c r="AX118">
        <f>IF(Source!BI45=2,J118,0)</f>
        <v>0</v>
      </c>
      <c r="AY118">
        <f>IF(Source!BI45=2,J118,0)</f>
        <v>0</v>
      </c>
      <c r="BC118">
        <f>IF(Source!BI45=2,AH118,0)</f>
        <v>0</v>
      </c>
      <c r="BD118">
        <f>IF(Source!BI45=2,AJ118,0)</f>
        <v>0</v>
      </c>
    </row>
    <row r="119" spans="1:12" ht="14.25">
      <c r="A119" s="71"/>
      <c r="B119" s="71"/>
      <c r="C119" s="71" t="s">
        <v>459</v>
      </c>
      <c r="D119" s="55"/>
      <c r="E119" s="50"/>
      <c r="F119" s="50"/>
      <c r="G119" s="50"/>
      <c r="H119" s="49"/>
      <c r="I119" s="56"/>
      <c r="J119" s="49">
        <f>SUM(Q108:Q122)+SUM(V108:V122)+SUM(X108:X122)+SUM(Y108:Y122)</f>
        <v>-3276.07</v>
      </c>
      <c r="K119" s="56"/>
      <c r="L119" s="49">
        <f>SUM(U108:U122)+SUM(W108:W122)+SUM(Z108:Z122)+SUM(AA108:AA122)</f>
        <v>-119478.27</v>
      </c>
    </row>
    <row r="120" spans="1:12" ht="14.25">
      <c r="A120" s="71"/>
      <c r="B120" s="71" t="s">
        <v>29</v>
      </c>
      <c r="C120" s="71" t="s">
        <v>460</v>
      </c>
      <c r="D120" s="55" t="s">
        <v>461</v>
      </c>
      <c r="E120" s="50">
        <f>Source!BZ43</f>
        <v>89</v>
      </c>
      <c r="F120" s="50"/>
      <c r="G120" s="50">
        <f>Source!AT43</f>
        <v>89</v>
      </c>
      <c r="H120" s="49"/>
      <c r="I120" s="56"/>
      <c r="J120" s="49">
        <f>SUM(AG108:AG122)</f>
        <v>-2915.7</v>
      </c>
      <c r="K120" s="56"/>
      <c r="L120" s="49">
        <f>SUM(AH108:AH122)</f>
        <v>-106335.66</v>
      </c>
    </row>
    <row r="121" spans="1:12" ht="14.25">
      <c r="A121" s="73"/>
      <c r="B121" s="73" t="s">
        <v>30</v>
      </c>
      <c r="C121" s="73" t="s">
        <v>462</v>
      </c>
      <c r="D121" s="58" t="s">
        <v>461</v>
      </c>
      <c r="E121" s="59">
        <f>Source!CA43</f>
        <v>49</v>
      </c>
      <c r="F121" s="59"/>
      <c r="G121" s="59">
        <f>Source!AU43</f>
        <v>49</v>
      </c>
      <c r="H121" s="60"/>
      <c r="I121" s="61"/>
      <c r="J121" s="60">
        <f>SUM(AI108:AI122)</f>
        <v>-1605.27</v>
      </c>
      <c r="K121" s="61"/>
      <c r="L121" s="60">
        <f>SUM(AJ108:AJ122)</f>
        <v>-58544.35</v>
      </c>
    </row>
    <row r="122" spans="3:53" ht="15">
      <c r="C122" s="106" t="s">
        <v>463</v>
      </c>
      <c r="D122" s="106"/>
      <c r="E122" s="106"/>
      <c r="F122" s="106"/>
      <c r="G122" s="106"/>
      <c r="H122" s="106"/>
      <c r="I122" s="106">
        <f>J111+J112+J114+J120+J121+SUM(J118:J118)</f>
        <v>-7797.040000000001</v>
      </c>
      <c r="J122" s="106"/>
      <c r="O122" s="47">
        <f>I122</f>
        <v>-7797.040000000001</v>
      </c>
      <c r="P122">
        <f>K122</f>
        <v>0</v>
      </c>
      <c r="Q122" s="47">
        <f>J111</f>
        <v>-3276.07</v>
      </c>
      <c r="R122" s="47">
        <f>J111</f>
        <v>-3276.07</v>
      </c>
      <c r="U122" s="47">
        <f>L111</f>
        <v>-119478.27</v>
      </c>
      <c r="X122" s="47">
        <f>J113</f>
        <v>0</v>
      </c>
      <c r="Z122" s="47">
        <f>L113</f>
        <v>0</v>
      </c>
      <c r="AB122" s="47">
        <f>J112</f>
        <v>0</v>
      </c>
      <c r="AD122" s="47">
        <f>L112</f>
        <v>0</v>
      </c>
      <c r="AF122" s="47">
        <f>J114</f>
        <v>0</v>
      </c>
      <c r="AN122">
        <f>IF(Source!BI43&lt;=1,J111+J112+J114+J120+J121,0)</f>
        <v>-7797.040000000001</v>
      </c>
      <c r="AO122">
        <f>IF(Source!BI43&lt;=1,J114,0)</f>
        <v>0</v>
      </c>
      <c r="AP122">
        <f>IF(Source!BI43&lt;=1,J112,0)</f>
        <v>0</v>
      </c>
      <c r="AQ122">
        <f>IF(Source!BI43&lt;=1,J111,0)</f>
        <v>-3276.07</v>
      </c>
      <c r="AX122">
        <f>IF(Source!BI43=2,J111+J112+J114+J120+J121,0)</f>
        <v>0</v>
      </c>
      <c r="AY122">
        <f>IF(Source!BI43=2,J114,0)</f>
        <v>0</v>
      </c>
      <c r="AZ122">
        <f>IF(Source!BI43=2,J112,0)</f>
        <v>0</v>
      </c>
      <c r="BA122">
        <f>IF(Source!BI43=2,J111,0)</f>
        <v>0</v>
      </c>
    </row>
    <row r="123" spans="1:56" ht="144.75">
      <c r="A123" s="71">
        <v>6</v>
      </c>
      <c r="B123" s="71" t="str">
        <f>Source!F47</f>
        <v>11-01-011-09</v>
      </c>
      <c r="C123" s="71" t="s">
        <v>469</v>
      </c>
      <c r="D123" s="55" t="str">
        <f>Source!H47</f>
        <v>100 м2</v>
      </c>
      <c r="E123" s="50">
        <f>Source!K47</f>
        <v>5.23</v>
      </c>
      <c r="F123" s="50"/>
      <c r="G123" s="50">
        <f>Source!I47</f>
        <v>5.23</v>
      </c>
      <c r="H123" s="49"/>
      <c r="I123" s="56"/>
      <c r="J123" s="49"/>
      <c r="K123" s="56"/>
      <c r="L123" s="49"/>
      <c r="AG123">
        <f>Source!X47</f>
        <v>1358.66</v>
      </c>
      <c r="AH123">
        <f>Source!HK47</f>
        <v>49550.45</v>
      </c>
      <c r="AI123">
        <f>Source!Y47</f>
        <v>744.7</v>
      </c>
      <c r="AJ123">
        <f>Source!HL47</f>
        <v>27159.35</v>
      </c>
      <c r="AS123">
        <f>IF(Source!BI47&lt;=1,AH123,0)</f>
        <v>49550.45</v>
      </c>
      <c r="AT123">
        <f>IF(Source!BI47&lt;=1,AJ123,0)</f>
        <v>27159.35</v>
      </c>
      <c r="BC123">
        <f>IF(Source!BI47=2,AH123,0)</f>
        <v>0</v>
      </c>
      <c r="BD123">
        <f>IF(Source!BI47=2,AJ123,0)</f>
        <v>0</v>
      </c>
    </row>
    <row r="124" spans="2:3" ht="165.75">
      <c r="B124" s="48" t="str">
        <f>Source!EO47</f>
        <v>Поправка: М-ка 421/пр 04.08.20 п.58 п.п. б)</v>
      </c>
      <c r="C124" s="48" t="str">
        <f>Source!CN47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25" ht="12.75">
      <c r="C125" s="45" t="str">
        <f>"Объем: "&amp;Source!K47&amp;"=523/"&amp;"100"</f>
        <v>Объем: 5,23=523/100</v>
      </c>
    </row>
    <row r="126" spans="1:12" ht="14.25">
      <c r="A126" s="71"/>
      <c r="B126" s="72">
        <v>1</v>
      </c>
      <c r="C126" s="71" t="s">
        <v>451</v>
      </c>
      <c r="D126" s="55"/>
      <c r="E126" s="50"/>
      <c r="F126" s="50"/>
      <c r="G126" s="50"/>
      <c r="H126" s="49">
        <f>Source!AO47</f>
        <v>222.97</v>
      </c>
      <c r="I126" s="56">
        <f>ROUND(1.15,7)</f>
        <v>1.15</v>
      </c>
      <c r="J126" s="49">
        <f>ROUND(Source!AF47*Source!I47,2)</f>
        <v>1341.08</v>
      </c>
      <c r="K126" s="56">
        <f>IF(Source!BA47&lt;&gt;0,Source!BA47,1)</f>
        <v>36.47</v>
      </c>
      <c r="L126" s="49">
        <f>Source!HJ47</f>
        <v>48909.19</v>
      </c>
    </row>
    <row r="127" spans="1:12" ht="14.25">
      <c r="A127" s="71"/>
      <c r="B127" s="72">
        <v>3</v>
      </c>
      <c r="C127" s="71" t="s">
        <v>452</v>
      </c>
      <c r="D127" s="55"/>
      <c r="E127" s="50"/>
      <c r="F127" s="50"/>
      <c r="G127" s="50"/>
      <c r="H127" s="49">
        <f>Source!AM47</f>
        <v>12.46</v>
      </c>
      <c r="I127" s="56">
        <f>ROUND(1.25,7)</f>
        <v>1.25</v>
      </c>
      <c r="J127" s="49">
        <f>ROUND(((((Source!ET47*ROUND(1.25,7)))-((Source!EU47*ROUND(1.25,7))))+Source!AE47)*Source!I47,2)</f>
        <v>81.46</v>
      </c>
      <c r="K127" s="56"/>
      <c r="L127" s="49"/>
    </row>
    <row r="128" spans="1:12" ht="14.25">
      <c r="A128" s="71"/>
      <c r="B128" s="72">
        <v>2</v>
      </c>
      <c r="C128" s="71" t="s">
        <v>453</v>
      </c>
      <c r="D128" s="55"/>
      <c r="E128" s="50"/>
      <c r="F128" s="50"/>
      <c r="G128" s="50"/>
      <c r="H128" s="49">
        <f>Source!AN47</f>
        <v>1.04</v>
      </c>
      <c r="I128" s="56">
        <f>ROUND(1.25,7)</f>
        <v>1.25</v>
      </c>
      <c r="J128" s="57">
        <f>ROUND(Source!AE47*Source!I47,2)</f>
        <v>6.8</v>
      </c>
      <c r="K128" s="56">
        <f>IF(Source!BS47&lt;&gt;0,Source!BS47,1)</f>
        <v>36.47</v>
      </c>
      <c r="L128" s="57">
        <f>Source!HI47</f>
        <v>248</v>
      </c>
    </row>
    <row r="129" spans="1:12" ht="14.25">
      <c r="A129" s="71"/>
      <c r="B129" s="72">
        <v>4</v>
      </c>
      <c r="C129" s="71" t="s">
        <v>454</v>
      </c>
      <c r="D129" s="55"/>
      <c r="E129" s="50"/>
      <c r="F129" s="50"/>
      <c r="G129" s="50"/>
      <c r="H129" s="49">
        <f>Source!AL47</f>
        <v>19.79</v>
      </c>
      <c r="I129" s="56"/>
      <c r="J129" s="49">
        <f>ROUND(Source!AC47*Source!I47,2)</f>
        <v>103.5</v>
      </c>
      <c r="K129" s="56"/>
      <c r="L129" s="49"/>
    </row>
    <row r="130" spans="1:12" ht="14.25">
      <c r="A130" s="71"/>
      <c r="B130" s="71"/>
      <c r="C130" s="71" t="s">
        <v>455</v>
      </c>
      <c r="D130" s="55" t="s">
        <v>456</v>
      </c>
      <c r="E130" s="50">
        <f>Source!AQ47</f>
        <v>26.14</v>
      </c>
      <c r="F130" s="50">
        <f>ROUND(1.15,7)</f>
        <v>1.15</v>
      </c>
      <c r="G130" s="101">
        <f>ROUND(Source!U47,7)</f>
        <v>157.21903</v>
      </c>
      <c r="H130" s="49"/>
      <c r="I130" s="56"/>
      <c r="J130" s="49"/>
      <c r="K130" s="56"/>
      <c r="L130" s="49"/>
    </row>
    <row r="131" spans="1:12" ht="14.25">
      <c r="A131" s="71"/>
      <c r="B131" s="71"/>
      <c r="C131" s="73" t="s">
        <v>457</v>
      </c>
      <c r="D131" s="58" t="s">
        <v>456</v>
      </c>
      <c r="E131" s="59">
        <f>Source!AR47</f>
        <v>0.09</v>
      </c>
      <c r="F131" s="59">
        <f>ROUND(1.25,7)</f>
        <v>1.25</v>
      </c>
      <c r="G131" s="102">
        <f>ROUND(Source!V47,7)</f>
        <v>0.588375</v>
      </c>
      <c r="H131" s="60"/>
      <c r="I131" s="61"/>
      <c r="J131" s="60"/>
      <c r="K131" s="61"/>
      <c r="L131" s="60"/>
    </row>
    <row r="132" spans="1:12" ht="14.25">
      <c r="A132" s="71"/>
      <c r="B132" s="71"/>
      <c r="C132" s="71" t="s">
        <v>458</v>
      </c>
      <c r="D132" s="55"/>
      <c r="E132" s="50"/>
      <c r="F132" s="50"/>
      <c r="G132" s="50"/>
      <c r="H132" s="49">
        <f>H126+H127+H129</f>
        <v>255.22</v>
      </c>
      <c r="I132" s="56"/>
      <c r="J132" s="49">
        <f>J126+J127+J129</f>
        <v>1526.04</v>
      </c>
      <c r="K132" s="56"/>
      <c r="L132" s="49"/>
    </row>
    <row r="133" spans="1:56" ht="42.75">
      <c r="A133" s="71" t="s">
        <v>78</v>
      </c>
      <c r="B133" s="71" t="str">
        <f>Source!F49</f>
        <v>04.3.02.01-0502</v>
      </c>
      <c r="C133" s="71" t="str">
        <f>Source!G49</f>
        <v>Смесь самовыравнивающая быстротвердеющая для полов "БИРСС 34Р"</v>
      </c>
      <c r="D133" s="55" t="str">
        <f>Source!H49</f>
        <v>т</v>
      </c>
      <c r="E133" s="101">
        <f>SmtRes!AT66</f>
        <v>0.450947</v>
      </c>
      <c r="F133" s="50"/>
      <c r="G133" s="101">
        <f>Source!I49</f>
        <v>2.358453</v>
      </c>
      <c r="H133" s="49">
        <f>Source!AL49+Source!AO49+Source!AM49</f>
        <v>2682.59</v>
      </c>
      <c r="I133" s="56"/>
      <c r="J133" s="49">
        <f>ROUND(Source!AC49*Source!I49,2)+ROUND((((Source!ET49)-(Source!EU49))+Source!AE49)*Source!I49,2)+ROUND(Source!AF49*Source!I49,2)</f>
        <v>6326.76</v>
      </c>
      <c r="K133" s="56"/>
      <c r="L133" s="49"/>
      <c r="AF133" s="47">
        <f>J133</f>
        <v>6326.76</v>
      </c>
      <c r="AG133">
        <f>Source!X49</f>
        <v>0</v>
      </c>
      <c r="AH133">
        <f>Source!HK49</f>
        <v>0</v>
      </c>
      <c r="AI133">
        <f>Source!Y49</f>
        <v>0</v>
      </c>
      <c r="AJ133">
        <f>Source!HL49</f>
        <v>0</v>
      </c>
      <c r="AN133">
        <f>IF(Source!BI49&lt;=1,J133,0)</f>
        <v>6326.76</v>
      </c>
      <c r="AO133">
        <f>IF(Source!BI49&lt;=1,J133,0)</f>
        <v>6326.76</v>
      </c>
      <c r="AS133">
        <f>IF(Source!BI49&lt;=1,AH133,0)</f>
        <v>0</v>
      </c>
      <c r="AT133">
        <f>IF(Source!BI49&lt;=1,AJ133,0)</f>
        <v>0</v>
      </c>
      <c r="AX133">
        <f>IF(Source!BI49=2,J133,0)</f>
        <v>0</v>
      </c>
      <c r="AY133">
        <f>IF(Source!BI49=2,J133,0)</f>
        <v>0</v>
      </c>
      <c r="BC133">
        <f>IF(Source!BI49=2,AH133,0)</f>
        <v>0</v>
      </c>
      <c r="BD133">
        <f>IF(Source!BI49=2,AJ133,0)</f>
        <v>0</v>
      </c>
    </row>
    <row r="134" spans="1:56" ht="14.25">
      <c r="A134" s="71" t="s">
        <v>82</v>
      </c>
      <c r="B134" s="71" t="str">
        <f>Source!F51</f>
        <v>14.1.02.03-0002</v>
      </c>
      <c r="C134" s="71" t="str">
        <f>Source!G51</f>
        <v>Клей ПВА</v>
      </c>
      <c r="D134" s="55" t="str">
        <f>Source!H51</f>
        <v>кг</v>
      </c>
      <c r="E134" s="101">
        <f>SmtRes!AT67</f>
        <v>9.982788</v>
      </c>
      <c r="F134" s="50"/>
      <c r="G134" s="101">
        <f>Source!I51</f>
        <v>52.209981</v>
      </c>
      <c r="H134" s="49">
        <f>Source!AL51+Source!AO51+Source!AM51</f>
        <v>15.9</v>
      </c>
      <c r="I134" s="56"/>
      <c r="J134" s="49">
        <f>ROUND(Source!AC51*Source!I51,2)+ROUND((((Source!ET51)-(Source!EU51))+Source!AE51)*Source!I51,2)+ROUND(Source!AF51*Source!I51,2)</f>
        <v>830.14</v>
      </c>
      <c r="K134" s="56"/>
      <c r="L134" s="49"/>
      <c r="AF134" s="47">
        <f>J134</f>
        <v>830.14</v>
      </c>
      <c r="AG134">
        <f>Source!X51</f>
        <v>0</v>
      </c>
      <c r="AH134">
        <f>Source!HK51</f>
        <v>0</v>
      </c>
      <c r="AI134">
        <f>Source!Y51</f>
        <v>0</v>
      </c>
      <c r="AJ134">
        <f>Source!HL51</f>
        <v>0</v>
      </c>
      <c r="AN134">
        <f>IF(Source!BI51&lt;=1,J134,0)</f>
        <v>830.14</v>
      </c>
      <c r="AO134">
        <f>IF(Source!BI51&lt;=1,J134,0)</f>
        <v>830.14</v>
      </c>
      <c r="AS134">
        <f>IF(Source!BI51&lt;=1,AH134,0)</f>
        <v>0</v>
      </c>
      <c r="AT134">
        <f>IF(Source!BI51&lt;=1,AJ134,0)</f>
        <v>0</v>
      </c>
      <c r="AX134">
        <f>IF(Source!BI51=2,J134,0)</f>
        <v>0</v>
      </c>
      <c r="AY134">
        <f>IF(Source!BI51=2,J134,0)</f>
        <v>0</v>
      </c>
      <c r="BC134">
        <f>IF(Source!BI51=2,AH134,0)</f>
        <v>0</v>
      </c>
      <c r="BD134">
        <f>IF(Source!BI51=2,AJ134,0)</f>
        <v>0</v>
      </c>
    </row>
    <row r="135" spans="1:56" ht="42.75">
      <c r="A135" s="71" t="s">
        <v>87</v>
      </c>
      <c r="B135" s="71" t="str">
        <f>Source!F53</f>
        <v>14.4.01.02-0012</v>
      </c>
      <c r="C135" s="71" t="str">
        <f>Source!G53</f>
        <v>Грунтовка укрепляющая, глубокого проникновения, быстросохнущая, паропроницаемая</v>
      </c>
      <c r="D135" s="55" t="str">
        <f>Source!H53</f>
        <v>кг</v>
      </c>
      <c r="E135" s="50">
        <f>SmtRes!AT68</f>
        <v>20</v>
      </c>
      <c r="F135" s="50"/>
      <c r="G135" s="50">
        <f>Source!I53</f>
        <v>104.6</v>
      </c>
      <c r="H135" s="49">
        <f>Source!AL53+Source!AO53+Source!AM53</f>
        <v>13.08</v>
      </c>
      <c r="I135" s="56"/>
      <c r="J135" s="49">
        <f>ROUND(Source!AC53*Source!I53,2)+ROUND((((Source!ET53)-(Source!EU53))+Source!AE53)*Source!I53,2)+ROUND(Source!AF53*Source!I53,2)</f>
        <v>1368.17</v>
      </c>
      <c r="K135" s="56"/>
      <c r="L135" s="49"/>
      <c r="AF135" s="47">
        <f>J135</f>
        <v>1368.17</v>
      </c>
      <c r="AG135">
        <f>Source!X53</f>
        <v>0</v>
      </c>
      <c r="AH135">
        <f>Source!HK53</f>
        <v>0</v>
      </c>
      <c r="AI135">
        <f>Source!Y53</f>
        <v>0</v>
      </c>
      <c r="AJ135">
        <f>Source!HL53</f>
        <v>0</v>
      </c>
      <c r="AN135">
        <f>IF(Source!BI53&lt;=1,J135,0)</f>
        <v>1368.17</v>
      </c>
      <c r="AO135">
        <f>IF(Source!BI53&lt;=1,J135,0)</f>
        <v>1368.17</v>
      </c>
      <c r="AS135">
        <f>IF(Source!BI53&lt;=1,AH135,0)</f>
        <v>0</v>
      </c>
      <c r="AT135">
        <f>IF(Source!BI53&lt;=1,AJ135,0)</f>
        <v>0</v>
      </c>
      <c r="AX135">
        <f>IF(Source!BI53=2,J135,0)</f>
        <v>0</v>
      </c>
      <c r="AY135">
        <f>IF(Source!BI53=2,J135,0)</f>
        <v>0</v>
      </c>
      <c r="BC135">
        <f>IF(Source!BI53=2,AH135,0)</f>
        <v>0</v>
      </c>
      <c r="BD135">
        <f>IF(Source!BI53=2,AJ135,0)</f>
        <v>0</v>
      </c>
    </row>
    <row r="136" spans="1:12" ht="14.25">
      <c r="A136" s="71"/>
      <c r="B136" s="71"/>
      <c r="C136" s="71" t="s">
        <v>459</v>
      </c>
      <c r="D136" s="55"/>
      <c r="E136" s="50"/>
      <c r="F136" s="50"/>
      <c r="G136" s="50"/>
      <c r="H136" s="49"/>
      <c r="I136" s="56"/>
      <c r="J136" s="49">
        <f>SUM(Q123:Q139)+SUM(V123:V139)+SUM(X123:X139)+SUM(Y123:Y139)</f>
        <v>1347.8799999999999</v>
      </c>
      <c r="K136" s="56"/>
      <c r="L136" s="49">
        <f>SUM(U123:U139)+SUM(W123:W139)+SUM(Z123:Z139)+SUM(AA123:AA139)</f>
        <v>49157.19</v>
      </c>
    </row>
    <row r="137" spans="1:12" ht="28.5">
      <c r="A137" s="71"/>
      <c r="B137" s="71" t="s">
        <v>470</v>
      </c>
      <c r="C137" s="71" t="s">
        <v>460</v>
      </c>
      <c r="D137" s="55" t="s">
        <v>461</v>
      </c>
      <c r="E137" s="50">
        <f>Source!BZ47</f>
        <v>112</v>
      </c>
      <c r="F137" s="50">
        <f>ROUND(0.9,7)</f>
        <v>0.9</v>
      </c>
      <c r="G137" s="50">
        <f>Source!AT47</f>
        <v>100.8</v>
      </c>
      <c r="H137" s="49"/>
      <c r="I137" s="56"/>
      <c r="J137" s="49">
        <f>SUM(AG123:AG139)</f>
        <v>1358.66</v>
      </c>
      <c r="K137" s="56"/>
      <c r="L137" s="49">
        <f>SUM(AH123:AH139)</f>
        <v>49550.45</v>
      </c>
    </row>
    <row r="138" spans="1:12" ht="28.5">
      <c r="A138" s="73"/>
      <c r="B138" s="73" t="s">
        <v>471</v>
      </c>
      <c r="C138" s="73" t="s">
        <v>462</v>
      </c>
      <c r="D138" s="58" t="s">
        <v>461</v>
      </c>
      <c r="E138" s="59">
        <f>Source!CA47</f>
        <v>65</v>
      </c>
      <c r="F138" s="59">
        <f>ROUND(0.85,7)</f>
        <v>0.85</v>
      </c>
      <c r="G138" s="59">
        <f>Source!AU47</f>
        <v>55.25</v>
      </c>
      <c r="H138" s="60"/>
      <c r="I138" s="61"/>
      <c r="J138" s="60">
        <f>SUM(AI123:AI139)</f>
        <v>744.7</v>
      </c>
      <c r="K138" s="61"/>
      <c r="L138" s="60">
        <f>SUM(AJ123:AJ139)</f>
        <v>27159.35</v>
      </c>
    </row>
    <row r="139" spans="3:53" ht="15">
      <c r="C139" s="106" t="s">
        <v>463</v>
      </c>
      <c r="D139" s="106"/>
      <c r="E139" s="106"/>
      <c r="F139" s="106"/>
      <c r="G139" s="106"/>
      <c r="H139" s="106"/>
      <c r="I139" s="106">
        <f>J126+J127+J129+J137+J138+SUM(J133:J135)</f>
        <v>12154.47</v>
      </c>
      <c r="J139" s="106"/>
      <c r="O139" s="47">
        <f>I139</f>
        <v>12154.47</v>
      </c>
      <c r="P139">
        <f>K139</f>
        <v>0</v>
      </c>
      <c r="Q139" s="47">
        <f>J126</f>
        <v>1341.08</v>
      </c>
      <c r="R139" s="47">
        <f>J126</f>
        <v>1341.08</v>
      </c>
      <c r="U139" s="47">
        <f>L126</f>
        <v>48909.19</v>
      </c>
      <c r="X139" s="47">
        <f>J128</f>
        <v>6.8</v>
      </c>
      <c r="Z139" s="47">
        <f>L128</f>
        <v>248</v>
      </c>
      <c r="AB139" s="47">
        <f>J127</f>
        <v>81.46</v>
      </c>
      <c r="AD139" s="47">
        <f>L127</f>
        <v>0</v>
      </c>
      <c r="AF139" s="47">
        <f>J129</f>
        <v>103.5</v>
      </c>
      <c r="AN139">
        <f>IF(Source!BI47&lt;=1,J126+J127+J129+J137+J138,0)</f>
        <v>3629.3999999999996</v>
      </c>
      <c r="AO139">
        <f>IF(Source!BI47&lt;=1,J129,0)</f>
        <v>103.5</v>
      </c>
      <c r="AP139">
        <f>IF(Source!BI47&lt;=1,J127,0)</f>
        <v>81.46</v>
      </c>
      <c r="AQ139">
        <f>IF(Source!BI47&lt;=1,J126,0)</f>
        <v>1341.08</v>
      </c>
      <c r="AX139">
        <f>IF(Source!BI47=2,J126+J127+J129+J137+J138,0)</f>
        <v>0</v>
      </c>
      <c r="AY139">
        <f>IF(Source!BI47=2,J129,0)</f>
        <v>0</v>
      </c>
      <c r="AZ139">
        <f>IF(Source!BI47=2,J127,0)</f>
        <v>0</v>
      </c>
      <c r="BA139">
        <f>IF(Source!BI47=2,J126,0)</f>
        <v>0</v>
      </c>
    </row>
    <row r="140" spans="1:56" ht="171.75">
      <c r="A140" s="71">
        <v>7</v>
      </c>
      <c r="B140" s="71" t="str">
        <f>Source!F55</f>
        <v>11-01-011-11</v>
      </c>
      <c r="C140" s="71" t="s">
        <v>472</v>
      </c>
      <c r="D140" s="55" t="str">
        <f>Source!H55</f>
        <v>100 м2</v>
      </c>
      <c r="E140" s="50">
        <f>Source!K55</f>
        <v>5.23</v>
      </c>
      <c r="F140" s="50"/>
      <c r="G140" s="50">
        <f>Source!I55</f>
        <v>5.23</v>
      </c>
      <c r="H140" s="49"/>
      <c r="I140" s="56"/>
      <c r="J140" s="49"/>
      <c r="K140" s="56"/>
      <c r="L140" s="49"/>
      <c r="AG140">
        <f>Source!X55</f>
        <v>856.62</v>
      </c>
      <c r="AH140">
        <f>Source!HK55</f>
        <v>31240.87</v>
      </c>
      <c r="AI140">
        <f>Source!Y55</f>
        <v>469.53</v>
      </c>
      <c r="AJ140">
        <f>Source!HL55</f>
        <v>17123.59</v>
      </c>
      <c r="AS140">
        <f>IF(Source!BI55&lt;=1,AH140,0)</f>
        <v>31240.87</v>
      </c>
      <c r="AT140">
        <f>IF(Source!BI55&lt;=1,AJ140,0)</f>
        <v>17123.59</v>
      </c>
      <c r="BC140">
        <f>IF(Source!BI55=2,AH140,0)</f>
        <v>0</v>
      </c>
      <c r="BD140">
        <f>IF(Source!BI55=2,AJ140,0)</f>
        <v>0</v>
      </c>
    </row>
    <row r="141" spans="2:3" ht="165.75">
      <c r="B141" s="48" t="str">
        <f>Source!EO55</f>
        <v>Поправка: М-ка 421/пр 04.08.20 п.58 п.п. б)</v>
      </c>
      <c r="C141" s="48" t="str">
        <f>Source!CN55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42" ht="12.75">
      <c r="C142" s="45" t="str">
        <f>"Объем: "&amp;Source!K55&amp;"=523/"&amp;"100"</f>
        <v>Объем: 5,23=523/100</v>
      </c>
    </row>
    <row r="143" spans="1:12" ht="14.25">
      <c r="A143" s="71"/>
      <c r="B143" s="72">
        <v>1</v>
      </c>
      <c r="C143" s="71" t="s">
        <v>451</v>
      </c>
      <c r="D143" s="55"/>
      <c r="E143" s="50"/>
      <c r="F143" s="50"/>
      <c r="G143" s="50"/>
      <c r="H143" s="49">
        <f>Source!AO55</f>
        <v>19.87</v>
      </c>
      <c r="I143" s="56">
        <f>ROUND((1.15)*7,7)</f>
        <v>8.05</v>
      </c>
      <c r="J143" s="49">
        <f>ROUND(Source!AF55*Source!I55,2)</f>
        <v>836.54</v>
      </c>
      <c r="K143" s="56">
        <f>IF(Source!BA55&lt;&gt;0,Source!BA55,1)</f>
        <v>36.47</v>
      </c>
      <c r="L143" s="49">
        <f>Source!HJ55</f>
        <v>30508.61</v>
      </c>
    </row>
    <row r="144" spans="1:12" ht="14.25">
      <c r="A144" s="71"/>
      <c r="B144" s="72">
        <v>3</v>
      </c>
      <c r="C144" s="71" t="s">
        <v>452</v>
      </c>
      <c r="D144" s="55"/>
      <c r="E144" s="50"/>
      <c r="F144" s="50"/>
      <c r="G144" s="50"/>
      <c r="H144" s="49">
        <f>Source!AM55</f>
        <v>0.92</v>
      </c>
      <c r="I144" s="56">
        <f>ROUND((1.25)*7,7)</f>
        <v>8.75</v>
      </c>
      <c r="J144" s="49">
        <f>ROUND(((((Source!ET55*ROUND((1.25*7),7)))-((Source!EU55*ROUND((1.25*7),7))))+Source!AE55)*Source!I55,2)</f>
        <v>42.11</v>
      </c>
      <c r="K144" s="56"/>
      <c r="L144" s="49"/>
    </row>
    <row r="145" spans="1:12" ht="14.25">
      <c r="A145" s="71"/>
      <c r="B145" s="72">
        <v>2</v>
      </c>
      <c r="C145" s="71" t="s">
        <v>453</v>
      </c>
      <c r="D145" s="55"/>
      <c r="E145" s="50"/>
      <c r="F145" s="50"/>
      <c r="G145" s="50"/>
      <c r="H145" s="49">
        <f>Source!AN55</f>
        <v>0.29</v>
      </c>
      <c r="I145" s="56">
        <f>ROUND((1.25)*7,7)</f>
        <v>8.75</v>
      </c>
      <c r="J145" s="57">
        <f>ROUND(Source!AE55*Source!I55,2)</f>
        <v>13.28</v>
      </c>
      <c r="K145" s="56">
        <f>IF(Source!BS55&lt;&gt;0,Source!BS55,1)</f>
        <v>36.47</v>
      </c>
      <c r="L145" s="57">
        <f>Source!HI55</f>
        <v>484.32</v>
      </c>
    </row>
    <row r="146" spans="1:12" ht="14.25">
      <c r="A146" s="71"/>
      <c r="B146" s="72">
        <v>4</v>
      </c>
      <c r="C146" s="71" t="s">
        <v>454</v>
      </c>
      <c r="D146" s="55"/>
      <c r="E146" s="50"/>
      <c r="F146" s="50"/>
      <c r="G146" s="50"/>
      <c r="H146" s="49">
        <f>Source!AL55</f>
        <v>0.1</v>
      </c>
      <c r="I146" s="56">
        <f>ROUND(7,7)</f>
        <v>7</v>
      </c>
      <c r="J146" s="49">
        <f>ROUND(Source!AC55*Source!I55,2)</f>
        <v>3.66</v>
      </c>
      <c r="K146" s="56"/>
      <c r="L146" s="49"/>
    </row>
    <row r="147" spans="1:12" ht="14.25">
      <c r="A147" s="71"/>
      <c r="B147" s="71"/>
      <c r="C147" s="71" t="s">
        <v>455</v>
      </c>
      <c r="D147" s="55" t="s">
        <v>456</v>
      </c>
      <c r="E147" s="50">
        <f>Source!AQ55</f>
        <v>2.33</v>
      </c>
      <c r="F147" s="50">
        <f>ROUND((1.15)*7,7)</f>
        <v>8.05</v>
      </c>
      <c r="G147" s="101">
        <f>ROUND(Source!U55,7)</f>
        <v>98.096495</v>
      </c>
      <c r="H147" s="49"/>
      <c r="I147" s="56"/>
      <c r="J147" s="49"/>
      <c r="K147" s="56"/>
      <c r="L147" s="49"/>
    </row>
    <row r="148" spans="1:12" ht="14.25">
      <c r="A148" s="71"/>
      <c r="B148" s="71"/>
      <c r="C148" s="73" t="s">
        <v>457</v>
      </c>
      <c r="D148" s="58" t="s">
        <v>456</v>
      </c>
      <c r="E148" s="59">
        <f>Source!AR55</f>
        <v>0.03</v>
      </c>
      <c r="F148" s="59">
        <f>ROUND((1.25)*7,7)</f>
        <v>8.75</v>
      </c>
      <c r="G148" s="102">
        <f>ROUND(Source!V55,7)</f>
        <v>1.372875</v>
      </c>
      <c r="H148" s="60"/>
      <c r="I148" s="61"/>
      <c r="J148" s="60"/>
      <c r="K148" s="61"/>
      <c r="L148" s="60"/>
    </row>
    <row r="149" spans="1:12" ht="14.25">
      <c r="A149" s="71"/>
      <c r="B149" s="71"/>
      <c r="C149" s="71" t="s">
        <v>458</v>
      </c>
      <c r="D149" s="55"/>
      <c r="E149" s="50"/>
      <c r="F149" s="50"/>
      <c r="G149" s="50"/>
      <c r="H149" s="49">
        <f>H143+H144+H146</f>
        <v>20.890000000000004</v>
      </c>
      <c r="I149" s="56"/>
      <c r="J149" s="49">
        <f>J143+J144+J146</f>
        <v>882.31</v>
      </c>
      <c r="K149" s="56"/>
      <c r="L149" s="49"/>
    </row>
    <row r="150" spans="1:56" ht="42.75">
      <c r="A150" s="71" t="s">
        <v>98</v>
      </c>
      <c r="B150" s="71" t="str">
        <f>Source!F57</f>
        <v>04.3.02.01-0502</v>
      </c>
      <c r="C150" s="71" t="str">
        <f>Source!G57</f>
        <v>Смесь самовыравнивающая быстротвердеющая для полов "БИРСС 34Р"</v>
      </c>
      <c r="D150" s="55" t="str">
        <f>Source!H57</f>
        <v>т</v>
      </c>
      <c r="E150" s="101">
        <f>SmtRes!AT80</f>
        <v>1.049914</v>
      </c>
      <c r="F150" s="50"/>
      <c r="G150" s="101">
        <f>Source!I57</f>
        <v>5.491050000000001</v>
      </c>
      <c r="H150" s="49">
        <f>Source!AL57+Source!AO57+Source!AM57</f>
        <v>2682.59</v>
      </c>
      <c r="I150" s="56"/>
      <c r="J150" s="49">
        <f>ROUND(Source!AC57*Source!I57,2)+ROUND((((Source!ET57)-(Source!EU57))+Source!AE57)*Source!I57,2)+ROUND(Source!AF57*Source!I57,2)</f>
        <v>14730.24</v>
      </c>
      <c r="K150" s="56"/>
      <c r="L150" s="49"/>
      <c r="AF150" s="47">
        <f>J150</f>
        <v>14730.24</v>
      </c>
      <c r="AG150">
        <f>Source!X57</f>
        <v>0</v>
      </c>
      <c r="AH150">
        <f>Source!HK57</f>
        <v>0</v>
      </c>
      <c r="AI150">
        <f>Source!Y57</f>
        <v>0</v>
      </c>
      <c r="AJ150">
        <f>Source!HL57</f>
        <v>0</v>
      </c>
      <c r="AN150">
        <f>IF(Source!BI57&lt;=1,J150,0)</f>
        <v>14730.24</v>
      </c>
      <c r="AO150">
        <f>IF(Source!BI57&lt;=1,J150,0)</f>
        <v>14730.24</v>
      </c>
      <c r="AS150">
        <f>IF(Source!BI57&lt;=1,AH150,0)</f>
        <v>0</v>
      </c>
      <c r="AT150">
        <f>IF(Source!BI57&lt;=1,AJ150,0)</f>
        <v>0</v>
      </c>
      <c r="AX150">
        <f>IF(Source!BI57=2,J150,0)</f>
        <v>0</v>
      </c>
      <c r="AY150">
        <f>IF(Source!BI57=2,J150,0)</f>
        <v>0</v>
      </c>
      <c r="BC150">
        <f>IF(Source!BI57=2,AH150,0)</f>
        <v>0</v>
      </c>
      <c r="BD150">
        <f>IF(Source!BI57=2,AJ150,0)</f>
        <v>0</v>
      </c>
    </row>
    <row r="151" spans="1:12" ht="14.25">
      <c r="A151" s="71"/>
      <c r="B151" s="71"/>
      <c r="C151" s="71" t="s">
        <v>459</v>
      </c>
      <c r="D151" s="55"/>
      <c r="E151" s="50"/>
      <c r="F151" s="50"/>
      <c r="G151" s="50"/>
      <c r="H151" s="49"/>
      <c r="I151" s="56"/>
      <c r="J151" s="49">
        <f>SUM(Q140:Q154)+SUM(V140:V154)+SUM(X140:X154)+SUM(Y140:Y154)</f>
        <v>849.8199999999999</v>
      </c>
      <c r="K151" s="56"/>
      <c r="L151" s="49">
        <f>SUM(U140:U154)+SUM(W140:W154)+SUM(Z140:Z154)+SUM(AA140:AA154)</f>
        <v>30992.93</v>
      </c>
    </row>
    <row r="152" spans="1:12" ht="28.5">
      <c r="A152" s="71"/>
      <c r="B152" s="71" t="s">
        <v>470</v>
      </c>
      <c r="C152" s="71" t="s">
        <v>460</v>
      </c>
      <c r="D152" s="55" t="s">
        <v>461</v>
      </c>
      <c r="E152" s="50">
        <f>Source!BZ55</f>
        <v>112</v>
      </c>
      <c r="F152" s="50">
        <f>ROUND(0.9,7)</f>
        <v>0.9</v>
      </c>
      <c r="G152" s="50">
        <f>Source!AT55</f>
        <v>100.8</v>
      </c>
      <c r="H152" s="49"/>
      <c r="I152" s="56"/>
      <c r="J152" s="49">
        <f>SUM(AG140:AG154)</f>
        <v>856.62</v>
      </c>
      <c r="K152" s="56"/>
      <c r="L152" s="49">
        <f>SUM(AH140:AH154)</f>
        <v>31240.87</v>
      </c>
    </row>
    <row r="153" spans="1:12" ht="28.5">
      <c r="A153" s="73"/>
      <c r="B153" s="73" t="s">
        <v>471</v>
      </c>
      <c r="C153" s="73" t="s">
        <v>462</v>
      </c>
      <c r="D153" s="58" t="s">
        <v>461</v>
      </c>
      <c r="E153" s="59">
        <f>Source!CA55</f>
        <v>65</v>
      </c>
      <c r="F153" s="59">
        <f>ROUND(0.85,7)</f>
        <v>0.85</v>
      </c>
      <c r="G153" s="59">
        <f>Source!AU55</f>
        <v>55.25</v>
      </c>
      <c r="H153" s="60"/>
      <c r="I153" s="61"/>
      <c r="J153" s="60">
        <f>SUM(AI140:AI154)</f>
        <v>469.53</v>
      </c>
      <c r="K153" s="61"/>
      <c r="L153" s="60">
        <f>SUM(AJ140:AJ154)</f>
        <v>17123.59</v>
      </c>
    </row>
    <row r="154" spans="3:53" ht="15">
      <c r="C154" s="106" t="s">
        <v>463</v>
      </c>
      <c r="D154" s="106"/>
      <c r="E154" s="106"/>
      <c r="F154" s="106"/>
      <c r="G154" s="106"/>
      <c r="H154" s="106"/>
      <c r="I154" s="106">
        <f>J143+J144+J146+J152+J153+SUM(J150:J150)</f>
        <v>16938.7</v>
      </c>
      <c r="J154" s="106"/>
      <c r="O154" s="47">
        <f>I154</f>
        <v>16938.7</v>
      </c>
      <c r="P154">
        <f>K154</f>
        <v>0</v>
      </c>
      <c r="Q154" s="47">
        <f>J143</f>
        <v>836.54</v>
      </c>
      <c r="R154" s="47">
        <f>J143</f>
        <v>836.54</v>
      </c>
      <c r="U154" s="47">
        <f>L143</f>
        <v>30508.61</v>
      </c>
      <c r="X154" s="47">
        <f>J145</f>
        <v>13.28</v>
      </c>
      <c r="Z154" s="47">
        <f>L145</f>
        <v>484.32</v>
      </c>
      <c r="AB154" s="47">
        <f>J144</f>
        <v>42.11</v>
      </c>
      <c r="AD154" s="47">
        <f>L144</f>
        <v>0</v>
      </c>
      <c r="AF154" s="47">
        <f>J146</f>
        <v>3.66</v>
      </c>
      <c r="AN154">
        <f>IF(Source!BI55&lt;=1,J143+J144+J146+J152+J153,0)</f>
        <v>2208.46</v>
      </c>
      <c r="AO154">
        <f>IF(Source!BI55&lt;=1,J146,0)</f>
        <v>3.66</v>
      </c>
      <c r="AP154">
        <f>IF(Source!BI55&lt;=1,J144,0)</f>
        <v>42.11</v>
      </c>
      <c r="AQ154">
        <f>IF(Source!BI55&lt;=1,J143,0)</f>
        <v>836.54</v>
      </c>
      <c r="AX154">
        <f>IF(Source!BI55=2,J143+J144+J146+J152+J153,0)</f>
        <v>0</v>
      </c>
      <c r="AY154">
        <f>IF(Source!BI55=2,J146,0)</f>
        <v>0</v>
      </c>
      <c r="AZ154">
        <f>IF(Source!BI55=2,J144,0)</f>
        <v>0</v>
      </c>
      <c r="BA154">
        <f>IF(Source!BI55=2,J143,0)</f>
        <v>0</v>
      </c>
    </row>
    <row r="155" spans="1:56" ht="144.75">
      <c r="A155" s="71">
        <v>8</v>
      </c>
      <c r="B155" s="71" t="str">
        <f>Source!F59</f>
        <v>11-01-047-01</v>
      </c>
      <c r="C155" s="71" t="s">
        <v>473</v>
      </c>
      <c r="D155" s="55" t="str">
        <f>Source!H59</f>
        <v>100 м2</v>
      </c>
      <c r="E155" s="50">
        <f>Source!K59</f>
        <v>5.23</v>
      </c>
      <c r="F155" s="50"/>
      <c r="G155" s="50">
        <f>Source!I59</f>
        <v>5.23</v>
      </c>
      <c r="H155" s="49"/>
      <c r="I155" s="56"/>
      <c r="J155" s="49"/>
      <c r="K155" s="56"/>
      <c r="L155" s="49"/>
      <c r="AG155">
        <f>Source!X59</f>
        <v>16563.81</v>
      </c>
      <c r="AH155">
        <f>Source!HK59</f>
        <v>604082.11</v>
      </c>
      <c r="AI155">
        <f>Source!Y59</f>
        <v>9078.87</v>
      </c>
      <c r="AJ155">
        <f>Source!HL59</f>
        <v>331106.52</v>
      </c>
      <c r="AS155">
        <f>IF(Source!BI59&lt;=1,AH155,0)</f>
        <v>604082.11</v>
      </c>
      <c r="AT155">
        <f>IF(Source!BI59&lt;=1,AJ155,0)</f>
        <v>331106.52</v>
      </c>
      <c r="BC155">
        <f>IF(Source!BI59=2,AH155,0)</f>
        <v>0</v>
      </c>
      <c r="BD155">
        <f>IF(Source!BI59=2,AJ155,0)</f>
        <v>0</v>
      </c>
    </row>
    <row r="156" spans="2:3" ht="165.75">
      <c r="B156" s="48" t="str">
        <f>Source!EO59</f>
        <v>Поправка: М-ка 421/пр 04.08.20 п.58 п.п. б)</v>
      </c>
      <c r="C156" s="48" t="str">
        <f>Source!CN59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57" ht="12.75">
      <c r="C157" s="45" t="str">
        <f>"Объем: "&amp;Source!K59&amp;"=523/"&amp;"100"</f>
        <v>Объем: 5,23=523/100</v>
      </c>
    </row>
    <row r="158" spans="1:12" ht="14.25">
      <c r="A158" s="71"/>
      <c r="B158" s="72">
        <v>1</v>
      </c>
      <c r="C158" s="71" t="s">
        <v>451</v>
      </c>
      <c r="D158" s="55"/>
      <c r="E158" s="50"/>
      <c r="F158" s="50"/>
      <c r="G158" s="50"/>
      <c r="H158" s="49">
        <f>Source!AO59</f>
        <v>2713.07</v>
      </c>
      <c r="I158" s="56">
        <f>ROUND(1.15,7)</f>
        <v>1.15</v>
      </c>
      <c r="J158" s="49">
        <f>ROUND(Source!AF59*Source!I59,2)</f>
        <v>16317.76</v>
      </c>
      <c r="K158" s="56">
        <f>IF(Source!BA59&lt;&gt;0,Source!BA59,1)</f>
        <v>36.47</v>
      </c>
      <c r="L158" s="49">
        <f>Source!HJ59</f>
        <v>595108.71</v>
      </c>
    </row>
    <row r="159" spans="1:12" ht="14.25">
      <c r="A159" s="71"/>
      <c r="B159" s="72">
        <v>3</v>
      </c>
      <c r="C159" s="71" t="s">
        <v>452</v>
      </c>
      <c r="D159" s="55"/>
      <c r="E159" s="50"/>
      <c r="F159" s="50"/>
      <c r="G159" s="50"/>
      <c r="H159" s="49">
        <f>Source!AM59</f>
        <v>24.42</v>
      </c>
      <c r="I159" s="56">
        <f>ROUND(1.25,7)</f>
        <v>1.25</v>
      </c>
      <c r="J159" s="49">
        <f>ROUND(((((Source!ET59*ROUND(1.25,7)))-((Source!EU59*ROUND(1.25,7))))+Source!AE59)*Source!I59,2)</f>
        <v>159.63</v>
      </c>
      <c r="K159" s="56"/>
      <c r="L159" s="49"/>
    </row>
    <row r="160" spans="1:12" ht="14.25">
      <c r="A160" s="71"/>
      <c r="B160" s="72">
        <v>2</v>
      </c>
      <c r="C160" s="71" t="s">
        <v>453</v>
      </c>
      <c r="D160" s="55"/>
      <c r="E160" s="50"/>
      <c r="F160" s="50"/>
      <c r="G160" s="50"/>
      <c r="H160" s="49">
        <f>Source!AN59</f>
        <v>17.53</v>
      </c>
      <c r="I160" s="56">
        <f>ROUND(1.25,7)</f>
        <v>1.25</v>
      </c>
      <c r="J160" s="57">
        <f>ROUND(Source!AE59*Source!I59,2)</f>
        <v>114.59</v>
      </c>
      <c r="K160" s="56">
        <f>IF(Source!BS59&lt;&gt;0,Source!BS59,1)</f>
        <v>36.47</v>
      </c>
      <c r="L160" s="57">
        <f>Source!HI59</f>
        <v>4179.1</v>
      </c>
    </row>
    <row r="161" spans="1:12" ht="14.25">
      <c r="A161" s="71"/>
      <c r="B161" s="72">
        <v>4</v>
      </c>
      <c r="C161" s="71" t="s">
        <v>454</v>
      </c>
      <c r="D161" s="55"/>
      <c r="E161" s="50"/>
      <c r="F161" s="50"/>
      <c r="G161" s="50"/>
      <c r="H161" s="49">
        <f>Source!AL59</f>
        <v>85.74</v>
      </c>
      <c r="I161" s="56"/>
      <c r="J161" s="49">
        <f>ROUND(Source!AC59*Source!I59,2)</f>
        <v>448.42</v>
      </c>
      <c r="K161" s="56"/>
      <c r="L161" s="49"/>
    </row>
    <row r="162" spans="1:12" ht="14.25">
      <c r="A162" s="71"/>
      <c r="B162" s="71"/>
      <c r="C162" s="71" t="s">
        <v>455</v>
      </c>
      <c r="D162" s="55" t="s">
        <v>456</v>
      </c>
      <c r="E162" s="50">
        <f>Source!AQ59</f>
        <v>310.42</v>
      </c>
      <c r="F162" s="50">
        <f>ROUND(1.15,7)</f>
        <v>1.15</v>
      </c>
      <c r="G162" s="101">
        <f>ROUND(Source!U59,7)</f>
        <v>1867.02109</v>
      </c>
      <c r="H162" s="49"/>
      <c r="I162" s="56"/>
      <c r="J162" s="49"/>
      <c r="K162" s="56"/>
      <c r="L162" s="49"/>
    </row>
    <row r="163" spans="1:12" ht="14.25">
      <c r="A163" s="71"/>
      <c r="B163" s="71"/>
      <c r="C163" s="73" t="s">
        <v>457</v>
      </c>
      <c r="D163" s="58" t="s">
        <v>456</v>
      </c>
      <c r="E163" s="59">
        <f>Source!AR59</f>
        <v>1.73</v>
      </c>
      <c r="F163" s="59">
        <f>ROUND(1.25,7)</f>
        <v>1.25</v>
      </c>
      <c r="G163" s="102">
        <f>ROUND(Source!V59,7)</f>
        <v>11.309875</v>
      </c>
      <c r="H163" s="60"/>
      <c r="I163" s="61"/>
      <c r="J163" s="60"/>
      <c r="K163" s="61"/>
      <c r="L163" s="60"/>
    </row>
    <row r="164" spans="1:12" ht="14.25">
      <c r="A164" s="71"/>
      <c r="B164" s="71"/>
      <c r="C164" s="71" t="s">
        <v>458</v>
      </c>
      <c r="D164" s="55"/>
      <c r="E164" s="50"/>
      <c r="F164" s="50"/>
      <c r="G164" s="50"/>
      <c r="H164" s="49">
        <f>H158+H159+H161</f>
        <v>2823.23</v>
      </c>
      <c r="I164" s="56"/>
      <c r="J164" s="49">
        <f>J158+J159+J161</f>
        <v>16925.809999999998</v>
      </c>
      <c r="K164" s="56"/>
      <c r="L164" s="49"/>
    </row>
    <row r="165" spans="1:56" ht="42.75">
      <c r="A165" s="71" t="s">
        <v>107</v>
      </c>
      <c r="B165" s="71" t="str">
        <f>Source!F63</f>
        <v>14.4.01.02-0012</v>
      </c>
      <c r="C165" s="71" t="str">
        <f>Source!G63</f>
        <v>Грунтовка укрепляющая, глубокого проникновения, быстросохнущая, паропроницаемая</v>
      </c>
      <c r="D165" s="55" t="str">
        <f>Source!H63</f>
        <v>кг</v>
      </c>
      <c r="E165" s="101">
        <f>SmtRes!AT104</f>
        <v>21.394148</v>
      </c>
      <c r="F165" s="50"/>
      <c r="G165" s="101">
        <f>Source!I63</f>
        <v>111.891394</v>
      </c>
      <c r="H165" s="49">
        <f>Source!AL63+Source!AO63+Source!AM63</f>
        <v>13.08</v>
      </c>
      <c r="I165" s="56"/>
      <c r="J165" s="49">
        <f>ROUND(Source!AC63*Source!I63,2)+ROUND((((Source!ET63)-(Source!EU63))+Source!AE63)*Source!I63,2)+ROUND(Source!AF63*Source!I63,2)</f>
        <v>1463.54</v>
      </c>
      <c r="K165" s="56"/>
      <c r="L165" s="49"/>
      <c r="AF165" s="47">
        <f>J165</f>
        <v>1463.54</v>
      </c>
      <c r="AG165">
        <f>Source!X63</f>
        <v>0</v>
      </c>
      <c r="AH165">
        <f>Source!HK63</f>
        <v>0</v>
      </c>
      <c r="AI165">
        <f>Source!Y63</f>
        <v>0</v>
      </c>
      <c r="AJ165">
        <f>Source!HL63</f>
        <v>0</v>
      </c>
      <c r="AN165">
        <f>IF(Source!BI63&lt;=1,J165,0)</f>
        <v>1463.54</v>
      </c>
      <c r="AO165">
        <f>IF(Source!BI63&lt;=1,J165,0)</f>
        <v>1463.54</v>
      </c>
      <c r="AS165">
        <f>IF(Source!BI63&lt;=1,AH165,0)</f>
        <v>0</v>
      </c>
      <c r="AT165">
        <f>IF(Source!BI63&lt;=1,AJ165,0)</f>
        <v>0</v>
      </c>
      <c r="AX165">
        <f>IF(Source!BI63=2,J165,0)</f>
        <v>0</v>
      </c>
      <c r="AY165">
        <f>IF(Source!BI63=2,J165,0)</f>
        <v>0</v>
      </c>
      <c r="BC165">
        <f>IF(Source!BI63=2,AH165,0)</f>
        <v>0</v>
      </c>
      <c r="BD165">
        <f>IF(Source!BI63=2,AJ165,0)</f>
        <v>0</v>
      </c>
    </row>
    <row r="166" spans="1:12" ht="14.25">
      <c r="A166" s="71"/>
      <c r="B166" s="71"/>
      <c r="C166" s="71" t="s">
        <v>459</v>
      </c>
      <c r="D166" s="55"/>
      <c r="E166" s="50"/>
      <c r="F166" s="50"/>
      <c r="G166" s="50"/>
      <c r="H166" s="49"/>
      <c r="I166" s="56"/>
      <c r="J166" s="49">
        <f>SUM(Q155:Q169)+SUM(V155:V169)+SUM(X155:X169)+SUM(Y155:Y169)</f>
        <v>16432.35</v>
      </c>
      <c r="K166" s="56"/>
      <c r="L166" s="49">
        <f>SUM(U155:U169)+SUM(W155:W169)+SUM(Z155:Z169)+SUM(AA155:AA169)</f>
        <v>599287.8099999999</v>
      </c>
    </row>
    <row r="167" spans="1:12" ht="28.5">
      <c r="A167" s="71"/>
      <c r="B167" s="71" t="s">
        <v>470</v>
      </c>
      <c r="C167" s="71" t="s">
        <v>460</v>
      </c>
      <c r="D167" s="55" t="s">
        <v>461</v>
      </c>
      <c r="E167" s="50">
        <f>Source!BZ59</f>
        <v>112</v>
      </c>
      <c r="F167" s="50">
        <f>ROUND(0.9,7)</f>
        <v>0.9</v>
      </c>
      <c r="G167" s="50">
        <f>Source!AT59</f>
        <v>100.8</v>
      </c>
      <c r="H167" s="49"/>
      <c r="I167" s="56"/>
      <c r="J167" s="49">
        <f>SUM(AG155:AG169)</f>
        <v>16563.81</v>
      </c>
      <c r="K167" s="56"/>
      <c r="L167" s="49">
        <f>SUM(AH155:AH169)</f>
        <v>604082.11</v>
      </c>
    </row>
    <row r="168" spans="1:12" ht="28.5">
      <c r="A168" s="73"/>
      <c r="B168" s="73" t="s">
        <v>471</v>
      </c>
      <c r="C168" s="73" t="s">
        <v>462</v>
      </c>
      <c r="D168" s="58" t="s">
        <v>461</v>
      </c>
      <c r="E168" s="59">
        <f>Source!CA59</f>
        <v>65</v>
      </c>
      <c r="F168" s="59">
        <f>ROUND(0.85,7)</f>
        <v>0.85</v>
      </c>
      <c r="G168" s="59">
        <f>Source!AU59</f>
        <v>55.25</v>
      </c>
      <c r="H168" s="60"/>
      <c r="I168" s="61"/>
      <c r="J168" s="60">
        <f>SUM(AI155:AI169)</f>
        <v>9078.87</v>
      </c>
      <c r="K168" s="61"/>
      <c r="L168" s="60">
        <f>SUM(AJ155:AJ169)</f>
        <v>331106.52</v>
      </c>
    </row>
    <row r="169" spans="3:53" ht="15">
      <c r="C169" s="106" t="s">
        <v>463</v>
      </c>
      <c r="D169" s="106"/>
      <c r="E169" s="106"/>
      <c r="F169" s="106"/>
      <c r="G169" s="106"/>
      <c r="H169" s="106"/>
      <c r="I169" s="106">
        <f>J158+J159+J161+J167+J168+SUM(J165:J165)</f>
        <v>44032.03</v>
      </c>
      <c r="J169" s="106"/>
      <c r="O169" s="47">
        <f>I169</f>
        <v>44032.03</v>
      </c>
      <c r="P169">
        <f>K169</f>
        <v>0</v>
      </c>
      <c r="Q169" s="47">
        <f>J158</f>
        <v>16317.76</v>
      </c>
      <c r="R169" s="47">
        <f>J158</f>
        <v>16317.76</v>
      </c>
      <c r="U169" s="47">
        <f>L158</f>
        <v>595108.71</v>
      </c>
      <c r="X169" s="47">
        <f>J160</f>
        <v>114.59</v>
      </c>
      <c r="Z169" s="47">
        <f>L160</f>
        <v>4179.1</v>
      </c>
      <c r="AB169" s="47">
        <f>J159</f>
        <v>159.63</v>
      </c>
      <c r="AD169" s="47">
        <f>L159</f>
        <v>0</v>
      </c>
      <c r="AF169" s="47">
        <f>J161</f>
        <v>448.42</v>
      </c>
      <c r="AN169">
        <f>IF(Source!BI59&lt;=1,J158+J159+J161+J167+J168,0)</f>
        <v>42568.49</v>
      </c>
      <c r="AO169">
        <f>IF(Source!BI59&lt;=1,J161,0)</f>
        <v>448.42</v>
      </c>
      <c r="AP169">
        <f>IF(Source!BI59&lt;=1,J159,0)</f>
        <v>159.63</v>
      </c>
      <c r="AQ169">
        <f>IF(Source!BI59&lt;=1,J158,0)</f>
        <v>16317.76</v>
      </c>
      <c r="AX169">
        <f>IF(Source!BI59=2,J158+J159+J161+J167+J168,0)</f>
        <v>0</v>
      </c>
      <c r="AY169">
        <f>IF(Source!BI59=2,J161,0)</f>
        <v>0</v>
      </c>
      <c r="AZ169">
        <f>IF(Source!BI59=2,J159,0)</f>
        <v>0</v>
      </c>
      <c r="BA169">
        <f>IF(Source!BI59=2,J158,0)</f>
        <v>0</v>
      </c>
    </row>
    <row r="170" spans="1:56" ht="130.5">
      <c r="A170" s="71">
        <v>9</v>
      </c>
      <c r="B170" s="71" t="str">
        <f>Source!F69</f>
        <v>11-01-039-04</v>
      </c>
      <c r="C170" s="71" t="s">
        <v>474</v>
      </c>
      <c r="D170" s="55" t="str">
        <f>Source!H69</f>
        <v>100 м</v>
      </c>
      <c r="E170" s="50">
        <f>Source!K69</f>
        <v>4.79</v>
      </c>
      <c r="F170" s="50"/>
      <c r="G170" s="50">
        <f>Source!I69</f>
        <v>4.79</v>
      </c>
      <c r="H170" s="49"/>
      <c r="I170" s="56"/>
      <c r="J170" s="49"/>
      <c r="K170" s="56"/>
      <c r="L170" s="49"/>
      <c r="AG170">
        <f>Source!X69</f>
        <v>1266.18</v>
      </c>
      <c r="AH170">
        <f>Source!HK69</f>
        <v>46177.55</v>
      </c>
      <c r="AI170">
        <f>Source!Y69</f>
        <v>694.01</v>
      </c>
      <c r="AJ170">
        <f>Source!HL69</f>
        <v>25310.61</v>
      </c>
      <c r="AS170">
        <f>IF(Source!BI69&lt;=1,AH170,0)</f>
        <v>46177.55</v>
      </c>
      <c r="AT170">
        <f>IF(Source!BI69&lt;=1,AJ170,0)</f>
        <v>25310.61</v>
      </c>
      <c r="BC170">
        <f>IF(Source!BI69=2,AH170,0)</f>
        <v>0</v>
      </c>
      <c r="BD170">
        <f>IF(Source!BI69=2,AJ170,0)</f>
        <v>0</v>
      </c>
    </row>
    <row r="171" spans="2:3" ht="165.75">
      <c r="B171" s="48" t="str">
        <f>Source!EO69</f>
        <v>Поправка: М-ка 421/пр 04.08.20 п.58 п.п. б)</v>
      </c>
      <c r="C171" s="48" t="str">
        <f>Source!CN69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72" ht="12.75">
      <c r="C172" s="45" t="str">
        <f>"Объем: "&amp;Source!K69&amp;"=479/"&amp;"100"</f>
        <v>Объем: 4,79=479/100</v>
      </c>
    </row>
    <row r="173" spans="1:12" ht="14.25">
      <c r="A173" s="71"/>
      <c r="B173" s="72">
        <v>1</v>
      </c>
      <c r="C173" s="71" t="s">
        <v>451</v>
      </c>
      <c r="D173" s="55"/>
      <c r="E173" s="50"/>
      <c r="F173" s="50"/>
      <c r="G173" s="50"/>
      <c r="H173" s="49">
        <f>Source!AO69</f>
        <v>226.53</v>
      </c>
      <c r="I173" s="56">
        <f>ROUND(1.15,7)</f>
        <v>1.15</v>
      </c>
      <c r="J173" s="49">
        <f>ROUND(Source!AF69*Source!I69,2)</f>
        <v>1247.84</v>
      </c>
      <c r="K173" s="56">
        <f>IF(Source!BA69&lt;&gt;0,Source!BA69,1)</f>
        <v>36.47</v>
      </c>
      <c r="L173" s="49">
        <f>Source!HJ69</f>
        <v>45508.72</v>
      </c>
    </row>
    <row r="174" spans="1:12" ht="14.25">
      <c r="A174" s="71"/>
      <c r="B174" s="72">
        <v>3</v>
      </c>
      <c r="C174" s="71" t="s">
        <v>452</v>
      </c>
      <c r="D174" s="55"/>
      <c r="E174" s="50"/>
      <c r="F174" s="50"/>
      <c r="G174" s="50"/>
      <c r="H174" s="49">
        <f>Source!AM69</f>
        <v>5.5</v>
      </c>
      <c r="I174" s="56">
        <f>ROUND(1.25,7)</f>
        <v>1.25</v>
      </c>
      <c r="J174" s="49">
        <f>ROUND(((((Source!ET69*ROUND(1.25,7)))-((Source!EU69*ROUND(1.25,7))))+Source!AE69)*Source!I69,2)</f>
        <v>32.96</v>
      </c>
      <c r="K174" s="56"/>
      <c r="L174" s="49"/>
    </row>
    <row r="175" spans="1:12" ht="14.25">
      <c r="A175" s="71"/>
      <c r="B175" s="72">
        <v>2</v>
      </c>
      <c r="C175" s="71" t="s">
        <v>453</v>
      </c>
      <c r="D175" s="55"/>
      <c r="E175" s="50"/>
      <c r="F175" s="50"/>
      <c r="G175" s="50"/>
      <c r="H175" s="49">
        <f>Source!AN69</f>
        <v>1.38</v>
      </c>
      <c r="I175" s="56">
        <f>ROUND(1.25,7)</f>
        <v>1.25</v>
      </c>
      <c r="J175" s="57">
        <f>ROUND(Source!AE69*Source!I69,2)</f>
        <v>8.29</v>
      </c>
      <c r="K175" s="56">
        <f>IF(Source!BS69&lt;&gt;0,Source!BS69,1)</f>
        <v>36.47</v>
      </c>
      <c r="L175" s="57">
        <f>Source!HI69</f>
        <v>302.34</v>
      </c>
    </row>
    <row r="176" spans="1:12" ht="14.25">
      <c r="A176" s="71"/>
      <c r="B176" s="72">
        <v>4</v>
      </c>
      <c r="C176" s="71" t="s">
        <v>454</v>
      </c>
      <c r="D176" s="55"/>
      <c r="E176" s="50"/>
      <c r="F176" s="50"/>
      <c r="G176" s="50"/>
      <c r="H176" s="49">
        <f>Source!AL69</f>
        <v>96</v>
      </c>
      <c r="I176" s="56"/>
      <c r="J176" s="49">
        <f>ROUND(Source!AC69*Source!I69,2)</f>
        <v>459.84</v>
      </c>
      <c r="K176" s="56"/>
      <c r="L176" s="49"/>
    </row>
    <row r="177" spans="1:12" ht="14.25">
      <c r="A177" s="71"/>
      <c r="B177" s="71"/>
      <c r="C177" s="71" t="s">
        <v>455</v>
      </c>
      <c r="D177" s="55" t="s">
        <v>456</v>
      </c>
      <c r="E177" s="50">
        <f>Source!AQ69</f>
        <v>23.82</v>
      </c>
      <c r="F177" s="50">
        <f>ROUND(1.15,7)</f>
        <v>1.15</v>
      </c>
      <c r="G177" s="101">
        <f>ROUND(Source!U69,7)</f>
        <v>131.21247</v>
      </c>
      <c r="H177" s="49"/>
      <c r="I177" s="56"/>
      <c r="J177" s="49"/>
      <c r="K177" s="56"/>
      <c r="L177" s="49"/>
    </row>
    <row r="178" spans="1:12" ht="14.25">
      <c r="A178" s="71"/>
      <c r="B178" s="71"/>
      <c r="C178" s="73" t="s">
        <v>457</v>
      </c>
      <c r="D178" s="58" t="s">
        <v>456</v>
      </c>
      <c r="E178" s="59">
        <f>Source!AR69</f>
        <v>0.11</v>
      </c>
      <c r="F178" s="59">
        <f>ROUND(1.25,7)</f>
        <v>1.25</v>
      </c>
      <c r="G178" s="102">
        <f>ROUND(Source!V69,7)</f>
        <v>0.658625</v>
      </c>
      <c r="H178" s="60"/>
      <c r="I178" s="61"/>
      <c r="J178" s="60"/>
      <c r="K178" s="61"/>
      <c r="L178" s="60"/>
    </row>
    <row r="179" spans="1:12" ht="14.25">
      <c r="A179" s="71"/>
      <c r="B179" s="71"/>
      <c r="C179" s="71" t="s">
        <v>458</v>
      </c>
      <c r="D179" s="55"/>
      <c r="E179" s="50"/>
      <c r="F179" s="50"/>
      <c r="G179" s="50"/>
      <c r="H179" s="49">
        <f>H173+H174+H176</f>
        <v>328.03</v>
      </c>
      <c r="I179" s="56"/>
      <c r="J179" s="49">
        <f>J173+J174+J176</f>
        <v>1740.6399999999999</v>
      </c>
      <c r="K179" s="56"/>
      <c r="L179" s="49"/>
    </row>
    <row r="180" spans="1:12" ht="14.25">
      <c r="A180" s="71"/>
      <c r="B180" s="71"/>
      <c r="C180" s="71" t="s">
        <v>459</v>
      </c>
      <c r="D180" s="55"/>
      <c r="E180" s="50"/>
      <c r="F180" s="50"/>
      <c r="G180" s="50"/>
      <c r="H180" s="49"/>
      <c r="I180" s="56"/>
      <c r="J180" s="49">
        <f>SUM(Q170:Q183)+SUM(V170:V183)+SUM(X170:X183)+SUM(Y170:Y183)</f>
        <v>1256.1299999999999</v>
      </c>
      <c r="K180" s="56"/>
      <c r="L180" s="49">
        <f>SUM(U170:U183)+SUM(W170:W183)+SUM(Z170:Z183)+SUM(AA170:AA183)</f>
        <v>45811.06</v>
      </c>
    </row>
    <row r="181" spans="1:12" ht="28.5">
      <c r="A181" s="71"/>
      <c r="B181" s="71" t="s">
        <v>470</v>
      </c>
      <c r="C181" s="71" t="s">
        <v>460</v>
      </c>
      <c r="D181" s="55" t="s">
        <v>461</v>
      </c>
      <c r="E181" s="50">
        <f>Source!BZ69</f>
        <v>112</v>
      </c>
      <c r="F181" s="50">
        <f>ROUND(0.9,7)</f>
        <v>0.9</v>
      </c>
      <c r="G181" s="50">
        <f>Source!AT69</f>
        <v>100.8</v>
      </c>
      <c r="H181" s="49"/>
      <c r="I181" s="56"/>
      <c r="J181" s="49">
        <f>SUM(AG170:AG183)</f>
        <v>1266.18</v>
      </c>
      <c r="K181" s="56"/>
      <c r="L181" s="49">
        <f>SUM(AH170:AH183)</f>
        <v>46177.55</v>
      </c>
    </row>
    <row r="182" spans="1:12" ht="28.5">
      <c r="A182" s="73"/>
      <c r="B182" s="73" t="s">
        <v>471</v>
      </c>
      <c r="C182" s="73" t="s">
        <v>462</v>
      </c>
      <c r="D182" s="58" t="s">
        <v>461</v>
      </c>
      <c r="E182" s="59">
        <f>Source!CA69</f>
        <v>65</v>
      </c>
      <c r="F182" s="59">
        <f>ROUND(0.85,7)</f>
        <v>0.85</v>
      </c>
      <c r="G182" s="59">
        <f>Source!AU69</f>
        <v>55.25</v>
      </c>
      <c r="H182" s="60"/>
      <c r="I182" s="61"/>
      <c r="J182" s="60">
        <f>SUM(AI170:AI183)</f>
        <v>694.01</v>
      </c>
      <c r="K182" s="61"/>
      <c r="L182" s="60">
        <f>SUM(AJ170:AJ183)</f>
        <v>25310.61</v>
      </c>
    </row>
    <row r="183" spans="3:53" ht="15">
      <c r="C183" s="106" t="s">
        <v>463</v>
      </c>
      <c r="D183" s="106"/>
      <c r="E183" s="106"/>
      <c r="F183" s="106"/>
      <c r="G183" s="106"/>
      <c r="H183" s="106"/>
      <c r="I183" s="106">
        <f>J173+J174+J176+J181+J182</f>
        <v>3700.83</v>
      </c>
      <c r="J183" s="106"/>
      <c r="O183" s="47">
        <f>I183</f>
        <v>3700.83</v>
      </c>
      <c r="P183">
        <f>K183</f>
        <v>0</v>
      </c>
      <c r="Q183" s="47">
        <f>J173</f>
        <v>1247.84</v>
      </c>
      <c r="R183" s="47">
        <f>J173</f>
        <v>1247.84</v>
      </c>
      <c r="U183" s="47">
        <f>L173</f>
        <v>45508.72</v>
      </c>
      <c r="X183" s="47">
        <f>J175</f>
        <v>8.29</v>
      </c>
      <c r="Z183" s="47">
        <f>L175</f>
        <v>302.34</v>
      </c>
      <c r="AB183" s="47">
        <f>J174</f>
        <v>32.96</v>
      </c>
      <c r="AD183" s="47">
        <f>L174</f>
        <v>0</v>
      </c>
      <c r="AF183" s="47">
        <f>J176</f>
        <v>459.84</v>
      </c>
      <c r="AN183">
        <f>IF(Source!BI69&lt;=1,J173+J174+J176+J181+J182,0)</f>
        <v>3700.83</v>
      </c>
      <c r="AO183">
        <f>IF(Source!BI69&lt;=1,J176,0)</f>
        <v>459.84</v>
      </c>
      <c r="AP183">
        <f>IF(Source!BI69&lt;=1,J174,0)</f>
        <v>32.96</v>
      </c>
      <c r="AQ183">
        <f>IF(Source!BI69&lt;=1,J173,0)</f>
        <v>1247.84</v>
      </c>
      <c r="AX183">
        <f>IF(Source!BI69=2,J173+J174+J176+J181+J182,0)</f>
        <v>0</v>
      </c>
      <c r="AY183">
        <f>IF(Source!BI69=2,J176,0)</f>
        <v>0</v>
      </c>
      <c r="AZ183">
        <f>IF(Source!BI69=2,J174,0)</f>
        <v>0</v>
      </c>
      <c r="BA183">
        <f>IF(Source!BI69=2,J173,0)</f>
        <v>0</v>
      </c>
    </row>
    <row r="184" spans="1:56" ht="28.5">
      <c r="A184" s="71">
        <v>10</v>
      </c>
      <c r="B184" s="71" t="str">
        <f>Source!F73</f>
        <v>62-47-1</v>
      </c>
      <c r="C184" s="71" t="str">
        <f>Source!G73</f>
        <v>Расчистка поверхностей шпателем, щетками от старых покрасок</v>
      </c>
      <c r="D184" s="55" t="str">
        <f>Source!H73</f>
        <v>м2</v>
      </c>
      <c r="E184" s="50">
        <f>Source!K73</f>
        <v>38</v>
      </c>
      <c r="F184" s="50"/>
      <c r="G184" s="50">
        <f>Source!I73</f>
        <v>38</v>
      </c>
      <c r="H184" s="49"/>
      <c r="I184" s="56"/>
      <c r="J184" s="49"/>
      <c r="K184" s="56"/>
      <c r="L184" s="49"/>
      <c r="AG184">
        <f>Source!X73</f>
        <v>149.8</v>
      </c>
      <c r="AH184">
        <f>Source!HK73</f>
        <v>5463.06</v>
      </c>
      <c r="AI184">
        <f>Source!Y73</f>
        <v>76.56</v>
      </c>
      <c r="AJ184">
        <f>Source!HL73</f>
        <v>2792.23</v>
      </c>
      <c r="AS184">
        <f>IF(Source!BI73&lt;=1,AH184,0)</f>
        <v>5463.06</v>
      </c>
      <c r="AT184">
        <f>IF(Source!BI73&lt;=1,AJ184,0)</f>
        <v>2792.23</v>
      </c>
      <c r="BC184">
        <f>IF(Source!BI73=2,AH184,0)</f>
        <v>0</v>
      </c>
      <c r="BD184">
        <f>IF(Source!BI73=2,AJ184,0)</f>
        <v>0</v>
      </c>
    </row>
    <row r="186" spans="1:12" ht="14.25">
      <c r="A186" s="71"/>
      <c r="B186" s="72">
        <v>1</v>
      </c>
      <c r="C186" s="71" t="s">
        <v>451</v>
      </c>
      <c r="D186" s="55"/>
      <c r="E186" s="50"/>
      <c r="F186" s="50"/>
      <c r="G186" s="50"/>
      <c r="H186" s="49">
        <f>Source!AO73</f>
        <v>4.38</v>
      </c>
      <c r="I186" s="56"/>
      <c r="J186" s="49">
        <f>ROUND(Source!AF73*Source!I73,2)</f>
        <v>166.44</v>
      </c>
      <c r="K186" s="56">
        <f>IF(Source!BA73&lt;&gt;0,Source!BA73,1)</f>
        <v>36.47</v>
      </c>
      <c r="L186" s="49">
        <f>Source!HJ73</f>
        <v>6070.07</v>
      </c>
    </row>
    <row r="187" spans="1:12" ht="14.25">
      <c r="A187" s="71"/>
      <c r="B187" s="72">
        <v>3</v>
      </c>
      <c r="C187" s="71" t="s">
        <v>452</v>
      </c>
      <c r="D187" s="55"/>
      <c r="E187" s="50"/>
      <c r="F187" s="50"/>
      <c r="G187" s="50"/>
      <c r="H187" s="49">
        <f>Source!AM73</f>
        <v>0</v>
      </c>
      <c r="I187" s="56"/>
      <c r="J187" s="49">
        <f>ROUND((((Source!ET73)-(Source!EU73))+Source!AE73)*Source!I73,2)</f>
        <v>0</v>
      </c>
      <c r="K187" s="56"/>
      <c r="L187" s="49"/>
    </row>
    <row r="188" spans="1:12" ht="14.25">
      <c r="A188" s="71"/>
      <c r="B188" s="72">
        <v>2</v>
      </c>
      <c r="C188" s="71" t="s">
        <v>453</v>
      </c>
      <c r="D188" s="55"/>
      <c r="E188" s="50"/>
      <c r="F188" s="50"/>
      <c r="G188" s="50"/>
      <c r="H188" s="49">
        <f>Source!AN73</f>
        <v>0</v>
      </c>
      <c r="I188" s="56"/>
      <c r="J188" s="57">
        <f>ROUND(Source!AE73*Source!I73,2)</f>
        <v>0</v>
      </c>
      <c r="K188" s="56">
        <f>IF(Source!BS73&lt;&gt;0,Source!BS73,1)</f>
        <v>36.47</v>
      </c>
      <c r="L188" s="57">
        <f>Source!HI73</f>
        <v>0</v>
      </c>
    </row>
    <row r="189" spans="1:12" ht="14.25">
      <c r="A189" s="71"/>
      <c r="B189" s="72">
        <v>4</v>
      </c>
      <c r="C189" s="71" t="s">
        <v>454</v>
      </c>
      <c r="D189" s="55"/>
      <c r="E189" s="50"/>
      <c r="F189" s="50"/>
      <c r="G189" s="50"/>
      <c r="H189" s="49">
        <f>Source!AL73</f>
        <v>0</v>
      </c>
      <c r="I189" s="56"/>
      <c r="J189" s="49">
        <f>ROUND(Source!AC73*Source!I73,2)</f>
        <v>0</v>
      </c>
      <c r="K189" s="56"/>
      <c r="L189" s="49"/>
    </row>
    <row r="190" spans="1:12" ht="14.25">
      <c r="A190" s="71"/>
      <c r="B190" s="71"/>
      <c r="C190" s="71" t="s">
        <v>455</v>
      </c>
      <c r="D190" s="55" t="s">
        <v>456</v>
      </c>
      <c r="E190" s="50">
        <f>Source!AQ73</f>
        <v>0.58</v>
      </c>
      <c r="F190" s="50"/>
      <c r="G190" s="50">
        <f>ROUND(Source!U73,7)</f>
        <v>22.04</v>
      </c>
      <c r="H190" s="49"/>
      <c r="I190" s="56"/>
      <c r="J190" s="49"/>
      <c r="K190" s="56"/>
      <c r="L190" s="49"/>
    </row>
    <row r="191" spans="1:12" ht="14.25">
      <c r="A191" s="71"/>
      <c r="B191" s="71"/>
      <c r="C191" s="73" t="s">
        <v>457</v>
      </c>
      <c r="D191" s="58" t="s">
        <v>456</v>
      </c>
      <c r="E191" s="59">
        <f>Source!AR73</f>
        <v>0</v>
      </c>
      <c r="F191" s="59"/>
      <c r="G191" s="59">
        <f>ROUND(Source!V73,7)</f>
        <v>0</v>
      </c>
      <c r="H191" s="60"/>
      <c r="I191" s="61"/>
      <c r="J191" s="60"/>
      <c r="K191" s="61"/>
      <c r="L191" s="60"/>
    </row>
    <row r="192" spans="1:12" ht="14.25">
      <c r="A192" s="71"/>
      <c r="B192" s="71"/>
      <c r="C192" s="71" t="s">
        <v>458</v>
      </c>
      <c r="D192" s="55"/>
      <c r="E192" s="50"/>
      <c r="F192" s="50"/>
      <c r="G192" s="50"/>
      <c r="H192" s="49">
        <f>H186+H187+H189</f>
        <v>4.38</v>
      </c>
      <c r="I192" s="56"/>
      <c r="J192" s="49">
        <f>J186+J187+J189</f>
        <v>166.44</v>
      </c>
      <c r="K192" s="56"/>
      <c r="L192" s="49"/>
    </row>
    <row r="193" spans="1:12" ht="14.25">
      <c r="A193" s="71"/>
      <c r="B193" s="71"/>
      <c r="C193" s="71" t="s">
        <v>459</v>
      </c>
      <c r="D193" s="55"/>
      <c r="E193" s="50"/>
      <c r="F193" s="50"/>
      <c r="G193" s="50"/>
      <c r="H193" s="49"/>
      <c r="I193" s="56"/>
      <c r="J193" s="49">
        <f>SUM(Q184:Q196)+SUM(V184:V196)+SUM(X184:X196)+SUM(Y184:Y196)</f>
        <v>166.44</v>
      </c>
      <c r="K193" s="56"/>
      <c r="L193" s="49">
        <f>SUM(U184:U196)+SUM(W184:W196)+SUM(Z184:Z196)+SUM(AA184:AA196)</f>
        <v>6070.07</v>
      </c>
    </row>
    <row r="194" spans="1:12" ht="14.25">
      <c r="A194" s="71"/>
      <c r="B194" s="71" t="s">
        <v>128</v>
      </c>
      <c r="C194" s="71" t="s">
        <v>475</v>
      </c>
      <c r="D194" s="55" t="s">
        <v>461</v>
      </c>
      <c r="E194" s="50">
        <f>Source!BZ73</f>
        <v>90</v>
      </c>
      <c r="F194" s="50"/>
      <c r="G194" s="50">
        <f>Source!AT73</f>
        <v>90</v>
      </c>
      <c r="H194" s="49"/>
      <c r="I194" s="56"/>
      <c r="J194" s="49">
        <f>SUM(AG184:AG196)</f>
        <v>149.8</v>
      </c>
      <c r="K194" s="56"/>
      <c r="L194" s="49">
        <f>SUM(AH184:AH196)</f>
        <v>5463.06</v>
      </c>
    </row>
    <row r="195" spans="1:12" ht="14.25">
      <c r="A195" s="73"/>
      <c r="B195" s="73" t="s">
        <v>129</v>
      </c>
      <c r="C195" s="73" t="s">
        <v>476</v>
      </c>
      <c r="D195" s="58" t="s">
        <v>461</v>
      </c>
      <c r="E195" s="59">
        <f>Source!CA73</f>
        <v>46</v>
      </c>
      <c r="F195" s="59"/>
      <c r="G195" s="59">
        <f>Source!AU73</f>
        <v>46</v>
      </c>
      <c r="H195" s="60"/>
      <c r="I195" s="61"/>
      <c r="J195" s="60">
        <f>SUM(AI184:AI196)</f>
        <v>76.56</v>
      </c>
      <c r="K195" s="61"/>
      <c r="L195" s="60">
        <f>SUM(AJ184:AJ196)</f>
        <v>2792.23</v>
      </c>
    </row>
    <row r="196" spans="3:53" ht="15">
      <c r="C196" s="106" t="s">
        <v>463</v>
      </c>
      <c r="D196" s="106"/>
      <c r="E196" s="106"/>
      <c r="F196" s="106"/>
      <c r="G196" s="106"/>
      <c r="H196" s="106"/>
      <c r="I196" s="106">
        <f>J186+J187+J189+J194+J195</f>
        <v>392.8</v>
      </c>
      <c r="J196" s="106"/>
      <c r="O196" s="47">
        <f>I196</f>
        <v>392.8</v>
      </c>
      <c r="P196">
        <f>K196</f>
        <v>0</v>
      </c>
      <c r="Q196" s="47">
        <f>J186</f>
        <v>166.44</v>
      </c>
      <c r="R196" s="47">
        <f>J186</f>
        <v>166.44</v>
      </c>
      <c r="U196" s="47">
        <f>L186</f>
        <v>6070.07</v>
      </c>
      <c r="X196" s="47">
        <f>J188</f>
        <v>0</v>
      </c>
      <c r="Z196" s="47">
        <f>L188</f>
        <v>0</v>
      </c>
      <c r="AB196" s="47">
        <f>J187</f>
        <v>0</v>
      </c>
      <c r="AD196" s="47">
        <f>L187</f>
        <v>0</v>
      </c>
      <c r="AF196" s="47">
        <f>J189</f>
        <v>0</v>
      </c>
      <c r="AN196">
        <f>IF(Source!BI73&lt;=1,J186+J187+J189+J194+J195,0)</f>
        <v>392.8</v>
      </c>
      <c r="AO196">
        <f>IF(Source!BI73&lt;=1,J189,0)</f>
        <v>0</v>
      </c>
      <c r="AP196">
        <f>IF(Source!BI73&lt;=1,J187,0)</f>
        <v>0</v>
      </c>
      <c r="AQ196">
        <f>IF(Source!BI73&lt;=1,J186,0)</f>
        <v>166.44</v>
      </c>
      <c r="AX196">
        <f>IF(Source!BI73=2,J186+J187+J189+J194+J195,0)</f>
        <v>0</v>
      </c>
      <c r="AY196">
        <f>IF(Source!BI73=2,J189,0)</f>
        <v>0</v>
      </c>
      <c r="AZ196">
        <f>IF(Source!BI73=2,J187,0)</f>
        <v>0</v>
      </c>
      <c r="BA196">
        <f>IF(Source!BI73=2,J186,0)</f>
        <v>0</v>
      </c>
    </row>
    <row r="197" spans="1:56" ht="144.75">
      <c r="A197" s="71">
        <v>11</v>
      </c>
      <c r="B197" s="71" t="str">
        <f>Source!F75</f>
        <v>15-04-006-04</v>
      </c>
      <c r="C197" s="71" t="s">
        <v>477</v>
      </c>
      <c r="D197" s="55" t="str">
        <f>Source!H75</f>
        <v>100 м2</v>
      </c>
      <c r="E197" s="50">
        <f>Source!K75</f>
        <v>0.38</v>
      </c>
      <c r="F197" s="50"/>
      <c r="G197" s="50">
        <f>Source!I75</f>
        <v>0.38</v>
      </c>
      <c r="H197" s="49"/>
      <c r="I197" s="56"/>
      <c r="J197" s="49"/>
      <c r="K197" s="56"/>
      <c r="L197" s="49"/>
      <c r="AG197">
        <f>Source!X75</f>
        <v>61.9</v>
      </c>
      <c r="AH197">
        <f>Source!HK75</f>
        <v>2257.57</v>
      </c>
      <c r="AI197">
        <f>Source!Y75</f>
        <v>28.65</v>
      </c>
      <c r="AJ197">
        <f>Source!HL75</f>
        <v>1044.75</v>
      </c>
      <c r="AS197">
        <f>IF(Source!BI75&lt;=1,AH197,0)</f>
        <v>2257.57</v>
      </c>
      <c r="AT197">
        <f>IF(Source!BI75&lt;=1,AJ197,0)</f>
        <v>1044.75</v>
      </c>
      <c r="BC197">
        <f>IF(Source!BI75=2,AH197,0)</f>
        <v>0</v>
      </c>
      <c r="BD197">
        <f>IF(Source!BI75=2,AJ197,0)</f>
        <v>0</v>
      </c>
    </row>
    <row r="198" spans="2:3" ht="165.75">
      <c r="B198" s="48" t="str">
        <f>Source!EO75</f>
        <v>Поправка: М-ка 421/пр 04.08.20 п.58 п.п. б)</v>
      </c>
      <c r="C198" s="48" t="str">
        <f>Source!CN75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99" ht="12.75">
      <c r="C199" s="45" t="str">
        <f>"Объем: "&amp;Source!K75&amp;"=38/"&amp;"100"</f>
        <v>Объем: 0,38=38/100</v>
      </c>
    </row>
    <row r="200" spans="1:12" ht="14.25">
      <c r="A200" s="71"/>
      <c r="B200" s="72">
        <v>1</v>
      </c>
      <c r="C200" s="71" t="s">
        <v>451</v>
      </c>
      <c r="D200" s="55"/>
      <c r="E200" s="50"/>
      <c r="F200" s="50"/>
      <c r="G200" s="50"/>
      <c r="H200" s="49">
        <f>Source!AO75</f>
        <v>157</v>
      </c>
      <c r="I200" s="56">
        <f>ROUND(1.15,7)</f>
        <v>1.15</v>
      </c>
      <c r="J200" s="49">
        <f>ROUND(Source!AF75*Source!I75,2)</f>
        <v>68.61</v>
      </c>
      <c r="K200" s="56">
        <f>IF(Source!BA75&lt;&gt;0,Source!BA75,1)</f>
        <v>36.47</v>
      </c>
      <c r="L200" s="49">
        <f>Source!HJ75</f>
        <v>2502.21</v>
      </c>
    </row>
    <row r="201" spans="1:12" ht="14.25">
      <c r="A201" s="71"/>
      <c r="B201" s="72">
        <v>3</v>
      </c>
      <c r="C201" s="71" t="s">
        <v>452</v>
      </c>
      <c r="D201" s="55"/>
      <c r="E201" s="50"/>
      <c r="F201" s="50"/>
      <c r="G201" s="50"/>
      <c r="H201" s="49">
        <f>Source!AM75</f>
        <v>1.62</v>
      </c>
      <c r="I201" s="56">
        <f>ROUND(1.25,7)</f>
        <v>1.25</v>
      </c>
      <c r="J201" s="49">
        <f>ROUND(((((Source!ET75*ROUND(1.25,7)))-((Source!EU75*ROUND(1.25,7))))+Source!AE75)*Source!I75,2)</f>
        <v>0.77</v>
      </c>
      <c r="K201" s="56"/>
      <c r="L201" s="49"/>
    </row>
    <row r="202" spans="1:12" ht="14.25">
      <c r="A202" s="71"/>
      <c r="B202" s="72">
        <v>2</v>
      </c>
      <c r="C202" s="71" t="s">
        <v>453</v>
      </c>
      <c r="D202" s="55"/>
      <c r="E202" s="50"/>
      <c r="F202" s="50"/>
      <c r="G202" s="50"/>
      <c r="H202" s="49">
        <f>Source!AN75</f>
        <v>0.37</v>
      </c>
      <c r="I202" s="56">
        <f>ROUND(1.25,7)</f>
        <v>1.25</v>
      </c>
      <c r="J202" s="57">
        <f>ROUND(Source!AE75*Source!I75,2)</f>
        <v>0.17</v>
      </c>
      <c r="K202" s="56">
        <f>IF(Source!BS75&lt;&gt;0,Source!BS75,1)</f>
        <v>36.47</v>
      </c>
      <c r="L202" s="57">
        <f>Source!HI75</f>
        <v>6.2</v>
      </c>
    </row>
    <row r="203" spans="1:12" ht="14.25">
      <c r="A203" s="71"/>
      <c r="B203" s="72">
        <v>4</v>
      </c>
      <c r="C203" s="71" t="s">
        <v>454</v>
      </c>
      <c r="D203" s="55"/>
      <c r="E203" s="50"/>
      <c r="F203" s="50"/>
      <c r="G203" s="50"/>
      <c r="H203" s="49">
        <f>Source!AL75</f>
        <v>0.36</v>
      </c>
      <c r="I203" s="56"/>
      <c r="J203" s="49">
        <f>ROUND(Source!AC75*Source!I75,2)</f>
        <v>0.14</v>
      </c>
      <c r="K203" s="56"/>
      <c r="L203" s="49"/>
    </row>
    <row r="204" spans="1:12" ht="14.25">
      <c r="A204" s="71"/>
      <c r="B204" s="71"/>
      <c r="C204" s="71" t="s">
        <v>455</v>
      </c>
      <c r="D204" s="55" t="s">
        <v>456</v>
      </c>
      <c r="E204" s="50">
        <f>Source!AQ75</f>
        <v>16.32</v>
      </c>
      <c r="F204" s="50">
        <f>ROUND(1.15,7)</f>
        <v>1.15</v>
      </c>
      <c r="G204" s="101">
        <f>ROUND(Source!U75,7)</f>
        <v>7.13184</v>
      </c>
      <c r="H204" s="49"/>
      <c r="I204" s="56"/>
      <c r="J204" s="49"/>
      <c r="K204" s="56"/>
      <c r="L204" s="49"/>
    </row>
    <row r="205" spans="1:12" ht="14.25">
      <c r="A205" s="71"/>
      <c r="B205" s="71"/>
      <c r="C205" s="73" t="s">
        <v>457</v>
      </c>
      <c r="D205" s="58" t="s">
        <v>456</v>
      </c>
      <c r="E205" s="59">
        <f>Source!AR75</f>
        <v>0.03</v>
      </c>
      <c r="F205" s="59">
        <f>ROUND(1.25,7)</f>
        <v>1.25</v>
      </c>
      <c r="G205" s="102">
        <f>ROUND(Source!V75,7)</f>
        <v>0.01425</v>
      </c>
      <c r="H205" s="60"/>
      <c r="I205" s="61"/>
      <c r="J205" s="60"/>
      <c r="K205" s="61"/>
      <c r="L205" s="60"/>
    </row>
    <row r="206" spans="1:12" ht="14.25">
      <c r="A206" s="71"/>
      <c r="B206" s="71"/>
      <c r="C206" s="71" t="s">
        <v>458</v>
      </c>
      <c r="D206" s="55"/>
      <c r="E206" s="50"/>
      <c r="F206" s="50"/>
      <c r="G206" s="50"/>
      <c r="H206" s="49">
        <f>H200+H201+H203</f>
        <v>158.98000000000002</v>
      </c>
      <c r="I206" s="56"/>
      <c r="J206" s="49">
        <f>J200+J201+J203</f>
        <v>69.52</v>
      </c>
      <c r="K206" s="56"/>
      <c r="L206" s="49"/>
    </row>
    <row r="207" spans="1:56" ht="42.75">
      <c r="A207" s="71" t="s">
        <v>138</v>
      </c>
      <c r="B207" s="71" t="str">
        <f>Source!F77</f>
        <v>14.4.01.02-0012</v>
      </c>
      <c r="C207" s="71" t="str">
        <f>Source!G77</f>
        <v>Грунтовка укрепляющая, глубокого проникновения, быстросохнущая, паропроницаемая</v>
      </c>
      <c r="D207" s="55" t="str">
        <f>Source!H77</f>
        <v>кг</v>
      </c>
      <c r="E207" s="101">
        <f>SmtRes!AT130</f>
        <v>21.394148</v>
      </c>
      <c r="F207" s="50"/>
      <c r="G207" s="101">
        <f>Source!I77</f>
        <v>8.129776</v>
      </c>
      <c r="H207" s="49">
        <f>Source!AL77+Source!AO77+Source!AM77</f>
        <v>13.08</v>
      </c>
      <c r="I207" s="56"/>
      <c r="J207" s="49">
        <f>ROUND(Source!AC77*Source!I77,2)+ROUND((((Source!ET77)-(Source!EU77))+Source!AE77)*Source!I77,2)+ROUND(Source!AF77*Source!I77,2)</f>
        <v>106.34</v>
      </c>
      <c r="K207" s="56"/>
      <c r="L207" s="49"/>
      <c r="AF207" s="47">
        <f>J207</f>
        <v>106.34</v>
      </c>
      <c r="AG207">
        <f>Source!X77</f>
        <v>0</v>
      </c>
      <c r="AH207">
        <f>Source!HK77</f>
        <v>0</v>
      </c>
      <c r="AI207">
        <f>Source!Y77</f>
        <v>0</v>
      </c>
      <c r="AJ207">
        <f>Source!HL77</f>
        <v>0</v>
      </c>
      <c r="AN207">
        <f>IF(Source!BI77&lt;=1,J207,0)</f>
        <v>106.34</v>
      </c>
      <c r="AO207">
        <f>IF(Source!BI77&lt;=1,J207,0)</f>
        <v>106.34</v>
      </c>
      <c r="AS207">
        <f>IF(Source!BI77&lt;=1,AH207,0)</f>
        <v>0</v>
      </c>
      <c r="AT207">
        <f>IF(Source!BI77&lt;=1,AJ207,0)</f>
        <v>0</v>
      </c>
      <c r="AX207">
        <f>IF(Source!BI77=2,J207,0)</f>
        <v>0</v>
      </c>
      <c r="AY207">
        <f>IF(Source!BI77=2,J207,0)</f>
        <v>0</v>
      </c>
      <c r="BC207">
        <f>IF(Source!BI77=2,AH207,0)</f>
        <v>0</v>
      </c>
      <c r="BD207">
        <f>IF(Source!BI77=2,AJ207,0)</f>
        <v>0</v>
      </c>
    </row>
    <row r="208" spans="1:12" ht="14.25">
      <c r="A208" s="71"/>
      <c r="B208" s="71"/>
      <c r="C208" s="71" t="s">
        <v>459</v>
      </c>
      <c r="D208" s="55"/>
      <c r="E208" s="50"/>
      <c r="F208" s="50"/>
      <c r="G208" s="50"/>
      <c r="H208" s="49"/>
      <c r="I208" s="56"/>
      <c r="J208" s="49">
        <f>SUM(Q197:Q211)+SUM(V197:V211)+SUM(X197:X211)+SUM(Y197:Y211)</f>
        <v>68.78</v>
      </c>
      <c r="K208" s="56"/>
      <c r="L208" s="49">
        <f>SUM(U197:U211)+SUM(W197:W211)+SUM(Z197:Z211)+SUM(AA197:AA211)</f>
        <v>2508.41</v>
      </c>
    </row>
    <row r="209" spans="1:12" ht="28.5">
      <c r="A209" s="71"/>
      <c r="B209" s="71" t="s">
        <v>478</v>
      </c>
      <c r="C209" s="71" t="s">
        <v>479</v>
      </c>
      <c r="D209" s="55" t="s">
        <v>461</v>
      </c>
      <c r="E209" s="50">
        <f>Source!BZ75</f>
        <v>100</v>
      </c>
      <c r="F209" s="50">
        <f>ROUND(0.9,7)</f>
        <v>0.9</v>
      </c>
      <c r="G209" s="50">
        <f>Source!AT75</f>
        <v>90</v>
      </c>
      <c r="H209" s="49"/>
      <c r="I209" s="56"/>
      <c r="J209" s="49">
        <f>SUM(AG197:AG211)</f>
        <v>61.9</v>
      </c>
      <c r="K209" s="56"/>
      <c r="L209" s="49">
        <f>SUM(AH197:AH211)</f>
        <v>2257.57</v>
      </c>
    </row>
    <row r="210" spans="1:12" ht="28.5">
      <c r="A210" s="73"/>
      <c r="B210" s="73" t="s">
        <v>480</v>
      </c>
      <c r="C210" s="73" t="s">
        <v>481</v>
      </c>
      <c r="D210" s="58" t="s">
        <v>461</v>
      </c>
      <c r="E210" s="59">
        <f>Source!CA75</f>
        <v>49</v>
      </c>
      <c r="F210" s="59">
        <f>ROUND(0.85,7)</f>
        <v>0.85</v>
      </c>
      <c r="G210" s="59">
        <f>Source!AU75</f>
        <v>41.65</v>
      </c>
      <c r="H210" s="60"/>
      <c r="I210" s="61"/>
      <c r="J210" s="60">
        <f>SUM(AI197:AI211)</f>
        <v>28.65</v>
      </c>
      <c r="K210" s="61"/>
      <c r="L210" s="60">
        <f>SUM(AJ197:AJ211)</f>
        <v>1044.75</v>
      </c>
    </row>
    <row r="211" spans="3:53" ht="15">
      <c r="C211" s="106" t="s">
        <v>463</v>
      </c>
      <c r="D211" s="106"/>
      <c r="E211" s="106"/>
      <c r="F211" s="106"/>
      <c r="G211" s="106"/>
      <c r="H211" s="106"/>
      <c r="I211" s="106">
        <f>J200+J201+J203+J209+J210+SUM(J207:J207)</f>
        <v>266.40999999999997</v>
      </c>
      <c r="J211" s="106"/>
      <c r="O211" s="47">
        <f>I211</f>
        <v>266.40999999999997</v>
      </c>
      <c r="P211">
        <f>K211</f>
        <v>0</v>
      </c>
      <c r="Q211" s="47">
        <f>J200</f>
        <v>68.61</v>
      </c>
      <c r="R211" s="47">
        <f>J200</f>
        <v>68.61</v>
      </c>
      <c r="U211" s="47">
        <f>L200</f>
        <v>2502.21</v>
      </c>
      <c r="X211" s="47">
        <f>J202</f>
        <v>0.17</v>
      </c>
      <c r="Z211" s="47">
        <f>L202</f>
        <v>6.2</v>
      </c>
      <c r="AB211" s="47">
        <f>J201</f>
        <v>0.77</v>
      </c>
      <c r="AD211" s="47">
        <f>L201</f>
        <v>0</v>
      </c>
      <c r="AF211" s="47">
        <f>J203</f>
        <v>0.14</v>
      </c>
      <c r="AN211">
        <f>IF(Source!BI75&lt;=1,J200+J201+J203+J209+J210,0)</f>
        <v>160.07</v>
      </c>
      <c r="AO211">
        <f>IF(Source!BI75&lt;=1,J203,0)</f>
        <v>0.14</v>
      </c>
      <c r="AP211">
        <f>IF(Source!BI75&lt;=1,J201,0)</f>
        <v>0.77</v>
      </c>
      <c r="AQ211">
        <f>IF(Source!BI75&lt;=1,J200,0)</f>
        <v>68.61</v>
      </c>
      <c r="AX211">
        <f>IF(Source!BI75=2,J200+J201+J203+J209+J210,0)</f>
        <v>0</v>
      </c>
      <c r="AY211">
        <f>IF(Source!BI75=2,J203,0)</f>
        <v>0</v>
      </c>
      <c r="AZ211">
        <f>IF(Source!BI75=2,J201,0)</f>
        <v>0</v>
      </c>
      <c r="BA211">
        <f>IF(Source!BI75=2,J200,0)</f>
        <v>0</v>
      </c>
    </row>
    <row r="212" spans="1:56" ht="144.75">
      <c r="A212" s="71">
        <v>12</v>
      </c>
      <c r="B212" s="71" t="str">
        <f>Source!F79</f>
        <v>11-01-049-01</v>
      </c>
      <c r="C212" s="71" t="s">
        <v>482</v>
      </c>
      <c r="D212" s="55" t="str">
        <f>Source!H79</f>
        <v>100 м</v>
      </c>
      <c r="E212" s="50">
        <f>Source!K79</f>
        <v>0.19</v>
      </c>
      <c r="F212" s="50"/>
      <c r="G212" s="50">
        <f>Source!I79</f>
        <v>0.19</v>
      </c>
      <c r="H212" s="49"/>
      <c r="I212" s="56"/>
      <c r="J212" s="49"/>
      <c r="K212" s="56"/>
      <c r="L212" s="49"/>
      <c r="AG212">
        <f>Source!X79</f>
        <v>32.03</v>
      </c>
      <c r="AH212">
        <f>Source!HK79</f>
        <v>1168.29</v>
      </c>
      <c r="AI212">
        <f>Source!Y79</f>
        <v>17.56</v>
      </c>
      <c r="AJ212">
        <f>Source!HL79</f>
        <v>640.36</v>
      </c>
      <c r="AS212">
        <f>IF(Source!BI79&lt;=1,AH212,0)</f>
        <v>1168.29</v>
      </c>
      <c r="AT212">
        <f>IF(Source!BI79&lt;=1,AJ212,0)</f>
        <v>640.36</v>
      </c>
      <c r="BC212">
        <f>IF(Source!BI79=2,AH212,0)</f>
        <v>0</v>
      </c>
      <c r="BD212">
        <f>IF(Source!BI79=2,AJ212,0)</f>
        <v>0</v>
      </c>
    </row>
    <row r="213" spans="2:3" ht="165.75">
      <c r="B213" s="48" t="str">
        <f>Source!EO79</f>
        <v>Поправка: М-ка 421/пр 04.08.20 п.58 п.п. б)</v>
      </c>
      <c r="C213" s="48" t="str">
        <f>Source!CN79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214" ht="12.75">
      <c r="C214" s="45" t="str">
        <f>"Объем: "&amp;Source!K79&amp;"=19/"&amp;"100"</f>
        <v>Объем: 0,19=19/100</v>
      </c>
    </row>
    <row r="215" spans="1:12" ht="14.25">
      <c r="A215" s="71"/>
      <c r="B215" s="72">
        <v>1</v>
      </c>
      <c r="C215" s="71" t="s">
        <v>451</v>
      </c>
      <c r="D215" s="55"/>
      <c r="E215" s="50"/>
      <c r="F215" s="50"/>
      <c r="G215" s="50"/>
      <c r="H215" s="49">
        <f>Source!AO79</f>
        <v>145.43</v>
      </c>
      <c r="I215" s="56">
        <f>ROUND(1.15,7)</f>
        <v>1.15</v>
      </c>
      <c r="J215" s="49">
        <f>ROUND(Source!AF79*Source!I79,2)</f>
        <v>31.78</v>
      </c>
      <c r="K215" s="56">
        <f>IF(Source!BA79&lt;&gt;0,Source!BA79,1)</f>
        <v>36.47</v>
      </c>
      <c r="L215" s="49">
        <f>Source!HJ79</f>
        <v>1159.02</v>
      </c>
    </row>
    <row r="216" spans="1:12" ht="14.25">
      <c r="A216" s="71"/>
      <c r="B216" s="72">
        <v>3</v>
      </c>
      <c r="C216" s="71" t="s">
        <v>452</v>
      </c>
      <c r="D216" s="55"/>
      <c r="E216" s="50"/>
      <c r="F216" s="50"/>
      <c r="G216" s="50"/>
      <c r="H216" s="49">
        <f>Source!AM79</f>
        <v>0</v>
      </c>
      <c r="I216" s="56">
        <f>ROUND(1.25,7)</f>
        <v>1.25</v>
      </c>
      <c r="J216" s="49">
        <f>ROUND(((((Source!ET79*ROUND(1.25,7)))-((Source!EU79*ROUND(1.25,7))))+Source!AE79)*Source!I79,2)</f>
        <v>0</v>
      </c>
      <c r="K216" s="56"/>
      <c r="L216" s="49"/>
    </row>
    <row r="217" spans="1:12" ht="14.25">
      <c r="A217" s="71"/>
      <c r="B217" s="72">
        <v>2</v>
      </c>
      <c r="C217" s="71" t="s">
        <v>453</v>
      </c>
      <c r="D217" s="55"/>
      <c r="E217" s="50"/>
      <c r="F217" s="50"/>
      <c r="G217" s="50"/>
      <c r="H217" s="49">
        <f>Source!AN79</f>
        <v>0</v>
      </c>
      <c r="I217" s="56">
        <f>ROUND(1.25,7)</f>
        <v>1.25</v>
      </c>
      <c r="J217" s="57">
        <f>ROUND(Source!AE79*Source!I79,2)</f>
        <v>0</v>
      </c>
      <c r="K217" s="56">
        <f>IF(Source!BS79&lt;&gt;0,Source!BS79,1)</f>
        <v>36.47</v>
      </c>
      <c r="L217" s="57">
        <f>Source!HI79</f>
        <v>0</v>
      </c>
    </row>
    <row r="218" spans="1:12" ht="14.25">
      <c r="A218" s="71"/>
      <c r="B218" s="72">
        <v>4</v>
      </c>
      <c r="C218" s="71" t="s">
        <v>454</v>
      </c>
      <c r="D218" s="55"/>
      <c r="E218" s="50"/>
      <c r="F218" s="50"/>
      <c r="G218" s="50"/>
      <c r="H218" s="49">
        <f>Source!AL79</f>
        <v>80.4</v>
      </c>
      <c r="I218" s="56"/>
      <c r="J218" s="49">
        <f>ROUND(Source!AC79*Source!I79,2)</f>
        <v>15.28</v>
      </c>
      <c r="K218" s="56"/>
      <c r="L218" s="49"/>
    </row>
    <row r="219" spans="1:12" ht="14.25">
      <c r="A219" s="71"/>
      <c r="B219" s="71"/>
      <c r="C219" s="71" t="s">
        <v>455</v>
      </c>
      <c r="D219" s="55" t="s">
        <v>456</v>
      </c>
      <c r="E219" s="50">
        <f>Source!AQ79</f>
        <v>16.64</v>
      </c>
      <c r="F219" s="50">
        <f>ROUND(1.15,7)</f>
        <v>1.15</v>
      </c>
      <c r="G219" s="101">
        <f>ROUND(Source!U79,7)</f>
        <v>3.63584</v>
      </c>
      <c r="H219" s="49"/>
      <c r="I219" s="56"/>
      <c r="J219" s="49"/>
      <c r="K219" s="56"/>
      <c r="L219" s="49"/>
    </row>
    <row r="220" spans="1:12" ht="14.25">
      <c r="A220" s="71"/>
      <c r="B220" s="71"/>
      <c r="C220" s="73" t="s">
        <v>457</v>
      </c>
      <c r="D220" s="58" t="s">
        <v>456</v>
      </c>
      <c r="E220" s="59">
        <f>Source!AR79</f>
        <v>0</v>
      </c>
      <c r="F220" s="59">
        <f>ROUND(1.25,7)</f>
        <v>1.25</v>
      </c>
      <c r="G220" s="59">
        <f>ROUND(Source!V79,7)</f>
        <v>0</v>
      </c>
      <c r="H220" s="60"/>
      <c r="I220" s="61"/>
      <c r="J220" s="60"/>
      <c r="K220" s="61"/>
      <c r="L220" s="60"/>
    </row>
    <row r="221" spans="1:12" ht="14.25">
      <c r="A221" s="71"/>
      <c r="B221" s="71"/>
      <c r="C221" s="71" t="s">
        <v>458</v>
      </c>
      <c r="D221" s="55"/>
      <c r="E221" s="50"/>
      <c r="F221" s="50"/>
      <c r="G221" s="50"/>
      <c r="H221" s="49">
        <f>H215+H216+H218</f>
        <v>225.83</v>
      </c>
      <c r="I221" s="56"/>
      <c r="J221" s="49">
        <f>J215+J216+J218</f>
        <v>47.06</v>
      </c>
      <c r="K221" s="56"/>
      <c r="L221" s="49"/>
    </row>
    <row r="222" spans="1:56" ht="28.5">
      <c r="A222" s="71" t="s">
        <v>143</v>
      </c>
      <c r="B222" s="71" t="str">
        <f>Source!F81</f>
        <v>09.2.03.04-0021</v>
      </c>
      <c r="C222" s="71" t="str">
        <f>Source!G81</f>
        <v>Профиль угловой алюминиевый перфорированный: PL 19х19 мм</v>
      </c>
      <c r="D222" s="55" t="str">
        <f>Source!H81</f>
        <v>10 м</v>
      </c>
      <c r="E222" s="101">
        <f>SmtRes!AT136</f>
        <v>10.068027</v>
      </c>
      <c r="F222" s="50"/>
      <c r="G222" s="101">
        <f>Source!I81</f>
        <v>1.9129250000000002</v>
      </c>
      <c r="H222" s="49">
        <f>Source!AL81+Source!AO81+Source!AM81</f>
        <v>13.27</v>
      </c>
      <c r="I222" s="56"/>
      <c r="J222" s="49">
        <f>ROUND(Source!AC81*Source!I81,2)+ROUND((((Source!ET81)-(Source!EU81))+Source!AE81)*Source!I81,2)+ROUND(Source!AF81*Source!I81,2)</f>
        <v>25.38</v>
      </c>
      <c r="K222" s="56"/>
      <c r="L222" s="49"/>
      <c r="AF222" s="47">
        <f>J222</f>
        <v>25.38</v>
      </c>
      <c r="AG222">
        <f>Source!X81</f>
        <v>0</v>
      </c>
      <c r="AH222">
        <f>Source!HK81</f>
        <v>0</v>
      </c>
      <c r="AI222">
        <f>Source!Y81</f>
        <v>0</v>
      </c>
      <c r="AJ222">
        <f>Source!HL81</f>
        <v>0</v>
      </c>
      <c r="AN222">
        <f>IF(Source!BI81&lt;=1,J222,0)</f>
        <v>25.38</v>
      </c>
      <c r="AO222">
        <f>IF(Source!BI81&lt;=1,J222,0)</f>
        <v>25.38</v>
      </c>
      <c r="AS222">
        <f>IF(Source!BI81&lt;=1,AH222,0)</f>
        <v>0</v>
      </c>
      <c r="AT222">
        <f>IF(Source!BI81&lt;=1,AJ222,0)</f>
        <v>0</v>
      </c>
      <c r="AX222">
        <f>IF(Source!BI81=2,J222,0)</f>
        <v>0</v>
      </c>
      <c r="AY222">
        <f>IF(Source!BI81=2,J222,0)</f>
        <v>0</v>
      </c>
      <c r="BC222">
        <f>IF(Source!BI81=2,AH222,0)</f>
        <v>0</v>
      </c>
      <c r="BD222">
        <f>IF(Source!BI81=2,AJ222,0)</f>
        <v>0</v>
      </c>
    </row>
    <row r="223" spans="1:12" ht="14.25">
      <c r="A223" s="71"/>
      <c r="B223" s="71"/>
      <c r="C223" s="71" t="s">
        <v>459</v>
      </c>
      <c r="D223" s="55"/>
      <c r="E223" s="50"/>
      <c r="F223" s="50"/>
      <c r="G223" s="50"/>
      <c r="H223" s="49"/>
      <c r="I223" s="56"/>
      <c r="J223" s="49">
        <f>SUM(Q212:Q226)+SUM(V212:V226)+SUM(X212:X226)+SUM(Y212:Y226)</f>
        <v>31.78</v>
      </c>
      <c r="K223" s="56"/>
      <c r="L223" s="49">
        <f>SUM(U212:U226)+SUM(W212:W226)+SUM(Z212:Z226)+SUM(AA212:AA226)</f>
        <v>1159.02</v>
      </c>
    </row>
    <row r="224" spans="1:12" ht="28.5">
      <c r="A224" s="71"/>
      <c r="B224" s="71" t="s">
        <v>470</v>
      </c>
      <c r="C224" s="71" t="s">
        <v>460</v>
      </c>
      <c r="D224" s="55" t="s">
        <v>461</v>
      </c>
      <c r="E224" s="50">
        <f>Source!BZ79</f>
        <v>112</v>
      </c>
      <c r="F224" s="50">
        <f>ROUND(0.9,7)</f>
        <v>0.9</v>
      </c>
      <c r="G224" s="50">
        <f>Source!AT79</f>
        <v>100.8</v>
      </c>
      <c r="H224" s="49"/>
      <c r="I224" s="56"/>
      <c r="J224" s="49">
        <f>SUM(AG212:AG226)</f>
        <v>32.03</v>
      </c>
      <c r="K224" s="56"/>
      <c r="L224" s="49">
        <f>SUM(AH212:AH226)</f>
        <v>1168.29</v>
      </c>
    </row>
    <row r="225" spans="1:12" ht="28.5">
      <c r="A225" s="73"/>
      <c r="B225" s="73" t="s">
        <v>471</v>
      </c>
      <c r="C225" s="73" t="s">
        <v>462</v>
      </c>
      <c r="D225" s="58" t="s">
        <v>461</v>
      </c>
      <c r="E225" s="59">
        <f>Source!CA79</f>
        <v>65</v>
      </c>
      <c r="F225" s="59">
        <f>ROUND(0.85,7)</f>
        <v>0.85</v>
      </c>
      <c r="G225" s="59">
        <f>Source!AU79</f>
        <v>55.25</v>
      </c>
      <c r="H225" s="60"/>
      <c r="I225" s="61"/>
      <c r="J225" s="60">
        <f>SUM(AI212:AI226)</f>
        <v>17.56</v>
      </c>
      <c r="K225" s="61"/>
      <c r="L225" s="60">
        <f>SUM(AJ212:AJ226)</f>
        <v>640.36</v>
      </c>
    </row>
    <row r="226" spans="3:53" ht="15">
      <c r="C226" s="106" t="s">
        <v>463</v>
      </c>
      <c r="D226" s="106"/>
      <c r="E226" s="106"/>
      <c r="F226" s="106"/>
      <c r="G226" s="106"/>
      <c r="H226" s="106"/>
      <c r="I226" s="106">
        <f>J215+J216+J218+J224+J225+SUM(J222:J222)</f>
        <v>122.03</v>
      </c>
      <c r="J226" s="106"/>
      <c r="O226" s="47">
        <f>I226</f>
        <v>122.03</v>
      </c>
      <c r="P226">
        <f>K226</f>
        <v>0</v>
      </c>
      <c r="Q226" s="47">
        <f>J215</f>
        <v>31.78</v>
      </c>
      <c r="R226" s="47">
        <f>J215</f>
        <v>31.78</v>
      </c>
      <c r="U226" s="47">
        <f>L215</f>
        <v>1159.02</v>
      </c>
      <c r="X226" s="47">
        <f>J217</f>
        <v>0</v>
      </c>
      <c r="Z226" s="47">
        <f>L217</f>
        <v>0</v>
      </c>
      <c r="AB226" s="47">
        <f>J216</f>
        <v>0</v>
      </c>
      <c r="AD226" s="47">
        <f>L216</f>
        <v>0</v>
      </c>
      <c r="AF226" s="47">
        <f>J218</f>
        <v>15.28</v>
      </c>
      <c r="AN226">
        <f>IF(Source!BI79&lt;=1,J215+J216+J218+J224+J225,0)</f>
        <v>96.65</v>
      </c>
      <c r="AO226">
        <f>IF(Source!BI79&lt;=1,J218,0)</f>
        <v>15.28</v>
      </c>
      <c r="AP226">
        <f>IF(Source!BI79&lt;=1,J216,0)</f>
        <v>0</v>
      </c>
      <c r="AQ226">
        <f>IF(Source!BI79&lt;=1,J215,0)</f>
        <v>31.78</v>
      </c>
      <c r="AX226">
        <f>IF(Source!BI79=2,J215+J216+J218+J224+J225,0)</f>
        <v>0</v>
      </c>
      <c r="AY226">
        <f>IF(Source!BI79=2,J218,0)</f>
        <v>0</v>
      </c>
      <c r="AZ226">
        <f>IF(Source!BI79=2,J216,0)</f>
        <v>0</v>
      </c>
      <c r="BA226">
        <f>IF(Source!BI79=2,J215,0)</f>
        <v>0</v>
      </c>
    </row>
    <row r="228" spans="1:95" ht="15">
      <c r="A228" s="63"/>
      <c r="B228" s="64"/>
      <c r="C228" s="105" t="s">
        <v>483</v>
      </c>
      <c r="D228" s="105"/>
      <c r="E228" s="105"/>
      <c r="F228" s="105"/>
      <c r="G228" s="105"/>
      <c r="H228" s="105"/>
      <c r="I228" s="65"/>
      <c r="J228" s="66">
        <f>J230+J231+J232+J233</f>
        <v>55773.07</v>
      </c>
      <c r="K228" s="66"/>
      <c r="L228" s="66"/>
      <c r="CQ228" s="76" t="s">
        <v>483</v>
      </c>
    </row>
    <row r="229" spans="1:12" ht="14.25">
      <c r="A229" s="67"/>
      <c r="B229" s="68"/>
      <c r="C229" s="104" t="s">
        <v>484</v>
      </c>
      <c r="D229" s="103"/>
      <c r="E229" s="103"/>
      <c r="F229" s="103"/>
      <c r="G229" s="103"/>
      <c r="H229" s="103"/>
      <c r="I229" s="69"/>
      <c r="J229" s="70"/>
      <c r="K229" s="70"/>
      <c r="L229" s="70"/>
    </row>
    <row r="230" spans="1:12" ht="14.25">
      <c r="A230" s="67"/>
      <c r="B230" s="68"/>
      <c r="C230" s="103" t="s">
        <v>485</v>
      </c>
      <c r="D230" s="103"/>
      <c r="E230" s="103"/>
      <c r="F230" s="103"/>
      <c r="G230" s="103"/>
      <c r="H230" s="103"/>
      <c r="I230" s="69"/>
      <c r="J230" s="70">
        <f>SUM(Q48:Q226)</f>
        <v>23789.3</v>
      </c>
      <c r="K230" s="70"/>
      <c r="L230" s="70"/>
    </row>
    <row r="231" spans="1:12" ht="14.25">
      <c r="A231" s="67"/>
      <c r="B231" s="68"/>
      <c r="C231" s="103" t="s">
        <v>486</v>
      </c>
      <c r="D231" s="103"/>
      <c r="E231" s="103"/>
      <c r="F231" s="103"/>
      <c r="G231" s="103"/>
      <c r="H231" s="103"/>
      <c r="I231" s="69"/>
      <c r="J231" s="70">
        <f>SUM(AB48:AB226)</f>
        <v>6102.360000000001</v>
      </c>
      <c r="K231" s="70"/>
      <c r="L231" s="70"/>
    </row>
    <row r="232" spans="1:12" ht="14.25">
      <c r="A232" s="67"/>
      <c r="B232" s="68"/>
      <c r="C232" s="103" t="s">
        <v>487</v>
      </c>
      <c r="D232" s="103"/>
      <c r="E232" s="103"/>
      <c r="F232" s="103"/>
      <c r="G232" s="103"/>
      <c r="H232" s="103"/>
      <c r="I232" s="69"/>
      <c r="J232" s="70">
        <f>Source!F86-J237</f>
        <v>25881.41</v>
      </c>
      <c r="K232" s="70"/>
      <c r="L232" s="70"/>
    </row>
    <row r="233" spans="1:12" ht="13.5" customHeight="1" hidden="1">
      <c r="A233" s="67"/>
      <c r="B233" s="68"/>
      <c r="C233" s="103" t="s">
        <v>488</v>
      </c>
      <c r="D233" s="103"/>
      <c r="E233" s="103"/>
      <c r="F233" s="103"/>
      <c r="G233" s="103"/>
      <c r="H233" s="103"/>
      <c r="I233" s="69"/>
      <c r="J233" s="70">
        <f>Source!F108</f>
        <v>0</v>
      </c>
      <c r="K233" s="70"/>
      <c r="L233" s="70"/>
    </row>
    <row r="234" spans="1:12" ht="14.25">
      <c r="A234" s="67"/>
      <c r="B234" s="68"/>
      <c r="C234" s="103" t="s">
        <v>489</v>
      </c>
      <c r="D234" s="103"/>
      <c r="E234" s="103"/>
      <c r="F234" s="103"/>
      <c r="G234" s="103"/>
      <c r="H234" s="103"/>
      <c r="I234" s="69"/>
      <c r="J234" s="70">
        <f>SUM(Q48:Q226)+SUM(X48:X226)</f>
        <v>24145.78</v>
      </c>
      <c r="K234" s="70"/>
      <c r="L234" s="70"/>
    </row>
    <row r="235" spans="1:12" ht="14.25">
      <c r="A235" s="67"/>
      <c r="B235" s="68"/>
      <c r="C235" s="103" t="s">
        <v>490</v>
      </c>
      <c r="D235" s="103"/>
      <c r="E235" s="103"/>
      <c r="F235" s="103"/>
      <c r="G235" s="103"/>
      <c r="H235" s="103"/>
      <c r="I235" s="69"/>
      <c r="J235" s="70">
        <f>Source!F109</f>
        <v>24089.8</v>
      </c>
      <c r="K235" s="70"/>
      <c r="L235" s="70"/>
    </row>
    <row r="236" spans="1:12" ht="14.25">
      <c r="A236" s="67"/>
      <c r="B236" s="68"/>
      <c r="C236" s="103" t="s">
        <v>491</v>
      </c>
      <c r="D236" s="103"/>
      <c r="E236" s="103"/>
      <c r="F236" s="103"/>
      <c r="G236" s="103"/>
      <c r="H236" s="103"/>
      <c r="I236" s="69"/>
      <c r="J236" s="70">
        <f>Source!F110</f>
        <v>13255.35</v>
      </c>
      <c r="K236" s="70"/>
      <c r="L236" s="70"/>
    </row>
    <row r="237" spans="1:12" ht="13.5" customHeight="1" hidden="1">
      <c r="A237" s="67"/>
      <c r="B237" s="68"/>
      <c r="C237" s="103" t="s">
        <v>492</v>
      </c>
      <c r="D237" s="103"/>
      <c r="E237" s="103"/>
      <c r="F237" s="103"/>
      <c r="G237" s="103"/>
      <c r="H237" s="103"/>
      <c r="I237" s="69"/>
      <c r="J237" s="70">
        <f>Source!F92</f>
        <v>0</v>
      </c>
      <c r="K237" s="70"/>
      <c r="L237" s="70"/>
    </row>
    <row r="238" spans="1:12" ht="13.5" customHeight="1" hidden="1">
      <c r="A238" s="67"/>
      <c r="B238" s="68"/>
      <c r="C238" s="103" t="s">
        <v>493</v>
      </c>
      <c r="D238" s="103"/>
      <c r="E238" s="103"/>
      <c r="F238" s="103"/>
      <c r="G238" s="103"/>
      <c r="H238" s="103"/>
      <c r="I238" s="69"/>
      <c r="J238" s="70">
        <f>Source!F102</f>
        <v>0</v>
      </c>
      <c r="K238" s="70"/>
      <c r="L238" s="70"/>
    </row>
    <row r="239" spans="1:12" ht="15">
      <c r="A239" s="63"/>
      <c r="B239" s="64"/>
      <c r="C239" s="105" t="s">
        <v>494</v>
      </c>
      <c r="D239" s="105"/>
      <c r="E239" s="105"/>
      <c r="F239" s="105"/>
      <c r="G239" s="105"/>
      <c r="H239" s="105"/>
      <c r="I239" s="65"/>
      <c r="J239" s="66">
        <f>Source!F111</f>
        <v>93118.22</v>
      </c>
      <c r="K239" s="66"/>
      <c r="L239" s="66"/>
    </row>
    <row r="240" spans="1:12" ht="13.5" customHeight="1" hidden="1">
      <c r="A240" s="67"/>
      <c r="B240" s="68"/>
      <c r="C240" s="104" t="s">
        <v>484</v>
      </c>
      <c r="D240" s="103"/>
      <c r="E240" s="103"/>
      <c r="F240" s="103"/>
      <c r="G240" s="103"/>
      <c r="H240" s="103"/>
      <c r="I240" s="69"/>
      <c r="J240" s="70"/>
      <c r="K240" s="70"/>
      <c r="L240" s="70"/>
    </row>
    <row r="241" spans="1:12" ht="13.5" customHeight="1" hidden="1">
      <c r="A241" s="67"/>
      <c r="B241" s="68"/>
      <c r="C241" s="103" t="s">
        <v>495</v>
      </c>
      <c r="D241" s="103"/>
      <c r="E241" s="103"/>
      <c r="F241" s="103"/>
      <c r="G241" s="103"/>
      <c r="H241" s="103"/>
      <c r="I241" s="69"/>
      <c r="J241" s="70"/>
      <c r="K241" s="70"/>
      <c r="L241" s="70">
        <f>SUM(BS48:BS226)</f>
        <v>0</v>
      </c>
    </row>
    <row r="242" spans="1:12" ht="13.5" customHeight="1" hidden="1">
      <c r="A242" s="67"/>
      <c r="B242" s="68"/>
      <c r="C242" s="103" t="s">
        <v>496</v>
      </c>
      <c r="D242" s="103"/>
      <c r="E242" s="103"/>
      <c r="F242" s="103"/>
      <c r="G242" s="103"/>
      <c r="H242" s="103"/>
      <c r="I242" s="69"/>
      <c r="J242" s="70"/>
      <c r="K242" s="70"/>
      <c r="L242" s="70">
        <f>SUM(BT48:BT226)</f>
        <v>0</v>
      </c>
    </row>
    <row r="244" spans="1:12" ht="16.5">
      <c r="A244" s="110" t="s">
        <v>497</v>
      </c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1:56" ht="130.5">
      <c r="A245" s="71">
        <v>13</v>
      </c>
      <c r="B245" s="71" t="str">
        <f>Source!F118</f>
        <v>11-01-050-01</v>
      </c>
      <c r="C245" s="71" t="s">
        <v>498</v>
      </c>
      <c r="D245" s="55" t="str">
        <f>Source!H118</f>
        <v>100 м2</v>
      </c>
      <c r="E245" s="50">
        <f>Source!K118</f>
        <v>3.3</v>
      </c>
      <c r="F245" s="50"/>
      <c r="G245" s="50">
        <f>Source!I118</f>
        <v>3.3</v>
      </c>
      <c r="H245" s="49"/>
      <c r="I245" s="56"/>
      <c r="J245" s="49"/>
      <c r="K245" s="56"/>
      <c r="L245" s="49"/>
      <c r="AG245">
        <f>Source!X118</f>
        <v>113.53</v>
      </c>
      <c r="AH245">
        <f>Source!HK118</f>
        <v>4140.47</v>
      </c>
      <c r="AI245">
        <f>Source!Y118</f>
        <v>62.23</v>
      </c>
      <c r="AJ245">
        <f>Source!HL118</f>
        <v>2269.45</v>
      </c>
      <c r="AS245">
        <f>IF(Source!BI118&lt;=1,AH245,0)</f>
        <v>4140.47</v>
      </c>
      <c r="AT245">
        <f>IF(Source!BI118&lt;=1,AJ245,0)</f>
        <v>2269.45</v>
      </c>
      <c r="BC245">
        <f>IF(Source!BI118=2,AH245,0)</f>
        <v>0</v>
      </c>
      <c r="BD245">
        <f>IF(Source!BI118=2,AJ245,0)</f>
        <v>0</v>
      </c>
    </row>
    <row r="246" spans="2:3" ht="165.75">
      <c r="B246" s="48" t="str">
        <f>Source!EO118</f>
        <v>Поправка: М-ка 421/пр 04.08.20 п.58 п.п. б)</v>
      </c>
      <c r="C246" s="48" t="str">
        <f>Source!CN118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247" ht="12.75">
      <c r="C247" s="45" t="str">
        <f>"Объем: "&amp;Source!K118&amp;"=330/"&amp;"100"</f>
        <v>Объем: 3,3=330/100</v>
      </c>
    </row>
    <row r="248" spans="1:12" ht="14.25">
      <c r="A248" s="71"/>
      <c r="B248" s="72">
        <v>1</v>
      </c>
      <c r="C248" s="71" t="s">
        <v>451</v>
      </c>
      <c r="D248" s="55"/>
      <c r="E248" s="50"/>
      <c r="F248" s="50"/>
      <c r="G248" s="50"/>
      <c r="H248" s="49">
        <f>Source!AO118</f>
        <v>29.43</v>
      </c>
      <c r="I248" s="56">
        <f>ROUND(1.15,7)</f>
        <v>1.15</v>
      </c>
      <c r="J248" s="49">
        <f>ROUND(Source!AF118*Source!I118,2)</f>
        <v>111.67</v>
      </c>
      <c r="K248" s="56">
        <f>IF(Source!BA118&lt;&gt;0,Source!BA118,1)</f>
        <v>36.47</v>
      </c>
      <c r="L248" s="49">
        <f>Source!HJ118</f>
        <v>4072.6</v>
      </c>
    </row>
    <row r="249" spans="1:12" ht="14.25">
      <c r="A249" s="71"/>
      <c r="B249" s="72">
        <v>3</v>
      </c>
      <c r="C249" s="71" t="s">
        <v>452</v>
      </c>
      <c r="D249" s="55"/>
      <c r="E249" s="50"/>
      <c r="F249" s="50"/>
      <c r="G249" s="50"/>
      <c r="H249" s="49">
        <f>Source!AM118</f>
        <v>1.31</v>
      </c>
      <c r="I249" s="56">
        <f>ROUND(1.25,7)</f>
        <v>1.25</v>
      </c>
      <c r="J249" s="49">
        <f>ROUND(((((Source!ET118*ROUND(1.25,7)))-((Source!EU118*ROUND(1.25,7))))+Source!AE118)*Source!I118,2)</f>
        <v>5.41</v>
      </c>
      <c r="K249" s="56"/>
      <c r="L249" s="49"/>
    </row>
    <row r="250" spans="1:12" ht="14.25">
      <c r="A250" s="71"/>
      <c r="B250" s="72">
        <v>2</v>
      </c>
      <c r="C250" s="71" t="s">
        <v>453</v>
      </c>
      <c r="D250" s="55"/>
      <c r="E250" s="50"/>
      <c r="F250" s="50"/>
      <c r="G250" s="50"/>
      <c r="H250" s="49">
        <f>Source!AN118</f>
        <v>0.23</v>
      </c>
      <c r="I250" s="56">
        <f>ROUND(1.25,7)</f>
        <v>1.25</v>
      </c>
      <c r="J250" s="57">
        <f>ROUND(Source!AE118*Source!I118,2)</f>
        <v>0.96</v>
      </c>
      <c r="K250" s="56">
        <f>IF(Source!BS118&lt;&gt;0,Source!BS118,1)</f>
        <v>36.47</v>
      </c>
      <c r="L250" s="57">
        <f>Source!HI118</f>
        <v>35.01</v>
      </c>
    </row>
    <row r="251" spans="1:12" ht="14.25">
      <c r="A251" s="71"/>
      <c r="B251" s="72">
        <v>4</v>
      </c>
      <c r="C251" s="71" t="s">
        <v>454</v>
      </c>
      <c r="D251" s="55"/>
      <c r="E251" s="50"/>
      <c r="F251" s="50"/>
      <c r="G251" s="50"/>
      <c r="H251" s="49">
        <f>Source!AL118</f>
        <v>1492.06</v>
      </c>
      <c r="I251" s="56"/>
      <c r="J251" s="49">
        <f>ROUND(Source!AC118*Source!I118,2)</f>
        <v>4923.8</v>
      </c>
      <c r="K251" s="56"/>
      <c r="L251" s="49"/>
    </row>
    <row r="252" spans="1:12" ht="14.25">
      <c r="A252" s="71"/>
      <c r="B252" s="71"/>
      <c r="C252" s="71" t="s">
        <v>455</v>
      </c>
      <c r="D252" s="55" t="s">
        <v>456</v>
      </c>
      <c r="E252" s="50">
        <f>Source!AQ118</f>
        <v>3.45</v>
      </c>
      <c r="F252" s="50">
        <f>ROUND(1.15,7)</f>
        <v>1.15</v>
      </c>
      <c r="G252" s="101">
        <f>ROUND(Source!U118,7)</f>
        <v>13.09275</v>
      </c>
      <c r="H252" s="49"/>
      <c r="I252" s="56"/>
      <c r="J252" s="49"/>
      <c r="K252" s="56"/>
      <c r="L252" s="49"/>
    </row>
    <row r="253" spans="1:12" ht="14.25">
      <c r="A253" s="71"/>
      <c r="B253" s="71"/>
      <c r="C253" s="73" t="s">
        <v>457</v>
      </c>
      <c r="D253" s="58" t="s">
        <v>456</v>
      </c>
      <c r="E253" s="59">
        <f>Source!AR118</f>
        <v>0.02</v>
      </c>
      <c r="F253" s="59">
        <f>ROUND(1.25,7)</f>
        <v>1.25</v>
      </c>
      <c r="G253" s="102">
        <f>ROUND(Source!V118,7)</f>
        <v>0.0825</v>
      </c>
      <c r="H253" s="60"/>
      <c r="I253" s="61"/>
      <c r="J253" s="60"/>
      <c r="K253" s="61"/>
      <c r="L253" s="60"/>
    </row>
    <row r="254" spans="1:12" ht="14.25">
      <c r="A254" s="71"/>
      <c r="B254" s="71"/>
      <c r="C254" s="71" t="s">
        <v>458</v>
      </c>
      <c r="D254" s="55"/>
      <c r="E254" s="50"/>
      <c r="F254" s="50"/>
      <c r="G254" s="50"/>
      <c r="H254" s="49">
        <f>H248+H249+H251</f>
        <v>1522.8</v>
      </c>
      <c r="I254" s="56"/>
      <c r="J254" s="49">
        <f>J248+J249+J251</f>
        <v>5040.88</v>
      </c>
      <c r="K254" s="56"/>
      <c r="L254" s="49"/>
    </row>
    <row r="255" spans="1:12" ht="14.25">
      <c r="A255" s="71"/>
      <c r="B255" s="71"/>
      <c r="C255" s="71" t="s">
        <v>459</v>
      </c>
      <c r="D255" s="55"/>
      <c r="E255" s="50"/>
      <c r="F255" s="50"/>
      <c r="G255" s="50"/>
      <c r="H255" s="49"/>
      <c r="I255" s="56"/>
      <c r="J255" s="49">
        <f>SUM(Q245:Q258)+SUM(V245:V258)+SUM(X245:X258)+SUM(Y245:Y258)</f>
        <v>112.63</v>
      </c>
      <c r="K255" s="56"/>
      <c r="L255" s="49">
        <f>SUM(U245:U258)+SUM(W245:W258)+SUM(Z245:Z258)+SUM(AA245:AA258)</f>
        <v>4107.61</v>
      </c>
    </row>
    <row r="256" spans="1:12" ht="28.5">
      <c r="A256" s="71"/>
      <c r="B256" s="71" t="s">
        <v>470</v>
      </c>
      <c r="C256" s="71" t="s">
        <v>460</v>
      </c>
      <c r="D256" s="55" t="s">
        <v>461</v>
      </c>
      <c r="E256" s="50">
        <f>Source!BZ118</f>
        <v>112</v>
      </c>
      <c r="F256" s="50">
        <f>ROUND(0.9,7)</f>
        <v>0.9</v>
      </c>
      <c r="G256" s="50">
        <f>Source!AT118</f>
        <v>100.8</v>
      </c>
      <c r="H256" s="49"/>
      <c r="I256" s="56"/>
      <c r="J256" s="49">
        <f>SUM(AG245:AG258)</f>
        <v>113.53</v>
      </c>
      <c r="K256" s="56"/>
      <c r="L256" s="49">
        <f>SUM(AH245:AH258)</f>
        <v>4140.47</v>
      </c>
    </row>
    <row r="257" spans="1:12" ht="28.5">
      <c r="A257" s="73"/>
      <c r="B257" s="73" t="s">
        <v>471</v>
      </c>
      <c r="C257" s="73" t="s">
        <v>462</v>
      </c>
      <c r="D257" s="58" t="s">
        <v>461</v>
      </c>
      <c r="E257" s="59">
        <f>Source!CA118</f>
        <v>65</v>
      </c>
      <c r="F257" s="59">
        <f>ROUND(0.85,7)</f>
        <v>0.85</v>
      </c>
      <c r="G257" s="59">
        <f>Source!AU118</f>
        <v>55.25</v>
      </c>
      <c r="H257" s="60"/>
      <c r="I257" s="61"/>
      <c r="J257" s="60">
        <f>SUM(AI245:AI258)</f>
        <v>62.23</v>
      </c>
      <c r="K257" s="61"/>
      <c r="L257" s="60">
        <f>SUM(AJ245:AJ258)</f>
        <v>2269.45</v>
      </c>
    </row>
    <row r="258" spans="3:53" ht="15">
      <c r="C258" s="106" t="s">
        <v>463</v>
      </c>
      <c r="D258" s="106"/>
      <c r="E258" s="106"/>
      <c r="F258" s="106"/>
      <c r="G258" s="106"/>
      <c r="H258" s="106"/>
      <c r="I258" s="106">
        <f>J248+J249+J251+J256+J257</f>
        <v>5216.639999999999</v>
      </c>
      <c r="J258" s="106"/>
      <c r="O258" s="47">
        <f>I258</f>
        <v>5216.639999999999</v>
      </c>
      <c r="P258">
        <f>K258</f>
        <v>0</v>
      </c>
      <c r="Q258" s="47">
        <f>J248</f>
        <v>111.67</v>
      </c>
      <c r="R258" s="47">
        <f>J248</f>
        <v>111.67</v>
      </c>
      <c r="U258" s="47">
        <f>L248</f>
        <v>4072.6</v>
      </c>
      <c r="X258" s="47">
        <f>J250</f>
        <v>0.96</v>
      </c>
      <c r="Z258" s="47">
        <f>L250</f>
        <v>35.01</v>
      </c>
      <c r="AB258" s="47">
        <f>J249</f>
        <v>5.41</v>
      </c>
      <c r="AD258" s="47">
        <f>L249</f>
        <v>0</v>
      </c>
      <c r="AF258" s="47">
        <f>J251</f>
        <v>4923.8</v>
      </c>
      <c r="AN258">
        <f>IF(Source!BI118&lt;=1,J248+J249+J251+J256+J257,0)</f>
        <v>5216.639999999999</v>
      </c>
      <c r="AO258">
        <f>IF(Source!BI118&lt;=1,J251,0)</f>
        <v>4923.8</v>
      </c>
      <c r="AP258">
        <f>IF(Source!BI118&lt;=1,J249,0)</f>
        <v>5.41</v>
      </c>
      <c r="AQ258">
        <f>IF(Source!BI118&lt;=1,J248,0)</f>
        <v>111.67</v>
      </c>
      <c r="AX258">
        <f>IF(Source!BI118=2,J248+J249+J251+J256+J257,0)</f>
        <v>0</v>
      </c>
      <c r="AY258">
        <f>IF(Source!BI118=2,J251,0)</f>
        <v>0</v>
      </c>
      <c r="AZ258">
        <f>IF(Source!BI118=2,J249,0)</f>
        <v>0</v>
      </c>
      <c r="BA258">
        <f>IF(Source!BI118=2,J248,0)</f>
        <v>0</v>
      </c>
    </row>
    <row r="259" spans="1:56" ht="28.5">
      <c r="A259" s="71">
        <v>14</v>
      </c>
      <c r="B259" s="71" t="str">
        <f>Source!F120</f>
        <v>69-9-1</v>
      </c>
      <c r="C259" s="71" t="str">
        <f>Source!G120</f>
        <v>Очистка помещений от строительного мусора</v>
      </c>
      <c r="D259" s="55" t="str">
        <f>Source!H120</f>
        <v>100 т</v>
      </c>
      <c r="E259" s="50">
        <f>Source!K120</f>
        <v>0.2887</v>
      </c>
      <c r="F259" s="50"/>
      <c r="G259" s="50">
        <f>Source!I120</f>
        <v>0.2887</v>
      </c>
      <c r="H259" s="49"/>
      <c r="I259" s="56"/>
      <c r="J259" s="49"/>
      <c r="K259" s="56"/>
      <c r="L259" s="49"/>
      <c r="AG259">
        <f>Source!X120</f>
        <v>362.02</v>
      </c>
      <c r="AH259">
        <f>Source!HK120</f>
        <v>13202.87</v>
      </c>
      <c r="AI259">
        <f>Source!Y120</f>
        <v>173.14</v>
      </c>
      <c r="AJ259">
        <f>Source!HL120</f>
        <v>6314.42</v>
      </c>
      <c r="AS259">
        <f>IF(Source!BI120&lt;=1,AH259,0)</f>
        <v>13202.87</v>
      </c>
      <c r="AT259">
        <f>IF(Source!BI120&lt;=1,AJ259,0)</f>
        <v>6314.42</v>
      </c>
      <c r="BC259">
        <f>IF(Source!BI120=2,AH259,0)</f>
        <v>0</v>
      </c>
      <c r="BD259">
        <f>IF(Source!BI120=2,AJ259,0)</f>
        <v>0</v>
      </c>
    </row>
    <row r="261" ht="12.75">
      <c r="C261" s="45" t="str">
        <f>"Объем: "&amp;Source!K120&amp;"=28,87/"&amp;"100"</f>
        <v>Объем: 0,2887=28,87/100</v>
      </c>
    </row>
    <row r="262" spans="1:12" ht="14.25">
      <c r="A262" s="71"/>
      <c r="B262" s="72">
        <v>1</v>
      </c>
      <c r="C262" s="71" t="s">
        <v>451</v>
      </c>
      <c r="D262" s="55"/>
      <c r="E262" s="50"/>
      <c r="F262" s="50"/>
      <c r="G262" s="50"/>
      <c r="H262" s="49">
        <f>Source!AO120</f>
        <v>1363</v>
      </c>
      <c r="I262" s="56"/>
      <c r="J262" s="49">
        <f>ROUND(Source!AF120*Source!I120,2)</f>
        <v>393.5</v>
      </c>
      <c r="K262" s="56">
        <f>IF(Source!BA120&lt;&gt;0,Source!BA120,1)</f>
        <v>36.47</v>
      </c>
      <c r="L262" s="49">
        <f>Source!HJ120</f>
        <v>14350.95</v>
      </c>
    </row>
    <row r="263" spans="1:12" ht="14.25">
      <c r="A263" s="71"/>
      <c r="B263" s="72">
        <v>3</v>
      </c>
      <c r="C263" s="71" t="s">
        <v>452</v>
      </c>
      <c r="D263" s="55"/>
      <c r="E263" s="50"/>
      <c r="F263" s="50"/>
      <c r="G263" s="50"/>
      <c r="H263" s="49">
        <f>Source!AM120</f>
        <v>0</v>
      </c>
      <c r="I263" s="56"/>
      <c r="J263" s="49">
        <f>ROUND((((Source!ET120)-(Source!EU120))+Source!AE120)*Source!I120,2)</f>
        <v>0</v>
      </c>
      <c r="K263" s="56"/>
      <c r="L263" s="49"/>
    </row>
    <row r="264" spans="1:12" ht="14.25">
      <c r="A264" s="71"/>
      <c r="B264" s="72">
        <v>2</v>
      </c>
      <c r="C264" s="71" t="s">
        <v>453</v>
      </c>
      <c r="D264" s="55"/>
      <c r="E264" s="50"/>
      <c r="F264" s="50"/>
      <c r="G264" s="50"/>
      <c r="H264" s="49">
        <f>Source!AN120</f>
        <v>0</v>
      </c>
      <c r="I264" s="56"/>
      <c r="J264" s="57">
        <f>ROUND(Source!AE120*Source!I120,2)</f>
        <v>0</v>
      </c>
      <c r="K264" s="56">
        <f>IF(Source!BS120&lt;&gt;0,Source!BS120,1)</f>
        <v>36.47</v>
      </c>
      <c r="L264" s="57">
        <f>Source!HI120</f>
        <v>0</v>
      </c>
    </row>
    <row r="265" spans="1:12" ht="14.25">
      <c r="A265" s="71"/>
      <c r="B265" s="72">
        <v>4</v>
      </c>
      <c r="C265" s="71" t="s">
        <v>454</v>
      </c>
      <c r="D265" s="55"/>
      <c r="E265" s="50"/>
      <c r="F265" s="50"/>
      <c r="G265" s="50"/>
      <c r="H265" s="49">
        <f>Source!AL120</f>
        <v>0</v>
      </c>
      <c r="I265" s="56"/>
      <c r="J265" s="49">
        <f>ROUND(Source!AC120*Source!I120,2)</f>
        <v>0</v>
      </c>
      <c r="K265" s="56"/>
      <c r="L265" s="49"/>
    </row>
    <row r="266" spans="1:12" ht="14.25">
      <c r="A266" s="71"/>
      <c r="B266" s="71"/>
      <c r="C266" s="71" t="s">
        <v>455</v>
      </c>
      <c r="D266" s="55" t="s">
        <v>456</v>
      </c>
      <c r="E266" s="50">
        <f>Source!AQ120</f>
        <v>188</v>
      </c>
      <c r="F266" s="50"/>
      <c r="G266" s="101">
        <f>ROUND(Source!U120,7)</f>
        <v>54.2756</v>
      </c>
      <c r="H266" s="49"/>
      <c r="I266" s="56"/>
      <c r="J266" s="49"/>
      <c r="K266" s="56"/>
      <c r="L266" s="49"/>
    </row>
    <row r="267" spans="1:12" ht="14.25">
      <c r="A267" s="71"/>
      <c r="B267" s="71"/>
      <c r="C267" s="73" t="s">
        <v>457</v>
      </c>
      <c r="D267" s="58" t="s">
        <v>456</v>
      </c>
      <c r="E267" s="59">
        <f>Source!AR120</f>
        <v>0</v>
      </c>
      <c r="F267" s="59"/>
      <c r="G267" s="59">
        <f>ROUND(Source!V120,7)</f>
        <v>0</v>
      </c>
      <c r="H267" s="60"/>
      <c r="I267" s="61"/>
      <c r="J267" s="60"/>
      <c r="K267" s="61"/>
      <c r="L267" s="60"/>
    </row>
    <row r="268" spans="1:12" ht="14.25">
      <c r="A268" s="71"/>
      <c r="B268" s="71"/>
      <c r="C268" s="71" t="s">
        <v>458</v>
      </c>
      <c r="D268" s="55"/>
      <c r="E268" s="50"/>
      <c r="F268" s="50"/>
      <c r="G268" s="50"/>
      <c r="H268" s="49">
        <f>H262+H263+H265</f>
        <v>1363</v>
      </c>
      <c r="I268" s="56"/>
      <c r="J268" s="49">
        <f>J262+J263+J265</f>
        <v>393.5</v>
      </c>
      <c r="K268" s="56"/>
      <c r="L268" s="49"/>
    </row>
    <row r="269" spans="1:12" ht="14.25">
      <c r="A269" s="71"/>
      <c r="B269" s="71"/>
      <c r="C269" s="71" t="s">
        <v>459</v>
      </c>
      <c r="D269" s="55"/>
      <c r="E269" s="50"/>
      <c r="F269" s="50"/>
      <c r="G269" s="50"/>
      <c r="H269" s="49"/>
      <c r="I269" s="56"/>
      <c r="J269" s="49">
        <f>SUM(Q259:Q272)+SUM(V259:V272)+SUM(X259:X272)+SUM(Y259:Y272)</f>
        <v>393.5</v>
      </c>
      <c r="K269" s="56"/>
      <c r="L269" s="49">
        <f>SUM(U259:U272)+SUM(W259:W272)+SUM(Z259:Z272)+SUM(AA259:AA272)</f>
        <v>14350.95</v>
      </c>
    </row>
    <row r="270" spans="1:12" ht="28.5">
      <c r="A270" s="71"/>
      <c r="B270" s="71" t="s">
        <v>214</v>
      </c>
      <c r="C270" s="71" t="s">
        <v>499</v>
      </c>
      <c r="D270" s="55" t="s">
        <v>461</v>
      </c>
      <c r="E270" s="50">
        <f>Source!BZ120</f>
        <v>92</v>
      </c>
      <c r="F270" s="50"/>
      <c r="G270" s="50">
        <f>Source!AT120</f>
        <v>92</v>
      </c>
      <c r="H270" s="49"/>
      <c r="I270" s="56"/>
      <c r="J270" s="49">
        <f>SUM(AG259:AG272)</f>
        <v>362.02</v>
      </c>
      <c r="K270" s="56"/>
      <c r="L270" s="49">
        <f>SUM(AH259:AH272)</f>
        <v>13202.87</v>
      </c>
    </row>
    <row r="271" spans="1:12" ht="28.5">
      <c r="A271" s="73"/>
      <c r="B271" s="73" t="s">
        <v>215</v>
      </c>
      <c r="C271" s="73" t="s">
        <v>500</v>
      </c>
      <c r="D271" s="58" t="s">
        <v>461</v>
      </c>
      <c r="E271" s="59">
        <f>Source!CA120</f>
        <v>44</v>
      </c>
      <c r="F271" s="59"/>
      <c r="G271" s="59">
        <f>Source!AU120</f>
        <v>44</v>
      </c>
      <c r="H271" s="60"/>
      <c r="I271" s="61"/>
      <c r="J271" s="60">
        <f>SUM(AI259:AI272)</f>
        <v>173.14</v>
      </c>
      <c r="K271" s="61"/>
      <c r="L271" s="60">
        <f>SUM(AJ259:AJ272)</f>
        <v>6314.42</v>
      </c>
    </row>
    <row r="272" spans="3:53" ht="15">
      <c r="C272" s="106" t="s">
        <v>463</v>
      </c>
      <c r="D272" s="106"/>
      <c r="E272" s="106"/>
      <c r="F272" s="106"/>
      <c r="G272" s="106"/>
      <c r="H272" s="106"/>
      <c r="I272" s="106">
        <f>J262+J263+J265+J270+J271</f>
        <v>928.66</v>
      </c>
      <c r="J272" s="106"/>
      <c r="O272" s="47">
        <f>I272</f>
        <v>928.66</v>
      </c>
      <c r="P272">
        <f>K272</f>
        <v>0</v>
      </c>
      <c r="Q272" s="47">
        <f>J262</f>
        <v>393.5</v>
      </c>
      <c r="R272" s="47">
        <f>J262</f>
        <v>393.5</v>
      </c>
      <c r="U272" s="47">
        <f>L262</f>
        <v>14350.95</v>
      </c>
      <c r="X272" s="47">
        <f>J264</f>
        <v>0</v>
      </c>
      <c r="Z272" s="47">
        <f>L264</f>
        <v>0</v>
      </c>
      <c r="AB272" s="47">
        <f>J263</f>
        <v>0</v>
      </c>
      <c r="AD272" s="47">
        <f>L263</f>
        <v>0</v>
      </c>
      <c r="AF272" s="47">
        <f>J265</f>
        <v>0</v>
      </c>
      <c r="AN272">
        <f>IF(Source!BI120&lt;=1,J262+J263+J265+J270+J271,0)</f>
        <v>928.66</v>
      </c>
      <c r="AO272">
        <f>IF(Source!BI120&lt;=1,J265,0)</f>
        <v>0</v>
      </c>
      <c r="AP272">
        <f>IF(Source!BI120&lt;=1,J263,0)</f>
        <v>0</v>
      </c>
      <c r="AQ272">
        <f>IF(Source!BI120&lt;=1,J262,0)</f>
        <v>393.5</v>
      </c>
      <c r="AX272">
        <f>IF(Source!BI120=2,J262+J263+J265+J270+J271,0)</f>
        <v>0</v>
      </c>
      <c r="AY272">
        <f>IF(Source!BI120=2,J265,0)</f>
        <v>0</v>
      </c>
      <c r="AZ272">
        <f>IF(Source!BI120=2,J263,0)</f>
        <v>0</v>
      </c>
      <c r="BA272">
        <f>IF(Source!BI120=2,J262,0)</f>
        <v>0</v>
      </c>
    </row>
    <row r="273" spans="1:56" ht="28.5">
      <c r="A273" s="71">
        <v>15</v>
      </c>
      <c r="B273" s="71" t="str">
        <f>Source!F124</f>
        <v>69-15-1</v>
      </c>
      <c r="C273" s="71" t="str">
        <f>Source!G124</f>
        <v>Затаривание строительного мусора в мешки</v>
      </c>
      <c r="D273" s="55" t="str">
        <f>Source!H124</f>
        <v>т</v>
      </c>
      <c r="E273" s="50">
        <f>Source!K124</f>
        <v>28.87</v>
      </c>
      <c r="F273" s="50"/>
      <c r="G273" s="50">
        <f>Source!I124</f>
        <v>28.87</v>
      </c>
      <c r="H273" s="49"/>
      <c r="I273" s="56"/>
      <c r="J273" s="49"/>
      <c r="K273" s="56"/>
      <c r="L273" s="49"/>
      <c r="AG273">
        <f>Source!X124</f>
        <v>196.82</v>
      </c>
      <c r="AH273">
        <f>Source!HK124</f>
        <v>7177.87</v>
      </c>
      <c r="AI273">
        <f>Source!Y124</f>
        <v>94.13</v>
      </c>
      <c r="AJ273">
        <f>Source!HL124</f>
        <v>3432.89</v>
      </c>
      <c r="AS273">
        <f>IF(Source!BI124&lt;=1,AH273,0)</f>
        <v>7177.87</v>
      </c>
      <c r="AT273">
        <f>IF(Source!BI124&lt;=1,AJ273,0)</f>
        <v>3432.89</v>
      </c>
      <c r="BC273">
        <f>IF(Source!BI124=2,AH273,0)</f>
        <v>0</v>
      </c>
      <c r="BD273">
        <f>IF(Source!BI124=2,AJ273,0)</f>
        <v>0</v>
      </c>
    </row>
    <row r="275" spans="1:12" ht="14.25">
      <c r="A275" s="71"/>
      <c r="B275" s="72">
        <v>1</v>
      </c>
      <c r="C275" s="71" t="s">
        <v>451</v>
      </c>
      <c r="D275" s="55"/>
      <c r="E275" s="50"/>
      <c r="F275" s="50"/>
      <c r="G275" s="50"/>
      <c r="H275" s="49">
        <f>Source!AO124</f>
        <v>7.41</v>
      </c>
      <c r="I275" s="56"/>
      <c r="J275" s="49">
        <f>ROUND(Source!AF124*Source!I124,2)</f>
        <v>213.93</v>
      </c>
      <c r="K275" s="56">
        <f>IF(Source!BA124&lt;&gt;0,Source!BA124,1)</f>
        <v>36.47</v>
      </c>
      <c r="L275" s="49">
        <f>Source!HJ124</f>
        <v>7802.03</v>
      </c>
    </row>
    <row r="276" spans="1:12" ht="14.25">
      <c r="A276" s="71"/>
      <c r="B276" s="72">
        <v>3</v>
      </c>
      <c r="C276" s="71" t="s">
        <v>452</v>
      </c>
      <c r="D276" s="55"/>
      <c r="E276" s="50"/>
      <c r="F276" s="50"/>
      <c r="G276" s="50"/>
      <c r="H276" s="49">
        <f>Source!AM124</f>
        <v>0</v>
      </c>
      <c r="I276" s="56"/>
      <c r="J276" s="49">
        <f>ROUND((((Source!ET124)-(Source!EU124))+Source!AE124)*Source!I124,2)</f>
        <v>0</v>
      </c>
      <c r="K276" s="56"/>
      <c r="L276" s="49"/>
    </row>
    <row r="277" spans="1:12" ht="14.25">
      <c r="A277" s="71"/>
      <c r="B277" s="72">
        <v>2</v>
      </c>
      <c r="C277" s="71" t="s">
        <v>453</v>
      </c>
      <c r="D277" s="55"/>
      <c r="E277" s="50"/>
      <c r="F277" s="50"/>
      <c r="G277" s="50"/>
      <c r="H277" s="49">
        <f>Source!AN124</f>
        <v>0</v>
      </c>
      <c r="I277" s="56"/>
      <c r="J277" s="57">
        <f>ROUND(Source!AE124*Source!I124,2)</f>
        <v>0</v>
      </c>
      <c r="K277" s="56">
        <f>IF(Source!BS124&lt;&gt;0,Source!BS124,1)</f>
        <v>36.47</v>
      </c>
      <c r="L277" s="57">
        <f>Source!HI124</f>
        <v>0</v>
      </c>
    </row>
    <row r="278" spans="1:12" ht="14.25">
      <c r="A278" s="71"/>
      <c r="B278" s="72">
        <v>4</v>
      </c>
      <c r="C278" s="71" t="s">
        <v>454</v>
      </c>
      <c r="D278" s="55"/>
      <c r="E278" s="50"/>
      <c r="F278" s="50"/>
      <c r="G278" s="50"/>
      <c r="H278" s="49">
        <f>Source!AL124</f>
        <v>16.4</v>
      </c>
      <c r="I278" s="56"/>
      <c r="J278" s="49">
        <f>ROUND(Source!AC124*Source!I124,2)</f>
        <v>473.47</v>
      </c>
      <c r="K278" s="56"/>
      <c r="L278" s="49"/>
    </row>
    <row r="279" spans="1:12" ht="14.25">
      <c r="A279" s="71"/>
      <c r="B279" s="71"/>
      <c r="C279" s="71" t="s">
        <v>455</v>
      </c>
      <c r="D279" s="55" t="s">
        <v>456</v>
      </c>
      <c r="E279" s="50">
        <f>Source!AQ124</f>
        <v>1.03</v>
      </c>
      <c r="F279" s="50"/>
      <c r="G279" s="101">
        <f>ROUND(Source!U124,7)</f>
        <v>29.7361</v>
      </c>
      <c r="H279" s="49"/>
      <c r="I279" s="56"/>
      <c r="J279" s="49"/>
      <c r="K279" s="56"/>
      <c r="L279" s="49"/>
    </row>
    <row r="280" spans="1:12" ht="14.25">
      <c r="A280" s="71"/>
      <c r="B280" s="71"/>
      <c r="C280" s="73" t="s">
        <v>457</v>
      </c>
      <c r="D280" s="58" t="s">
        <v>456</v>
      </c>
      <c r="E280" s="59">
        <f>Source!AR124</f>
        <v>0</v>
      </c>
      <c r="F280" s="59"/>
      <c r="G280" s="59">
        <f>ROUND(Source!V124,7)</f>
        <v>0</v>
      </c>
      <c r="H280" s="60"/>
      <c r="I280" s="61"/>
      <c r="J280" s="60"/>
      <c r="K280" s="61"/>
      <c r="L280" s="60"/>
    </row>
    <row r="281" spans="1:12" ht="14.25">
      <c r="A281" s="71"/>
      <c r="B281" s="71"/>
      <c r="C281" s="71" t="s">
        <v>458</v>
      </c>
      <c r="D281" s="55"/>
      <c r="E281" s="50"/>
      <c r="F281" s="50"/>
      <c r="G281" s="50"/>
      <c r="H281" s="49">
        <f>H275+H276+H278</f>
        <v>23.81</v>
      </c>
      <c r="I281" s="56"/>
      <c r="J281" s="49">
        <f>J275+J276+J278</f>
        <v>687.4000000000001</v>
      </c>
      <c r="K281" s="56"/>
      <c r="L281" s="49"/>
    </row>
    <row r="282" spans="1:12" ht="14.25">
      <c r="A282" s="71"/>
      <c r="B282" s="71"/>
      <c r="C282" s="71" t="s">
        <v>459</v>
      </c>
      <c r="D282" s="55"/>
      <c r="E282" s="50"/>
      <c r="F282" s="50"/>
      <c r="G282" s="50"/>
      <c r="H282" s="49"/>
      <c r="I282" s="56"/>
      <c r="J282" s="49">
        <f>SUM(Q273:Q285)+SUM(V273:V285)+SUM(X273:X285)+SUM(Y273:Y285)</f>
        <v>213.93</v>
      </c>
      <c r="K282" s="56"/>
      <c r="L282" s="49">
        <f>SUM(U273:U285)+SUM(W273:W285)+SUM(Z273:Z285)+SUM(AA273:AA285)</f>
        <v>7802.03</v>
      </c>
    </row>
    <row r="283" spans="1:12" ht="28.5">
      <c r="A283" s="71"/>
      <c r="B283" s="71" t="s">
        <v>214</v>
      </c>
      <c r="C283" s="71" t="s">
        <v>499</v>
      </c>
      <c r="D283" s="55" t="s">
        <v>461</v>
      </c>
      <c r="E283" s="50">
        <f>Source!BZ124</f>
        <v>92</v>
      </c>
      <c r="F283" s="50"/>
      <c r="G283" s="50">
        <f>Source!AT124</f>
        <v>92</v>
      </c>
      <c r="H283" s="49"/>
      <c r="I283" s="56"/>
      <c r="J283" s="49">
        <f>SUM(AG273:AG285)</f>
        <v>196.82</v>
      </c>
      <c r="K283" s="56"/>
      <c r="L283" s="49">
        <f>SUM(AH273:AH285)</f>
        <v>7177.87</v>
      </c>
    </row>
    <row r="284" spans="1:12" ht="28.5">
      <c r="A284" s="73"/>
      <c r="B284" s="73" t="s">
        <v>215</v>
      </c>
      <c r="C284" s="73" t="s">
        <v>500</v>
      </c>
      <c r="D284" s="58" t="s">
        <v>461</v>
      </c>
      <c r="E284" s="59">
        <f>Source!CA124</f>
        <v>44</v>
      </c>
      <c r="F284" s="59"/>
      <c r="G284" s="59">
        <f>Source!AU124</f>
        <v>44</v>
      </c>
      <c r="H284" s="60"/>
      <c r="I284" s="61"/>
      <c r="J284" s="60">
        <f>SUM(AI273:AI285)</f>
        <v>94.13</v>
      </c>
      <c r="K284" s="61"/>
      <c r="L284" s="60">
        <f>SUM(AJ273:AJ285)</f>
        <v>3432.89</v>
      </c>
    </row>
    <row r="285" spans="3:53" ht="15">
      <c r="C285" s="106" t="s">
        <v>463</v>
      </c>
      <c r="D285" s="106"/>
      <c r="E285" s="106"/>
      <c r="F285" s="106"/>
      <c r="G285" s="106"/>
      <c r="H285" s="106"/>
      <c r="I285" s="106">
        <f>J275+J276+J278+J283+J284</f>
        <v>978.35</v>
      </c>
      <c r="J285" s="106"/>
      <c r="O285" s="47">
        <f>I285</f>
        <v>978.35</v>
      </c>
      <c r="P285">
        <f>K285</f>
        <v>0</v>
      </c>
      <c r="Q285" s="47">
        <f>J275</f>
        <v>213.93</v>
      </c>
      <c r="R285" s="47">
        <f>J275</f>
        <v>213.93</v>
      </c>
      <c r="U285" s="47">
        <f>L275</f>
        <v>7802.03</v>
      </c>
      <c r="X285" s="47">
        <f>J277</f>
        <v>0</v>
      </c>
      <c r="Z285" s="47">
        <f>L277</f>
        <v>0</v>
      </c>
      <c r="AB285" s="47">
        <f>J276</f>
        <v>0</v>
      </c>
      <c r="AD285" s="47">
        <f>L276</f>
        <v>0</v>
      </c>
      <c r="AF285" s="47">
        <f>J278</f>
        <v>473.47</v>
      </c>
      <c r="AN285">
        <f>IF(Source!BI124&lt;=1,J275+J276+J278+J283+J284,0)</f>
        <v>978.35</v>
      </c>
      <c r="AO285">
        <f>IF(Source!BI124&lt;=1,J278,0)</f>
        <v>473.47</v>
      </c>
      <c r="AP285">
        <f>IF(Source!BI124&lt;=1,J276,0)</f>
        <v>0</v>
      </c>
      <c r="AQ285">
        <f>IF(Source!BI124&lt;=1,J275,0)</f>
        <v>213.93</v>
      </c>
      <c r="AX285">
        <f>IF(Source!BI124=2,J275+J276+J278+J283+J284,0)</f>
        <v>0</v>
      </c>
      <c r="AY285">
        <f>IF(Source!BI124=2,J278,0)</f>
        <v>0</v>
      </c>
      <c r="AZ285">
        <f>IF(Source!BI124=2,J276,0)</f>
        <v>0</v>
      </c>
      <c r="BA285">
        <f>IF(Source!BI124=2,J275,0)</f>
        <v>0</v>
      </c>
    </row>
    <row r="286" spans="1:56" ht="57">
      <c r="A286" s="71">
        <v>16</v>
      </c>
      <c r="B286" s="71" t="str">
        <f>Source!F126</f>
        <v>т03-01-01-050</v>
      </c>
      <c r="C286" s="71" t="str">
        <f>Source!G126</f>
        <v>Перевозка грузов I класса автомобилями бортовыми грузоподъемностью до 15 т на расстояние: до 50 км</v>
      </c>
      <c r="D286" s="55" t="str">
        <f>Source!H126</f>
        <v>1 Т ГРУЗА</v>
      </c>
      <c r="E286" s="50">
        <f>Source!K126</f>
        <v>28.87</v>
      </c>
      <c r="F286" s="50"/>
      <c r="G286" s="50">
        <f>Source!I126</f>
        <v>28.87</v>
      </c>
      <c r="H286" s="49">
        <f>Source!AK126</f>
        <v>23.67</v>
      </c>
      <c r="I286" s="56"/>
      <c r="J286" s="49">
        <f>ROUND(Source!AB126*Source!I126,2)</f>
        <v>683.35</v>
      </c>
      <c r="K286" s="56"/>
      <c r="L286" s="49"/>
      <c r="AG286">
        <f>Source!X126</f>
        <v>0</v>
      </c>
      <c r="AH286">
        <f>Source!HK126</f>
        <v>0</v>
      </c>
      <c r="AI286">
        <f>Source!Y126</f>
        <v>0</v>
      </c>
      <c r="AJ286">
        <f>Source!HL126</f>
        <v>0</v>
      </c>
      <c r="AS286">
        <f>IF(Source!BI126&lt;=1,AH286,0)</f>
        <v>0</v>
      </c>
      <c r="AT286">
        <f>IF(Source!BI126&lt;=1,AJ286,0)</f>
        <v>0</v>
      </c>
      <c r="BC286">
        <f>IF(Source!BI126=2,AH286,0)</f>
        <v>0</v>
      </c>
      <c r="BD286">
        <f>IF(Source!BI126=2,AJ286,0)</f>
        <v>0</v>
      </c>
    </row>
    <row r="288" spans="1:12" ht="14.25">
      <c r="A288" s="71"/>
      <c r="B288" s="72">
        <v>1</v>
      </c>
      <c r="C288" s="71" t="s">
        <v>451</v>
      </c>
      <c r="D288" s="55"/>
      <c r="E288" s="50"/>
      <c r="F288" s="50"/>
      <c r="G288" s="50"/>
      <c r="H288" s="49">
        <f>Source!AO126</f>
        <v>0</v>
      </c>
      <c r="I288" s="56"/>
      <c r="J288" s="49">
        <f>ROUND(0*Source!I126,2)</f>
        <v>0</v>
      </c>
      <c r="K288" s="56">
        <f>IF(Source!AZ126&lt;&gt;0,Source!AZ126,1)</f>
        <v>1</v>
      </c>
      <c r="L288" s="49">
        <f>Source!HJ126</f>
        <v>0</v>
      </c>
    </row>
    <row r="289" spans="1:12" ht="14.25">
      <c r="A289" s="71"/>
      <c r="B289" s="72">
        <v>3</v>
      </c>
      <c r="C289" s="71" t="s">
        <v>452</v>
      </c>
      <c r="D289" s="55"/>
      <c r="E289" s="50"/>
      <c r="F289" s="50"/>
      <c r="G289" s="50"/>
      <c r="H289" s="49">
        <f>Source!AM126</f>
        <v>0</v>
      </c>
      <c r="I289" s="56"/>
      <c r="J289" s="49">
        <f>ROUND(0*Source!I126,2)</f>
        <v>0</v>
      </c>
      <c r="K289" s="56"/>
      <c r="L289" s="49"/>
    </row>
    <row r="290" spans="1:12" ht="14.25">
      <c r="A290" s="71"/>
      <c r="B290" s="72">
        <v>2</v>
      </c>
      <c r="C290" s="71" t="s">
        <v>453</v>
      </c>
      <c r="D290" s="55"/>
      <c r="E290" s="50"/>
      <c r="F290" s="50"/>
      <c r="G290" s="50"/>
      <c r="H290" s="49">
        <f>Source!AN126</f>
        <v>0</v>
      </c>
      <c r="I290" s="56"/>
      <c r="J290" s="57">
        <f>ROUND(0*Source!I126,2)</f>
        <v>0</v>
      </c>
      <c r="K290" s="56">
        <f>IF(Source!AZ126&lt;&gt;0,Source!AZ126,1)</f>
        <v>1</v>
      </c>
      <c r="L290" s="57">
        <f>Source!HI126</f>
        <v>0</v>
      </c>
    </row>
    <row r="291" spans="1:12" ht="14.25">
      <c r="A291" s="71"/>
      <c r="B291" s="72">
        <v>4</v>
      </c>
      <c r="C291" s="71" t="s">
        <v>454</v>
      </c>
      <c r="D291" s="55"/>
      <c r="E291" s="50"/>
      <c r="F291" s="50"/>
      <c r="G291" s="50"/>
      <c r="H291" s="49">
        <f>Source!AL126</f>
        <v>0</v>
      </c>
      <c r="I291" s="56"/>
      <c r="J291" s="49">
        <f>ROUND(0*Source!I126,2)</f>
        <v>0</v>
      </c>
      <c r="K291" s="56"/>
      <c r="L291" s="49"/>
    </row>
    <row r="292" spans="1:12" ht="14.25">
      <c r="A292" s="71"/>
      <c r="B292" s="71"/>
      <c r="C292" s="71" t="s">
        <v>455</v>
      </c>
      <c r="D292" s="55" t="s">
        <v>456</v>
      </c>
      <c r="E292" s="50">
        <f>Source!AQ126</f>
        <v>0</v>
      </c>
      <c r="F292" s="50"/>
      <c r="G292" s="50">
        <f>ROUND(Source!U126,7)</f>
        <v>0</v>
      </c>
      <c r="H292" s="49"/>
      <c r="I292" s="56"/>
      <c r="J292" s="49"/>
      <c r="K292" s="56"/>
      <c r="L292" s="49"/>
    </row>
    <row r="293" spans="1:12" ht="14.25">
      <c r="A293" s="71"/>
      <c r="B293" s="71"/>
      <c r="C293" s="73" t="s">
        <v>457</v>
      </c>
      <c r="D293" s="58" t="s">
        <v>456</v>
      </c>
      <c r="E293" s="59">
        <f>Source!AR126</f>
        <v>0</v>
      </c>
      <c r="F293" s="59"/>
      <c r="G293" s="59">
        <f>ROUND(Source!V126,7)</f>
        <v>0</v>
      </c>
      <c r="H293" s="60"/>
      <c r="I293" s="61"/>
      <c r="J293" s="60"/>
      <c r="K293" s="61"/>
      <c r="L293" s="60"/>
    </row>
    <row r="294" spans="1:12" ht="14.25">
      <c r="A294" s="71"/>
      <c r="B294" s="71"/>
      <c r="C294" s="71" t="s">
        <v>458</v>
      </c>
      <c r="D294" s="55"/>
      <c r="E294" s="50"/>
      <c r="F294" s="50"/>
      <c r="G294" s="50"/>
      <c r="H294" s="49">
        <f>H288+H289+H291</f>
        <v>0</v>
      </c>
      <c r="I294" s="56"/>
      <c r="J294" s="49">
        <f>J288+J289+J291</f>
        <v>0</v>
      </c>
      <c r="K294" s="56"/>
      <c r="L294" s="49"/>
    </row>
    <row r="295" spans="1:12" ht="14.25">
      <c r="A295" s="71"/>
      <c r="B295" s="71"/>
      <c r="C295" s="71" t="s">
        <v>459</v>
      </c>
      <c r="D295" s="55"/>
      <c r="E295" s="50"/>
      <c r="F295" s="50"/>
      <c r="G295" s="50"/>
      <c r="H295" s="49"/>
      <c r="I295" s="56"/>
      <c r="J295" s="49">
        <f>SUM(Q286:Q298)+SUM(V286:V298)+SUM(X286:X298)+SUM(Y286:Y298)</f>
        <v>0</v>
      </c>
      <c r="K295" s="56"/>
      <c r="L295" s="49">
        <f>SUM(U286:U298)+SUM(W286:W298)+SUM(Z286:Z298)+SUM(AA286:AA298)</f>
        <v>0</v>
      </c>
    </row>
    <row r="296" spans="1:12" ht="28.5">
      <c r="A296" s="71"/>
      <c r="B296" s="71"/>
      <c r="C296" s="71" t="s">
        <v>501</v>
      </c>
      <c r="D296" s="55" t="s">
        <v>461</v>
      </c>
      <c r="E296" s="50">
        <f>Source!BZ126</f>
        <v>0</v>
      </c>
      <c r="F296" s="50"/>
      <c r="G296" s="50">
        <f>Source!AT126</f>
        <v>0</v>
      </c>
      <c r="H296" s="49"/>
      <c r="I296" s="56"/>
      <c r="J296" s="49">
        <f>SUM(AG286:AG298)</f>
        <v>0</v>
      </c>
      <c r="K296" s="56"/>
      <c r="L296" s="49">
        <f>SUM(AH286:AH298)</f>
        <v>0</v>
      </c>
    </row>
    <row r="297" spans="1:12" ht="28.5">
      <c r="A297" s="73"/>
      <c r="B297" s="73"/>
      <c r="C297" s="73" t="s">
        <v>502</v>
      </c>
      <c r="D297" s="58" t="s">
        <v>461</v>
      </c>
      <c r="E297" s="59">
        <f>Source!CA126</f>
        <v>0</v>
      </c>
      <c r="F297" s="59"/>
      <c r="G297" s="59">
        <f>Source!AU126</f>
        <v>0</v>
      </c>
      <c r="H297" s="60"/>
      <c r="I297" s="61"/>
      <c r="J297" s="60">
        <f>SUM(AI286:AI298)</f>
        <v>0</v>
      </c>
      <c r="K297" s="61"/>
      <c r="L297" s="60">
        <f>SUM(AJ286:AJ298)</f>
        <v>0</v>
      </c>
    </row>
    <row r="298" spans="3:61" ht="15">
      <c r="C298" s="106" t="s">
        <v>463</v>
      </c>
      <c r="D298" s="106"/>
      <c r="E298" s="106"/>
      <c r="F298" s="106"/>
      <c r="G298" s="106"/>
      <c r="H298" s="106"/>
      <c r="I298" s="106">
        <f>J286</f>
        <v>683.35</v>
      </c>
      <c r="J298" s="106"/>
      <c r="O298" s="47">
        <f>I298</f>
        <v>683.35</v>
      </c>
      <c r="P298">
        <f>K298</f>
        <v>0</v>
      </c>
      <c r="R298" s="47">
        <f>J288</f>
        <v>0</v>
      </c>
      <c r="V298" s="47">
        <f>J288</f>
        <v>0</v>
      </c>
      <c r="W298" s="47">
        <f>L288</f>
        <v>0</v>
      </c>
      <c r="Y298" s="47">
        <f>J290</f>
        <v>0</v>
      </c>
      <c r="AA298" s="47">
        <f>L290</f>
        <v>0</v>
      </c>
      <c r="AC298" s="47">
        <f>J289</f>
        <v>0</v>
      </c>
      <c r="AE298" s="47">
        <f>L289</f>
        <v>0</v>
      </c>
      <c r="AF298" s="47">
        <f>J291</f>
        <v>0</v>
      </c>
      <c r="AO298">
        <f>IF(Source!BI126&lt;=1,J291,0)</f>
        <v>0</v>
      </c>
      <c r="AR298">
        <f>IF(Source!BI126&lt;=1,J286,0)</f>
        <v>683.35</v>
      </c>
      <c r="AY298">
        <f>IF(Source!BI126=2,J291,0)</f>
        <v>0</v>
      </c>
      <c r="BB298">
        <f>IF(Source!BI126=2,J286,0)</f>
        <v>0</v>
      </c>
      <c r="BI298">
        <f>IF(Source!BI126=3,J286,0)</f>
        <v>0</v>
      </c>
    </row>
    <row r="300" spans="1:95" ht="15">
      <c r="A300" s="63"/>
      <c r="B300" s="64"/>
      <c r="C300" s="105" t="s">
        <v>483</v>
      </c>
      <c r="D300" s="105"/>
      <c r="E300" s="105"/>
      <c r="F300" s="105"/>
      <c r="G300" s="105"/>
      <c r="H300" s="105"/>
      <c r="I300" s="65"/>
      <c r="J300" s="66">
        <f>J302+J303+J304+J305</f>
        <v>6805.130000000001</v>
      </c>
      <c r="K300" s="66"/>
      <c r="L300" s="66"/>
      <c r="CQ300" s="76" t="s">
        <v>483</v>
      </c>
    </row>
    <row r="301" spans="1:12" ht="14.25">
      <c r="A301" s="67"/>
      <c r="B301" s="68"/>
      <c r="C301" s="104" t="s">
        <v>484</v>
      </c>
      <c r="D301" s="103"/>
      <c r="E301" s="103"/>
      <c r="F301" s="103"/>
      <c r="G301" s="103"/>
      <c r="H301" s="103"/>
      <c r="I301" s="69"/>
      <c r="J301" s="70"/>
      <c r="K301" s="70"/>
      <c r="L301" s="70"/>
    </row>
    <row r="302" spans="1:12" ht="14.25">
      <c r="A302" s="67"/>
      <c r="B302" s="68"/>
      <c r="C302" s="103" t="s">
        <v>485</v>
      </c>
      <c r="D302" s="103"/>
      <c r="E302" s="103"/>
      <c r="F302" s="103"/>
      <c r="G302" s="103"/>
      <c r="H302" s="103"/>
      <c r="I302" s="69"/>
      <c r="J302" s="70">
        <f>SUM(Q244:Q298)</f>
        <v>719.1</v>
      </c>
      <c r="K302" s="70"/>
      <c r="L302" s="70"/>
    </row>
    <row r="303" spans="1:12" ht="14.25">
      <c r="A303" s="67"/>
      <c r="B303" s="68"/>
      <c r="C303" s="103" t="s">
        <v>486</v>
      </c>
      <c r="D303" s="103"/>
      <c r="E303" s="103"/>
      <c r="F303" s="103"/>
      <c r="G303" s="103"/>
      <c r="H303" s="103"/>
      <c r="I303" s="69"/>
      <c r="J303" s="70">
        <f>SUM(AB244:AB298)</f>
        <v>5.41</v>
      </c>
      <c r="K303" s="70"/>
      <c r="L303" s="70"/>
    </row>
    <row r="304" spans="1:12" ht="14.25">
      <c r="A304" s="67"/>
      <c r="B304" s="68"/>
      <c r="C304" s="103" t="s">
        <v>487</v>
      </c>
      <c r="D304" s="103"/>
      <c r="E304" s="103"/>
      <c r="F304" s="103"/>
      <c r="G304" s="103"/>
      <c r="H304" s="103"/>
      <c r="I304" s="69"/>
      <c r="J304" s="70">
        <f>Source!F131-J309</f>
        <v>5397.27</v>
      </c>
      <c r="K304" s="70"/>
      <c r="L304" s="70"/>
    </row>
    <row r="305" spans="1:12" ht="14.25">
      <c r="A305" s="67"/>
      <c r="B305" s="68"/>
      <c r="C305" s="103" t="s">
        <v>488</v>
      </c>
      <c r="D305" s="103"/>
      <c r="E305" s="103"/>
      <c r="F305" s="103"/>
      <c r="G305" s="103"/>
      <c r="H305" s="103"/>
      <c r="I305" s="69"/>
      <c r="J305" s="70">
        <f>Source!F153</f>
        <v>683.35</v>
      </c>
      <c r="K305" s="70"/>
      <c r="L305" s="70"/>
    </row>
    <row r="306" spans="1:12" ht="14.25">
      <c r="A306" s="67"/>
      <c r="B306" s="68"/>
      <c r="C306" s="103" t="s">
        <v>489</v>
      </c>
      <c r="D306" s="103"/>
      <c r="E306" s="103"/>
      <c r="F306" s="103"/>
      <c r="G306" s="103"/>
      <c r="H306" s="103"/>
      <c r="I306" s="69"/>
      <c r="J306" s="70">
        <f>SUM(Q244:Q298)+SUM(X244:X298)</f>
        <v>720.0600000000001</v>
      </c>
      <c r="K306" s="70"/>
      <c r="L306" s="70"/>
    </row>
    <row r="307" spans="1:12" ht="14.25">
      <c r="A307" s="67"/>
      <c r="B307" s="68"/>
      <c r="C307" s="103" t="s">
        <v>490</v>
      </c>
      <c r="D307" s="103"/>
      <c r="E307" s="103"/>
      <c r="F307" s="103"/>
      <c r="G307" s="103"/>
      <c r="H307" s="103"/>
      <c r="I307" s="69"/>
      <c r="J307" s="70">
        <f>Source!F154</f>
        <v>672.37</v>
      </c>
      <c r="K307" s="70"/>
      <c r="L307" s="70"/>
    </row>
    <row r="308" spans="1:12" ht="14.25">
      <c r="A308" s="67"/>
      <c r="B308" s="68"/>
      <c r="C308" s="103" t="s">
        <v>491</v>
      </c>
      <c r="D308" s="103"/>
      <c r="E308" s="103"/>
      <c r="F308" s="103"/>
      <c r="G308" s="103"/>
      <c r="H308" s="103"/>
      <c r="I308" s="69"/>
      <c r="J308" s="70">
        <f>Source!F155</f>
        <v>329.5</v>
      </c>
      <c r="K308" s="70"/>
      <c r="L308" s="70"/>
    </row>
    <row r="309" spans="1:12" ht="13.5" customHeight="1" hidden="1">
      <c r="A309" s="67"/>
      <c r="B309" s="68"/>
      <c r="C309" s="103" t="s">
        <v>492</v>
      </c>
      <c r="D309" s="103"/>
      <c r="E309" s="103"/>
      <c r="F309" s="103"/>
      <c r="G309" s="103"/>
      <c r="H309" s="103"/>
      <c r="I309" s="69"/>
      <c r="J309" s="70">
        <f>Source!F137</f>
        <v>0</v>
      </c>
      <c r="K309" s="70"/>
      <c r="L309" s="70"/>
    </row>
    <row r="310" spans="1:12" ht="13.5" customHeight="1" hidden="1">
      <c r="A310" s="67"/>
      <c r="B310" s="68"/>
      <c r="C310" s="103" t="s">
        <v>493</v>
      </c>
      <c r="D310" s="103"/>
      <c r="E310" s="103"/>
      <c r="F310" s="103"/>
      <c r="G310" s="103"/>
      <c r="H310" s="103"/>
      <c r="I310" s="69"/>
      <c r="J310" s="70">
        <f>Source!F147</f>
        <v>0</v>
      </c>
      <c r="K310" s="70"/>
      <c r="L310" s="70"/>
    </row>
    <row r="311" spans="1:12" ht="15">
      <c r="A311" s="63"/>
      <c r="B311" s="64"/>
      <c r="C311" s="105" t="s">
        <v>494</v>
      </c>
      <c r="D311" s="105"/>
      <c r="E311" s="105"/>
      <c r="F311" s="105"/>
      <c r="G311" s="105"/>
      <c r="H311" s="105"/>
      <c r="I311" s="65"/>
      <c r="J311" s="66">
        <f>Source!F156</f>
        <v>7807</v>
      </c>
      <c r="K311" s="66"/>
      <c r="L311" s="66"/>
    </row>
    <row r="312" spans="1:12" ht="13.5" customHeight="1" hidden="1">
      <c r="A312" s="67"/>
      <c r="B312" s="68"/>
      <c r="C312" s="104" t="s">
        <v>484</v>
      </c>
      <c r="D312" s="103"/>
      <c r="E312" s="103"/>
      <c r="F312" s="103"/>
      <c r="G312" s="103"/>
      <c r="H312" s="103"/>
      <c r="I312" s="69"/>
      <c r="J312" s="70"/>
      <c r="K312" s="70"/>
      <c r="L312" s="70"/>
    </row>
    <row r="313" spans="1:12" ht="13.5" customHeight="1" hidden="1">
      <c r="A313" s="67"/>
      <c r="B313" s="68"/>
      <c r="C313" s="103" t="s">
        <v>495</v>
      </c>
      <c r="D313" s="103"/>
      <c r="E313" s="103"/>
      <c r="F313" s="103"/>
      <c r="G313" s="103"/>
      <c r="H313" s="103"/>
      <c r="I313" s="69"/>
      <c r="J313" s="70"/>
      <c r="K313" s="70"/>
      <c r="L313" s="70">
        <f>SUM(BS244:BS298)</f>
        <v>0</v>
      </c>
    </row>
    <row r="314" spans="1:12" ht="13.5" customHeight="1" hidden="1">
      <c r="A314" s="67"/>
      <c r="B314" s="68"/>
      <c r="C314" s="103" t="s">
        <v>496</v>
      </c>
      <c r="D314" s="103"/>
      <c r="E314" s="103"/>
      <c r="F314" s="103"/>
      <c r="G314" s="103"/>
      <c r="H314" s="103"/>
      <c r="I314" s="69"/>
      <c r="J314" s="70"/>
      <c r="K314" s="70"/>
      <c r="L314" s="70">
        <f>SUM(BT244:BT298)</f>
        <v>0</v>
      </c>
    </row>
    <row r="316" spans="1:12" ht="15">
      <c r="A316" s="63"/>
      <c r="B316" s="64"/>
      <c r="C316" s="105" t="s">
        <v>503</v>
      </c>
      <c r="D316" s="105"/>
      <c r="E316" s="105"/>
      <c r="F316" s="105"/>
      <c r="G316" s="105"/>
      <c r="H316" s="105"/>
      <c r="I316" s="65"/>
      <c r="J316" s="66"/>
      <c r="K316" s="66"/>
      <c r="L316" s="66"/>
    </row>
    <row r="317" spans="1:12" ht="15">
      <c r="A317" s="63"/>
      <c r="B317" s="64"/>
      <c r="C317" s="105" t="s">
        <v>504</v>
      </c>
      <c r="D317" s="105"/>
      <c r="E317" s="105"/>
      <c r="F317" s="105"/>
      <c r="G317" s="105"/>
      <c r="H317" s="105"/>
      <c r="I317" s="65"/>
      <c r="J317" s="66">
        <f>J319+J320+J321+J322</f>
        <v>62578.19999999999</v>
      </c>
      <c r="K317" s="66"/>
      <c r="L317" s="66">
        <f>L319+L320+L321+L322</f>
        <v>1195222.79</v>
      </c>
    </row>
    <row r="318" spans="1:12" ht="14.25">
      <c r="A318" s="67"/>
      <c r="B318" s="68"/>
      <c r="C318" s="104" t="s">
        <v>484</v>
      </c>
      <c r="D318" s="103"/>
      <c r="E318" s="103"/>
      <c r="F318" s="103"/>
      <c r="G318" s="103"/>
      <c r="H318" s="103"/>
      <c r="I318" s="69"/>
      <c r="J318" s="70"/>
      <c r="K318" s="70"/>
      <c r="L318" s="70"/>
    </row>
    <row r="319" spans="1:12" ht="14.25">
      <c r="A319" s="67"/>
      <c r="B319" s="68"/>
      <c r="C319" s="103" t="s">
        <v>485</v>
      </c>
      <c r="D319" s="103"/>
      <c r="E319" s="103"/>
      <c r="F319" s="103"/>
      <c r="G319" s="103"/>
      <c r="H319" s="103"/>
      <c r="I319" s="69"/>
      <c r="J319" s="70">
        <f>SUM(Q47:Q314)</f>
        <v>24508.399999999998</v>
      </c>
      <c r="K319" s="70"/>
      <c r="L319" s="70">
        <f>SUM(U47:U314)</f>
        <v>893821.3599999999</v>
      </c>
    </row>
    <row r="320" spans="1:12" ht="14.25">
      <c r="A320" s="67"/>
      <c r="B320" s="68">
        <f>Source!V258</f>
      </c>
      <c r="C320" s="103" t="s">
        <v>486</v>
      </c>
      <c r="D320" s="103"/>
      <c r="E320" s="103"/>
      <c r="F320" s="103"/>
      <c r="G320" s="103"/>
      <c r="H320" s="103"/>
      <c r="I320" s="69"/>
      <c r="J320" s="70">
        <f>SUM(AB47:AB314)</f>
        <v>6107.77</v>
      </c>
      <c r="K320" s="70">
        <f>Source!E258</f>
        <v>12.97</v>
      </c>
      <c r="L320" s="70">
        <f>ROUND(J320*K320,2)</f>
        <v>79217.78</v>
      </c>
    </row>
    <row r="321" spans="1:12" ht="14.25">
      <c r="A321" s="67"/>
      <c r="B321" s="68">
        <f>Source!U258</f>
      </c>
      <c r="C321" s="103" t="s">
        <v>487</v>
      </c>
      <c r="D321" s="103"/>
      <c r="E321" s="103"/>
      <c r="F321" s="103"/>
      <c r="G321" s="103"/>
      <c r="H321" s="103"/>
      <c r="I321" s="69"/>
      <c r="J321" s="70">
        <f>SUM(AF47:AF314)-J326</f>
        <v>31278.679999999997</v>
      </c>
      <c r="K321" s="70">
        <f>Source!D258</f>
        <v>6.82</v>
      </c>
      <c r="L321" s="70">
        <f>ROUND(J321*K321,2)</f>
        <v>213320.6</v>
      </c>
    </row>
    <row r="322" spans="1:12" ht="14.25">
      <c r="A322" s="67"/>
      <c r="B322" s="68">
        <f>Source!AB258</f>
      </c>
      <c r="C322" s="103" t="s">
        <v>488</v>
      </c>
      <c r="D322" s="103"/>
      <c r="E322" s="103"/>
      <c r="F322" s="103"/>
      <c r="G322" s="103"/>
      <c r="H322" s="103"/>
      <c r="I322" s="69"/>
      <c r="J322" s="70">
        <f>SUM(AR47:AR314)+SUM(BB47:BB314)+SUM(BI47:BI314)+SUM(BP47:BP314)</f>
        <v>683.35</v>
      </c>
      <c r="K322" s="70">
        <f>Source!L258</f>
        <v>12.97</v>
      </c>
      <c r="L322" s="70">
        <f>ROUND(J322*K322,2)</f>
        <v>8863.05</v>
      </c>
    </row>
    <row r="323" spans="1:12" ht="14.25">
      <c r="A323" s="67"/>
      <c r="B323" s="68"/>
      <c r="C323" s="103" t="s">
        <v>505</v>
      </c>
      <c r="D323" s="103"/>
      <c r="E323" s="103"/>
      <c r="F323" s="103"/>
      <c r="G323" s="103"/>
      <c r="H323" s="103"/>
      <c r="I323" s="69"/>
      <c r="J323" s="70">
        <f>SUM(Q47:Q314)+SUM(X47:X314)</f>
        <v>24865.839999999997</v>
      </c>
      <c r="K323" s="70"/>
      <c r="L323" s="70">
        <f>SUM(U47:U314)+SUM(Z47:Z314)</f>
        <v>906857.1999999998</v>
      </c>
    </row>
    <row r="324" spans="1:12" ht="14.25">
      <c r="A324" s="67"/>
      <c r="B324" s="68"/>
      <c r="C324" s="103" t="s">
        <v>506</v>
      </c>
      <c r="D324" s="103"/>
      <c r="E324" s="103"/>
      <c r="F324" s="103"/>
      <c r="G324" s="103"/>
      <c r="H324" s="103"/>
      <c r="I324" s="69"/>
      <c r="J324" s="70">
        <f>SUM(AG47:AG314)</f>
        <v>24762.17</v>
      </c>
      <c r="K324" s="70"/>
      <c r="L324" s="70">
        <f>SUM(AH47:AH314)</f>
        <v>903076.31</v>
      </c>
    </row>
    <row r="325" spans="1:12" ht="14.25">
      <c r="A325" s="67"/>
      <c r="B325" s="68"/>
      <c r="C325" s="103" t="s">
        <v>507</v>
      </c>
      <c r="D325" s="103"/>
      <c r="E325" s="103"/>
      <c r="F325" s="103"/>
      <c r="G325" s="103"/>
      <c r="H325" s="103"/>
      <c r="I325" s="69"/>
      <c r="J325" s="70">
        <f>SUM(AI47:AI314)</f>
        <v>13584.849999999997</v>
      </c>
      <c r="K325" s="70"/>
      <c r="L325" s="70">
        <f>SUM(AJ47:AJ314)</f>
        <v>495439.03</v>
      </c>
    </row>
    <row r="326" spans="1:12" ht="13.5" customHeight="1" hidden="1">
      <c r="A326" s="67"/>
      <c r="B326" s="68">
        <f>Source!Y258</f>
      </c>
      <c r="C326" s="103" t="s">
        <v>508</v>
      </c>
      <c r="D326" s="103"/>
      <c r="E326" s="103"/>
      <c r="F326" s="103"/>
      <c r="G326" s="103"/>
      <c r="H326" s="103"/>
      <c r="I326" s="69"/>
      <c r="J326" s="70">
        <f>SUM(BH47:BH314)</f>
        <v>0</v>
      </c>
      <c r="K326" s="70">
        <f>Source!H258</f>
        <v>1</v>
      </c>
      <c r="L326" s="70">
        <f>ROUND(J326*K326,2)</f>
        <v>0</v>
      </c>
    </row>
    <row r="327" spans="1:12" ht="13.5" customHeight="1" hidden="1">
      <c r="A327" s="67"/>
      <c r="B327" s="68"/>
      <c r="C327" s="103" t="s">
        <v>509</v>
      </c>
      <c r="D327" s="103"/>
      <c r="E327" s="103"/>
      <c r="F327" s="103"/>
      <c r="G327" s="103"/>
      <c r="H327" s="103"/>
      <c r="I327" s="69"/>
      <c r="J327" s="70">
        <f>J330+J329</f>
        <v>0</v>
      </c>
      <c r="K327" s="70"/>
      <c r="L327" s="70">
        <f>ROUND(L330+L329,2)</f>
        <v>0</v>
      </c>
    </row>
    <row r="328" spans="1:12" ht="13.5" customHeight="1" hidden="1">
      <c r="A328" s="67"/>
      <c r="B328" s="68"/>
      <c r="C328" s="104" t="s">
        <v>484</v>
      </c>
      <c r="D328" s="103"/>
      <c r="E328" s="103"/>
      <c r="F328" s="103"/>
      <c r="G328" s="103"/>
      <c r="H328" s="103"/>
      <c r="I328" s="69"/>
      <c r="J328" s="70"/>
      <c r="K328" s="70"/>
      <c r="L328" s="70"/>
    </row>
    <row r="329" spans="1:12" ht="13.5" customHeight="1" hidden="1">
      <c r="A329" s="67"/>
      <c r="B329" s="68">
        <f>Source!AA258</f>
      </c>
      <c r="C329" s="103" t="s">
        <v>510</v>
      </c>
      <c r="D329" s="103"/>
      <c r="E329" s="103"/>
      <c r="F329" s="103"/>
      <c r="G329" s="103"/>
      <c r="H329" s="103"/>
      <c r="I329" s="69"/>
      <c r="J329" s="70">
        <f>SUM(BN47:BN314)</f>
        <v>0</v>
      </c>
      <c r="K329" s="70">
        <f>Source!K258</f>
        <v>1</v>
      </c>
      <c r="L329" s="70">
        <f>SUM(BU47:BU314)</f>
        <v>0</v>
      </c>
    </row>
    <row r="330" spans="1:12" ht="13.5" customHeight="1" hidden="1">
      <c r="A330" s="67"/>
      <c r="B330" s="68">
        <f>Source!Z258</f>
      </c>
      <c r="C330" s="103" t="s">
        <v>511</v>
      </c>
      <c r="D330" s="103"/>
      <c r="E330" s="103"/>
      <c r="F330" s="103"/>
      <c r="G330" s="103"/>
      <c r="H330" s="103"/>
      <c r="I330" s="69"/>
      <c r="J330" s="70">
        <f>SUM(BM47:BM314)</f>
        <v>0</v>
      </c>
      <c r="K330" s="70">
        <f>Source!I258</f>
        <v>1</v>
      </c>
      <c r="L330" s="70">
        <f>ROUND(J330*K330,2)</f>
        <v>0</v>
      </c>
    </row>
    <row r="331" spans="1:12" ht="15">
      <c r="A331" s="63"/>
      <c r="B331" s="64"/>
      <c r="C331" s="105" t="s">
        <v>503</v>
      </c>
      <c r="D331" s="105"/>
      <c r="E331" s="105"/>
      <c r="F331" s="105"/>
      <c r="G331" s="105"/>
      <c r="H331" s="105"/>
      <c r="I331" s="65"/>
      <c r="J331" s="66">
        <f>J317+J324+J325+J326</f>
        <v>100925.21999999999</v>
      </c>
      <c r="K331" s="66"/>
      <c r="L331" s="66">
        <f>L317+L324+L325+L326</f>
        <v>2593738.13</v>
      </c>
    </row>
    <row r="332" spans="1:12" ht="13.5" customHeight="1" hidden="1">
      <c r="A332" s="67"/>
      <c r="B332" s="68"/>
      <c r="C332" s="104" t="s">
        <v>484</v>
      </c>
      <c r="D332" s="103"/>
      <c r="E332" s="103"/>
      <c r="F332" s="103"/>
      <c r="G332" s="103"/>
      <c r="H332" s="103"/>
      <c r="I332" s="69"/>
      <c r="J332" s="70"/>
      <c r="K332" s="70"/>
      <c r="L332" s="70"/>
    </row>
    <row r="333" spans="1:12" ht="13.5" customHeight="1" hidden="1">
      <c r="A333" s="67"/>
      <c r="B333" s="68"/>
      <c r="C333" s="103" t="s">
        <v>495</v>
      </c>
      <c r="D333" s="103"/>
      <c r="E333" s="103"/>
      <c r="F333" s="103"/>
      <c r="G333" s="103"/>
      <c r="H333" s="103"/>
      <c r="I333" s="69"/>
      <c r="J333" s="70"/>
      <c r="K333" s="70"/>
      <c r="L333" s="70">
        <f>SUM(BS47:BS314)</f>
        <v>0</v>
      </c>
    </row>
    <row r="334" spans="1:12" ht="13.5" customHeight="1" hidden="1">
      <c r="A334" s="67"/>
      <c r="B334" s="68"/>
      <c r="C334" s="103" t="s">
        <v>496</v>
      </c>
      <c r="D334" s="103"/>
      <c r="E334" s="103"/>
      <c r="F334" s="103"/>
      <c r="G334" s="103"/>
      <c r="H334" s="103"/>
      <c r="I334" s="69"/>
      <c r="J334" s="70"/>
      <c r="K334" s="70"/>
      <c r="L334" s="70">
        <f>SUM(BT47:BT314)</f>
        <v>0</v>
      </c>
    </row>
    <row r="335" spans="3:12" ht="14.25">
      <c r="C335" s="114" t="str">
        <f>Source!H188</f>
        <v>итого по разделу</v>
      </c>
      <c r="D335" s="114"/>
      <c r="E335" s="114"/>
      <c r="F335" s="114"/>
      <c r="G335" s="114"/>
      <c r="H335" s="114"/>
      <c r="I335" s="114"/>
      <c r="J335" s="49">
        <f>IF(Source!Z188=0,"",Source!Z188)</f>
        <v>100925.22</v>
      </c>
      <c r="K335" s="50">
        <f>IF(OR(Source!AA188=0,Source!AA188=1),"",Source!AA188)</f>
      </c>
      <c r="L335" s="49">
        <f>IF(Source!AB188=0,"",Source!AB188)</f>
        <v>2593738.13</v>
      </c>
    </row>
    <row r="336" spans="3:12" ht="14.25">
      <c r="C336" s="114" t="str">
        <f>Source!H189</f>
        <v>НДС 20%</v>
      </c>
      <c r="D336" s="114"/>
      <c r="E336" s="114"/>
      <c r="F336" s="114"/>
      <c r="G336" s="114"/>
      <c r="H336" s="114"/>
      <c r="I336" s="114"/>
      <c r="J336" s="49">
        <f>IF(Source!Z189=0,"",Source!Z189)</f>
        <v>20185.04</v>
      </c>
      <c r="K336" s="50">
        <f>IF(OR(Source!AA189=0,Source!AA189=1),"",Source!AA189)</f>
      </c>
      <c r="L336" s="49">
        <f>IF(Source!AB189=0,"",Source!AB189)</f>
        <v>518747.63</v>
      </c>
    </row>
    <row r="337" spans="3:12" ht="14.25">
      <c r="C337" s="114" t="str">
        <f>Source!H190</f>
        <v>Итого по смете</v>
      </c>
      <c r="D337" s="114"/>
      <c r="E337" s="114"/>
      <c r="F337" s="114"/>
      <c r="G337" s="114"/>
      <c r="H337" s="114"/>
      <c r="I337" s="114"/>
      <c r="J337" s="49">
        <f>IF(Source!Z190=0,"",Source!Z190)</f>
        <v>121110.26</v>
      </c>
      <c r="K337" s="50">
        <f>IF(OR(Source!AA190=0,Source!AA190=1),"",Source!AA190)</f>
      </c>
      <c r="L337" s="49">
        <f>IF(Source!AB190=0,"",Source!AB190)</f>
        <v>3112485.76</v>
      </c>
    </row>
    <row r="340" spans="1:11" ht="14.25">
      <c r="A340" s="108" t="s">
        <v>512</v>
      </c>
      <c r="B340" s="108"/>
      <c r="C340" s="46" t="str">
        <f>IF(Source!AC12&lt;&gt;"",Source!AC12," ")</f>
        <v>Ведущий инженер РеСО</v>
      </c>
      <c r="D340" s="46"/>
      <c r="E340" s="46"/>
      <c r="F340" s="46"/>
      <c r="G340" s="46"/>
      <c r="H340" s="109" t="str">
        <f>IF(Source!AB12&lt;&gt;"",Source!AB12," ")</f>
        <v>Степанова А.М.</v>
      </c>
      <c r="I340" s="109"/>
      <c r="J340" s="109"/>
      <c r="K340" s="109"/>
    </row>
    <row r="341" spans="1:11" ht="14.25">
      <c r="A341" s="14"/>
      <c r="B341" s="14"/>
      <c r="C341" s="107" t="s">
        <v>513</v>
      </c>
      <c r="D341" s="107"/>
      <c r="E341" s="107"/>
      <c r="F341" s="107"/>
      <c r="G341" s="107"/>
      <c r="H341" s="14"/>
      <c r="I341" s="14"/>
      <c r="J341" s="14"/>
      <c r="K341" s="14"/>
    </row>
    <row r="342" spans="1:11" ht="14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4.25">
      <c r="A343" s="108" t="s">
        <v>514</v>
      </c>
      <c r="B343" s="108"/>
      <c r="C343" s="46" t="str">
        <f>IF(Source!AE12&lt;&gt;"",Source!AE12," ")</f>
        <v>Заведующий РеСО</v>
      </c>
      <c r="D343" s="46"/>
      <c r="E343" s="46"/>
      <c r="F343" s="46"/>
      <c r="G343" s="46"/>
      <c r="H343" s="109" t="str">
        <f>IF(Source!AD12&lt;&gt;"",Source!AD12," ")</f>
        <v>Покшин В.И.</v>
      </c>
      <c r="I343" s="109"/>
      <c r="J343" s="109"/>
      <c r="K343" s="109"/>
    </row>
    <row r="344" spans="1:11" ht="14.25">
      <c r="A344" s="14"/>
      <c r="B344" s="14"/>
      <c r="C344" s="107" t="s">
        <v>513</v>
      </c>
      <c r="D344" s="107"/>
      <c r="E344" s="107"/>
      <c r="F344" s="107"/>
      <c r="G344" s="107"/>
      <c r="H344" s="14"/>
      <c r="I344" s="14"/>
      <c r="J344" s="14"/>
      <c r="K344" s="14"/>
    </row>
  </sheetData>
  <sheetProtection/>
  <mergeCells count="124">
    <mergeCell ref="B7:E7"/>
    <mergeCell ref="H7:L7"/>
    <mergeCell ref="A10:L10"/>
    <mergeCell ref="A12:K12"/>
    <mergeCell ref="B15:K15"/>
    <mergeCell ref="B16:K16"/>
    <mergeCell ref="B3:E3"/>
    <mergeCell ref="H3:L3"/>
    <mergeCell ref="B4:E4"/>
    <mergeCell ref="H4:L4"/>
    <mergeCell ref="B6:E6"/>
    <mergeCell ref="H6:L6"/>
    <mergeCell ref="C30:G30"/>
    <mergeCell ref="D34:E34"/>
    <mergeCell ref="D37:E37"/>
    <mergeCell ref="D38:E38"/>
    <mergeCell ref="D39:E39"/>
    <mergeCell ref="D40:E40"/>
    <mergeCell ref="B18:K18"/>
    <mergeCell ref="B19:K19"/>
    <mergeCell ref="B21:K21"/>
    <mergeCell ref="B23:K23"/>
    <mergeCell ref="B24:K24"/>
    <mergeCell ref="C29:G29"/>
    <mergeCell ref="K42:K45"/>
    <mergeCell ref="L42:L45"/>
    <mergeCell ref="C335:I335"/>
    <mergeCell ref="C336:I336"/>
    <mergeCell ref="C337:I337"/>
    <mergeCell ref="A340:B340"/>
    <mergeCell ref="H340:K340"/>
    <mergeCell ref="I211:J211"/>
    <mergeCell ref="C211:H211"/>
    <mergeCell ref="I196:J196"/>
    <mergeCell ref="A42:A45"/>
    <mergeCell ref="B42:B45"/>
    <mergeCell ref="C42:C45"/>
    <mergeCell ref="D42:D45"/>
    <mergeCell ref="E42:G44"/>
    <mergeCell ref="H42:J44"/>
    <mergeCell ref="C183:H183"/>
    <mergeCell ref="I169:J169"/>
    <mergeCell ref="C169:H169"/>
    <mergeCell ref="I154:J154"/>
    <mergeCell ref="C154:H154"/>
    <mergeCell ref="A48:L48"/>
    <mergeCell ref="I92:J92"/>
    <mergeCell ref="C92:H92"/>
    <mergeCell ref="C341:G341"/>
    <mergeCell ref="A343:B343"/>
    <mergeCell ref="H343:K343"/>
    <mergeCell ref="C344:G344"/>
    <mergeCell ref="I226:J226"/>
    <mergeCell ref="C226:H226"/>
    <mergeCell ref="C234:H234"/>
    <mergeCell ref="C233:H233"/>
    <mergeCell ref="C232:H232"/>
    <mergeCell ref="C231:H231"/>
    <mergeCell ref="A244:L244"/>
    <mergeCell ref="C242:H242"/>
    <mergeCell ref="C241:H241"/>
    <mergeCell ref="C240:H240"/>
    <mergeCell ref="C239:H239"/>
    <mergeCell ref="C238:H238"/>
    <mergeCell ref="C237:H237"/>
    <mergeCell ref="C236:H236"/>
    <mergeCell ref="C235:H235"/>
    <mergeCell ref="C326:H326"/>
    <mergeCell ref="C325:H325"/>
    <mergeCell ref="C324:H324"/>
    <mergeCell ref="C323:H323"/>
    <mergeCell ref="C322:H322"/>
    <mergeCell ref="I77:J77"/>
    <mergeCell ref="C77:H77"/>
    <mergeCell ref="I63:J63"/>
    <mergeCell ref="C63:H63"/>
    <mergeCell ref="I139:J139"/>
    <mergeCell ref="C139:H139"/>
    <mergeCell ref="I122:J122"/>
    <mergeCell ref="C122:H122"/>
    <mergeCell ref="I107:J107"/>
    <mergeCell ref="C107:H107"/>
    <mergeCell ref="C196:H196"/>
    <mergeCell ref="I183:J183"/>
    <mergeCell ref="C230:H230"/>
    <mergeCell ref="C229:H229"/>
    <mergeCell ref="C228:H228"/>
    <mergeCell ref="C309:H309"/>
    <mergeCell ref="C308:H308"/>
    <mergeCell ref="C307:H307"/>
    <mergeCell ref="C306:H306"/>
    <mergeCell ref="C305:H305"/>
    <mergeCell ref="C304:H304"/>
    <mergeCell ref="C303:H303"/>
    <mergeCell ref="I272:J272"/>
    <mergeCell ref="C272:H272"/>
    <mergeCell ref="I258:J258"/>
    <mergeCell ref="C258:H258"/>
    <mergeCell ref="C302:H302"/>
    <mergeCell ref="C301:H301"/>
    <mergeCell ref="C300:H300"/>
    <mergeCell ref="I298:J298"/>
    <mergeCell ref="C298:H298"/>
    <mergeCell ref="I285:J285"/>
    <mergeCell ref="C285:H285"/>
    <mergeCell ref="C328:H328"/>
    <mergeCell ref="C327:H327"/>
    <mergeCell ref="C313:H313"/>
    <mergeCell ref="C312:H312"/>
    <mergeCell ref="C311:H311"/>
    <mergeCell ref="C310:H310"/>
    <mergeCell ref="C317:H317"/>
    <mergeCell ref="C316:H316"/>
    <mergeCell ref="C314:H314"/>
    <mergeCell ref="C334:H334"/>
    <mergeCell ref="C333:H333"/>
    <mergeCell ref="C332:H332"/>
    <mergeCell ref="C331:H331"/>
    <mergeCell ref="C330:H330"/>
    <mergeCell ref="C329:H329"/>
    <mergeCell ref="C320:H320"/>
    <mergeCell ref="C319:H319"/>
    <mergeCell ref="C318:H318"/>
    <mergeCell ref="C321:H321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75.7109375" style="0" customWidth="1"/>
    <col min="4" max="8" width="15.7109375" style="0" customWidth="1"/>
    <col min="30" max="30" width="0" style="0" hidden="1" customWidth="1"/>
    <col min="31" max="31" width="114.7109375" style="0" hidden="1" customWidth="1"/>
    <col min="32" max="32" width="0" style="0" hidden="1" customWidth="1"/>
  </cols>
  <sheetData>
    <row r="1" ht="12.75">
      <c r="A1" s="12" t="str">
        <f>Source!B1</f>
        <v>Smeta.RU  (495) 974-1589</v>
      </c>
    </row>
    <row r="2" spans="4:5" ht="14.25">
      <c r="D2" s="14"/>
      <c r="E2" s="14"/>
    </row>
    <row r="3" spans="4:5" ht="15">
      <c r="D3" s="14"/>
      <c r="E3" s="62" t="s">
        <v>411</v>
      </c>
    </row>
    <row r="4" spans="4:5" ht="15">
      <c r="D4" s="62"/>
      <c r="E4" s="62"/>
    </row>
    <row r="5" spans="4:5" ht="15">
      <c r="D5" s="137" t="s">
        <v>515</v>
      </c>
      <c r="E5" s="137"/>
    </row>
    <row r="6" spans="4:5" ht="15">
      <c r="D6" s="77"/>
      <c r="E6" s="77"/>
    </row>
    <row r="7" spans="4:5" ht="15">
      <c r="D7" s="137" t="s">
        <v>515</v>
      </c>
      <c r="E7" s="137"/>
    </row>
    <row r="8" spans="4:5" ht="15">
      <c r="D8" s="77"/>
      <c r="E8" s="77"/>
    </row>
    <row r="9" spans="4:5" ht="15">
      <c r="D9" s="62" t="s">
        <v>516</v>
      </c>
      <c r="E9" s="14"/>
    </row>
    <row r="10" spans="4:5" ht="14.25">
      <c r="D10" s="14"/>
      <c r="E10" s="14"/>
    </row>
    <row r="12" spans="2:5" ht="15.75">
      <c r="B12" s="138" t="str">
        <f>CONCATENATE("Ведомость объемов работ ",IF(Source!AN15&lt;&gt;"",Source!AN15," "))</f>
        <v>Ведомость объемов работ  </v>
      </c>
      <c r="C12" s="138"/>
      <c r="D12" s="138"/>
      <c r="E12" s="138"/>
    </row>
    <row r="13" spans="2:31" ht="15">
      <c r="B13" s="139" t="str">
        <f>CONCATENATE(Source!F12," ",Source!G12)</f>
        <v> Выполнение ремонтных работ по облицовке пола лифтовых холлов 5-6 этажа строения № 1 ИПУ РАН</v>
      </c>
      <c r="C13" s="139"/>
      <c r="D13" s="139"/>
      <c r="E13" s="139"/>
      <c r="AE13" s="78" t="str">
        <f>CONCATENATE(Source!F12," ",Source!G12)</f>
        <v> Выполнение ремонтных работ по облицовке пола лифтовых холлов 5-6 этажа строения № 1 ИПУ РАН</v>
      </c>
    </row>
    <row r="14" ht="12.75" hidden="1"/>
    <row r="16" spans="1:8" ht="99.75">
      <c r="A16" s="80" t="s">
        <v>435</v>
      </c>
      <c r="B16" s="80" t="s">
        <v>517</v>
      </c>
      <c r="C16" s="80" t="s">
        <v>437</v>
      </c>
      <c r="D16" s="80" t="s">
        <v>438</v>
      </c>
      <c r="E16" s="80" t="s">
        <v>439</v>
      </c>
      <c r="F16" s="80" t="s">
        <v>518</v>
      </c>
      <c r="G16" s="80" t="s">
        <v>519</v>
      </c>
      <c r="H16" s="80" t="s">
        <v>520</v>
      </c>
    </row>
    <row r="17" spans="1:8" ht="14.25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</row>
    <row r="18" spans="1:8" ht="16.5">
      <c r="A18" s="136" t="str">
        <f>CONCATENATE("Локальная смета: ",Source!G20)</f>
        <v>Локальная смета: </v>
      </c>
      <c r="B18" s="136"/>
      <c r="C18" s="136"/>
      <c r="D18" s="136"/>
      <c r="E18" s="136"/>
      <c r="F18" s="136"/>
      <c r="G18" s="136"/>
      <c r="H18" s="136"/>
    </row>
    <row r="19" spans="1:8" ht="16.5">
      <c r="A19" s="136" t="str">
        <f>CONCATENATE("Раздел: ",Source!G24)</f>
        <v>Раздел: Лифтовые холлы  5, 6 эт.</v>
      </c>
      <c r="B19" s="136"/>
      <c r="C19" s="136"/>
      <c r="D19" s="136"/>
      <c r="E19" s="136"/>
      <c r="F19" s="136"/>
      <c r="G19" s="136"/>
      <c r="H19" s="136"/>
    </row>
    <row r="20" spans="1:8" ht="14.25">
      <c r="A20" s="80">
        <v>1</v>
      </c>
      <c r="B20" s="80" t="str">
        <f>Source!E28</f>
        <v>1</v>
      </c>
      <c r="C20" s="83" t="str">
        <f>Source!G28</f>
        <v>Разборка плинтусов: деревянных и из пластмассовых материалов</v>
      </c>
      <c r="D20" s="80" t="s">
        <v>24</v>
      </c>
      <c r="E20" s="84">
        <f>Source!I28</f>
        <v>4.79</v>
      </c>
      <c r="F20" s="80">
        <f>Source!U24</f>
      </c>
      <c r="G20" s="80" t="str">
        <f>"=479/"&amp;"100"</f>
        <v>=479/100</v>
      </c>
      <c r="H20" s="83"/>
    </row>
    <row r="21" spans="1:8" ht="14.25">
      <c r="A21" s="80">
        <v>1.1</v>
      </c>
      <c r="B21" s="80" t="str">
        <f>Source!E30</f>
        <v>1,1</v>
      </c>
      <c r="C21" s="83" t="str">
        <f>Source!G30</f>
        <v>Строительный мусор</v>
      </c>
      <c r="D21" s="80" t="s">
        <v>34</v>
      </c>
      <c r="E21" s="84">
        <f>Source!I30</f>
        <v>0.5269</v>
      </c>
      <c r="F21" s="80">
        <f>Source!U24</f>
      </c>
      <c r="G21" s="80"/>
      <c r="H21" s="83"/>
    </row>
    <row r="22" spans="1:8" ht="28.5">
      <c r="A22" s="80">
        <v>2</v>
      </c>
      <c r="B22" s="80" t="str">
        <f>Source!E32</f>
        <v>2</v>
      </c>
      <c r="C22" s="83" t="str">
        <f>Source!G32</f>
        <v>Демонтаж полимерных наливных полов из полиуретана: кварценаполненных с толщиной покрытия 4 мм (Применитиельно)</v>
      </c>
      <c r="D22" s="80" t="s">
        <v>38</v>
      </c>
      <c r="E22" s="84">
        <f>Source!I32</f>
        <v>2.48</v>
      </c>
      <c r="F22" s="80">
        <f>Source!U24</f>
      </c>
      <c r="G22" s="80" t="str">
        <f>"=248/"&amp;"100"</f>
        <v>=248/100</v>
      </c>
      <c r="H22" s="83"/>
    </row>
    <row r="23" spans="1:8" ht="14.25">
      <c r="A23" s="80">
        <v>3</v>
      </c>
      <c r="B23" s="80" t="str">
        <f>Source!E34</f>
        <v>3</v>
      </c>
      <c r="C23" s="83" t="str">
        <f>Source!G34</f>
        <v>Разборка покрытий полов: паркетных</v>
      </c>
      <c r="D23" s="80" t="s">
        <v>38</v>
      </c>
      <c r="E23" s="84">
        <f>Source!I34</f>
        <v>2.76</v>
      </c>
      <c r="F23" s="80">
        <f>Source!U24</f>
      </c>
      <c r="G23" s="80" t="str">
        <f>"=276/"&amp;"100"</f>
        <v>=276/100</v>
      </c>
      <c r="H23" s="83"/>
    </row>
    <row r="24" spans="1:8" ht="14.25">
      <c r="A24" s="80">
        <v>3.1</v>
      </c>
      <c r="B24" s="80" t="str">
        <f>Source!E36</f>
        <v>3,1</v>
      </c>
      <c r="C24" s="83" t="str">
        <f>Source!G36</f>
        <v>Строительный мусор</v>
      </c>
      <c r="D24" s="80" t="s">
        <v>34</v>
      </c>
      <c r="E24" s="84">
        <f>Source!I36</f>
        <v>7.728</v>
      </c>
      <c r="F24" s="80">
        <f>Source!U24</f>
      </c>
      <c r="G24" s="80"/>
      <c r="H24" s="83"/>
    </row>
    <row r="25" spans="1:8" ht="14.25">
      <c r="A25" s="80">
        <v>4</v>
      </c>
      <c r="B25" s="80" t="str">
        <f>Source!E38</f>
        <v>4</v>
      </c>
      <c r="C25" s="83" t="str">
        <f>Source!G38</f>
        <v>Разборка покрытий полов: цементных толщиной 150 мм</v>
      </c>
      <c r="D25" s="80" t="s">
        <v>38</v>
      </c>
      <c r="E25" s="84">
        <f>Source!I38</f>
        <v>5.23</v>
      </c>
      <c r="F25" s="80">
        <f>Source!U24</f>
      </c>
      <c r="G25" s="80" t="str">
        <f>"=523/"&amp;"100"</f>
        <v>=523/100</v>
      </c>
      <c r="H25" s="83"/>
    </row>
    <row r="26" spans="1:8" ht="14.25">
      <c r="A26" s="80">
        <v>4.1</v>
      </c>
      <c r="B26" s="80" t="str">
        <f>Source!E40</f>
        <v>4,1</v>
      </c>
      <c r="C26" s="83" t="str">
        <f>Source!G40</f>
        <v>Строительный мусор</v>
      </c>
      <c r="D26" s="80" t="s">
        <v>34</v>
      </c>
      <c r="E26" s="84">
        <f>Source!I40</f>
        <v>172.59</v>
      </c>
      <c r="F26" s="80">
        <f>Source!U24</f>
      </c>
      <c r="G26" s="80"/>
      <c r="H26" s="83"/>
    </row>
    <row r="27" spans="1:8" ht="28.5">
      <c r="A27" s="80">
        <v>5</v>
      </c>
      <c r="B27" s="80" t="str">
        <f>Source!E42</f>
        <v>5</v>
      </c>
      <c r="C27" s="83" t="str">
        <f>Source!G42</f>
        <v>Добавлять или исключать на каждые 5 мм изменения толщины покрытия к расценке 57-2-4 (исключить 135 мм до 15 мм, К=27)</v>
      </c>
      <c r="D27" s="80" t="s">
        <v>38</v>
      </c>
      <c r="E27" s="84">
        <f>Source!I42</f>
        <v>5.23</v>
      </c>
      <c r="F27" s="80">
        <f>Source!U24</f>
      </c>
      <c r="G27" s="80" t="str">
        <f>"=523/"&amp;"100"</f>
        <v>=523/100</v>
      </c>
      <c r="H27" s="83"/>
    </row>
    <row r="28" spans="1:8" ht="14.25">
      <c r="A28" s="80">
        <v>5.1</v>
      </c>
      <c r="B28" s="80" t="str">
        <f>Source!E44</f>
        <v>5,1</v>
      </c>
      <c r="C28" s="83" t="str">
        <f>Source!G44</f>
        <v>Строительный мусор</v>
      </c>
      <c r="D28" s="80" t="s">
        <v>34</v>
      </c>
      <c r="E28" s="84">
        <f>Source!I44</f>
        <v>-155.331</v>
      </c>
      <c r="F28" s="80">
        <f>Source!U24</f>
      </c>
      <c r="G28" s="80"/>
      <c r="H28" s="83"/>
    </row>
    <row r="29" spans="1:8" ht="28.5">
      <c r="A29" s="80">
        <v>6</v>
      </c>
      <c r="B29" s="80" t="str">
        <f>Source!E46</f>
        <v>6</v>
      </c>
      <c r="C29" s="83" t="str">
        <f>Source!G46</f>
        <v>Устройство стяжек: из самовыравнивающейся смеси на цементной основе, толщиной 3 мм</v>
      </c>
      <c r="D29" s="80" t="s">
        <v>38</v>
      </c>
      <c r="E29" s="84">
        <f>Source!I46</f>
        <v>5.23</v>
      </c>
      <c r="F29" s="80">
        <f>Source!U24</f>
      </c>
      <c r="G29" s="80" t="str">
        <f>"=523/"&amp;"100"</f>
        <v>=523/100</v>
      </c>
      <c r="H29" s="83"/>
    </row>
    <row r="30" spans="1:8" ht="14.25">
      <c r="A30" s="80">
        <v>6.1</v>
      </c>
      <c r="B30" s="80" t="str">
        <f>Source!E48</f>
        <v>6,1</v>
      </c>
      <c r="C30" s="83" t="str">
        <f>Source!G48</f>
        <v>Смесь самовыравнивающая быстротвердеющая для полов "БИРСС 34Р"</v>
      </c>
      <c r="D30" s="80" t="s">
        <v>34</v>
      </c>
      <c r="E30" s="84">
        <f>Source!I48</f>
        <v>2.358453</v>
      </c>
      <c r="F30" s="80">
        <f>Source!U24</f>
      </c>
      <c r="G30" s="80"/>
      <c r="H30" s="83"/>
    </row>
    <row r="31" spans="1:8" ht="14.25">
      <c r="A31" s="80">
        <v>6.2</v>
      </c>
      <c r="B31" s="80" t="str">
        <f>Source!E50</f>
        <v>6,2</v>
      </c>
      <c r="C31" s="83" t="str">
        <f>Source!G50</f>
        <v>Клей ПВА</v>
      </c>
      <c r="D31" s="80" t="s">
        <v>85</v>
      </c>
      <c r="E31" s="84">
        <f>Source!I50</f>
        <v>52.209981</v>
      </c>
      <c r="F31" s="80">
        <f>Source!U24</f>
      </c>
      <c r="G31" s="80"/>
      <c r="H31" s="83"/>
    </row>
    <row r="32" spans="1:8" ht="28.5">
      <c r="A32" s="80">
        <v>6.3</v>
      </c>
      <c r="B32" s="80" t="str">
        <f>Source!E52</f>
        <v>6,3</v>
      </c>
      <c r="C32" s="83" t="str">
        <f>Source!G52</f>
        <v>Грунтовка укрепляющая, глубокого проникновения, быстросохнущая, паропроницаемая</v>
      </c>
      <c r="D32" s="80" t="s">
        <v>85</v>
      </c>
      <c r="E32" s="84">
        <f>Source!I52</f>
        <v>104.6</v>
      </c>
      <c r="F32" s="80">
        <f>Source!U24</f>
      </c>
      <c r="G32" s="80"/>
      <c r="H32" s="83"/>
    </row>
    <row r="33" spans="1:8" ht="28.5">
      <c r="A33" s="80">
        <v>7</v>
      </c>
      <c r="B33" s="80" t="str">
        <f>Source!E54</f>
        <v>7</v>
      </c>
      <c r="C33" s="83" t="str">
        <f>Source!G54</f>
        <v>Устройство стяжек: на каждый последующий слой толщиной 1 мм добавлять к расценке 11-01-011-09 (добавлять до 10 мм, К=7)</v>
      </c>
      <c r="D33" s="80" t="s">
        <v>38</v>
      </c>
      <c r="E33" s="84">
        <f>Source!I54</f>
        <v>5.23</v>
      </c>
      <c r="F33" s="80">
        <f>Source!U24</f>
      </c>
      <c r="G33" s="80" t="str">
        <f>"=523/"&amp;"100"</f>
        <v>=523/100</v>
      </c>
      <c r="H33" s="83"/>
    </row>
    <row r="34" spans="1:8" ht="14.25">
      <c r="A34" s="80">
        <v>7.1</v>
      </c>
      <c r="B34" s="80" t="str">
        <f>Source!E56</f>
        <v>7,1</v>
      </c>
      <c r="C34" s="83" t="str">
        <f>Source!G56</f>
        <v>Смесь самовыравнивающая быстротвердеющая для полов "БИРСС 34Р"</v>
      </c>
      <c r="D34" s="80" t="s">
        <v>34</v>
      </c>
      <c r="E34" s="84">
        <f>Source!I56</f>
        <v>5.491050000000001</v>
      </c>
      <c r="F34" s="80">
        <f>Source!U24</f>
      </c>
      <c r="G34" s="80"/>
      <c r="H34" s="83"/>
    </row>
    <row r="35" spans="1:8" ht="28.5">
      <c r="A35" s="80">
        <v>8</v>
      </c>
      <c r="B35" s="80" t="str">
        <f>Source!E58</f>
        <v>8</v>
      </c>
      <c r="C35" s="83" t="str">
        <f>Source!G58</f>
        <v>Устройство покрытий из плит керамогранитных размером: 45х45 см (Применительно)</v>
      </c>
      <c r="D35" s="80" t="s">
        <v>38</v>
      </c>
      <c r="E35" s="84">
        <f>Source!I58</f>
        <v>5.23</v>
      </c>
      <c r="F35" s="80">
        <f>Source!U24</f>
      </c>
      <c r="G35" s="80" t="str">
        <f>"=523/"&amp;"100"</f>
        <v>=523/100</v>
      </c>
      <c r="H35" s="83"/>
    </row>
    <row r="36" spans="1:8" ht="14.25">
      <c r="A36" s="80">
        <v>8.1</v>
      </c>
      <c r="B36" s="80" t="str">
        <f>Source!E60</f>
        <v>8,1</v>
      </c>
      <c r="C36" s="83" t="str">
        <f>Source!G60</f>
        <v>Плиты керамогранитные 400х400 мм</v>
      </c>
      <c r="D36" s="80" t="s">
        <v>106</v>
      </c>
      <c r="E36" s="84">
        <f>Source!I60</f>
        <v>533.46</v>
      </c>
      <c r="F36" s="80">
        <f>Source!U24</f>
      </c>
      <c r="G36" s="80"/>
      <c r="H36" s="83"/>
    </row>
    <row r="37" spans="1:8" ht="28.5">
      <c r="A37" s="80">
        <v>8.2</v>
      </c>
      <c r="B37" s="80" t="str">
        <f>Source!E62</f>
        <v>8,2</v>
      </c>
      <c r="C37" s="83" t="str">
        <f>Source!G62</f>
        <v>Грунтовка укрепляющая, глубокого проникновения, быстросохнущая, паропроницаемая</v>
      </c>
      <c r="D37" s="80" t="s">
        <v>85</v>
      </c>
      <c r="E37" s="84">
        <f>Source!I62</f>
        <v>111.891394</v>
      </c>
      <c r="F37" s="80">
        <f>Source!U24</f>
      </c>
      <c r="G37" s="80"/>
      <c r="H37" s="83"/>
    </row>
    <row r="38" spans="1:8" ht="14.25">
      <c r="A38" s="80">
        <v>8.3</v>
      </c>
      <c r="B38" s="80" t="str">
        <f>Source!E64</f>
        <v>8,3</v>
      </c>
      <c r="C38" s="83" t="str">
        <f>Source!G64</f>
        <v>Рейки деревянные</v>
      </c>
      <c r="D38" s="80" t="s">
        <v>111</v>
      </c>
      <c r="E38" s="84">
        <f>Source!I64</f>
        <v>0.0523</v>
      </c>
      <c r="F38" s="80">
        <f>Source!U24</f>
      </c>
      <c r="G38" s="80"/>
      <c r="H38" s="83"/>
    </row>
    <row r="39" spans="1:8" ht="14.25">
      <c r="A39" s="80">
        <v>8.4</v>
      </c>
      <c r="B39" s="80" t="str">
        <f>Source!E66</f>
        <v>8,4</v>
      </c>
      <c r="C39" s="83" t="str">
        <f>Source!G66</f>
        <v>Клей для облицовочных работ (сухая смесь)</v>
      </c>
      <c r="D39" s="80" t="s">
        <v>34</v>
      </c>
      <c r="E39" s="84">
        <f>Source!I66</f>
        <v>6.276000000000001</v>
      </c>
      <c r="F39" s="80">
        <f>Source!U24</f>
      </c>
      <c r="G39" s="80"/>
      <c r="H39" s="83"/>
    </row>
    <row r="40" spans="1:8" ht="14.25">
      <c r="A40" s="80">
        <v>9</v>
      </c>
      <c r="B40" s="80" t="str">
        <f>Source!E68</f>
        <v>9</v>
      </c>
      <c r="C40" s="83" t="str">
        <f>Source!G68</f>
        <v>Устройство плинтусов: из плиток керамических</v>
      </c>
      <c r="D40" s="80" t="s">
        <v>24</v>
      </c>
      <c r="E40" s="84">
        <f>Source!I68</f>
        <v>4.79</v>
      </c>
      <c r="F40" s="80">
        <f>Source!U24</f>
      </c>
      <c r="G40" s="80" t="str">
        <f>"=479/"&amp;"100"</f>
        <v>=479/100</v>
      </c>
      <c r="H40" s="83"/>
    </row>
    <row r="41" spans="1:8" ht="14.25">
      <c r="A41" s="80">
        <v>9.1</v>
      </c>
      <c r="B41" s="80" t="str">
        <f>Source!E70</f>
        <v>9,1</v>
      </c>
      <c r="C41" s="83" t="str">
        <f>Source!G70</f>
        <v>Плитки керамические плинтусные</v>
      </c>
      <c r="D41" s="80" t="s">
        <v>121</v>
      </c>
      <c r="E41" s="84">
        <f>Source!I70</f>
        <v>483.79</v>
      </c>
      <c r="F41" s="80">
        <f>Source!U24</f>
      </c>
      <c r="G41" s="80"/>
      <c r="H41" s="83"/>
    </row>
    <row r="42" spans="1:8" ht="14.25">
      <c r="A42" s="80">
        <v>10</v>
      </c>
      <c r="B42" s="80" t="str">
        <f>Source!E72</f>
        <v>10</v>
      </c>
      <c r="C42" s="83" t="str">
        <f>Source!G72</f>
        <v>Расчистка поверхностей шпателем, щетками от старых покрасок</v>
      </c>
      <c r="D42" s="80" t="s">
        <v>106</v>
      </c>
      <c r="E42" s="84">
        <f>Source!I72</f>
        <v>38</v>
      </c>
      <c r="F42" s="80">
        <f>Source!U24</f>
      </c>
      <c r="G42" s="80">
        <f>Source!I72</f>
        <v>38</v>
      </c>
      <c r="H42" s="83"/>
    </row>
    <row r="43" spans="1:8" ht="28.5">
      <c r="A43" s="80">
        <v>11</v>
      </c>
      <c r="B43" s="80" t="str">
        <f>Source!E74</f>
        <v>11</v>
      </c>
      <c r="C43" s="83" t="str">
        <f>Source!G74</f>
        <v>Покрытие поверхностей грунтовкой глубокого проникновения: за 2 раза стен</v>
      </c>
      <c r="D43" s="80" t="s">
        <v>38</v>
      </c>
      <c r="E43" s="84">
        <f>Source!I74</f>
        <v>0.38</v>
      </c>
      <c r="F43" s="80">
        <f>Source!U24</f>
      </c>
      <c r="G43" s="80" t="str">
        <f>"=38/"&amp;"100"</f>
        <v>=38/100</v>
      </c>
      <c r="H43" s="83"/>
    </row>
    <row r="44" spans="1:8" ht="28.5">
      <c r="A44" s="80">
        <v>11.1</v>
      </c>
      <c r="B44" s="80" t="str">
        <f>Source!E76</f>
        <v>11,1</v>
      </c>
      <c r="C44" s="83" t="str">
        <f>Source!G76</f>
        <v>Грунтовка укрепляющая, глубокого проникновения, быстросохнущая, паропроницаемая</v>
      </c>
      <c r="D44" s="80" t="s">
        <v>85</v>
      </c>
      <c r="E44" s="84">
        <f>Source!I76</f>
        <v>8.129776</v>
      </c>
      <c r="F44" s="80">
        <f>Source!U24</f>
      </c>
      <c r="G44" s="80"/>
      <c r="H44" s="83"/>
    </row>
    <row r="45" spans="1:8" ht="28.5">
      <c r="A45" s="80">
        <v>12</v>
      </c>
      <c r="B45" s="80" t="str">
        <f>Source!E78</f>
        <v>12</v>
      </c>
      <c r="C45" s="83" t="str">
        <f>Source!G78</f>
        <v>Установка торцевого алюминиевого профиля по периметру проема (Применительно)</v>
      </c>
      <c r="D45" s="80" t="s">
        <v>24</v>
      </c>
      <c r="E45" s="84">
        <f>Source!I78</f>
        <v>0.19</v>
      </c>
      <c r="F45" s="80">
        <f>Source!U24</f>
      </c>
      <c r="G45" s="80" t="str">
        <f>"=19/"&amp;"100"</f>
        <v>=19/100</v>
      </c>
      <c r="H45" s="83"/>
    </row>
    <row r="46" spans="1:8" ht="14.25">
      <c r="A46" s="80">
        <v>12.1</v>
      </c>
      <c r="B46" s="80" t="str">
        <f>Source!E80</f>
        <v>12,1</v>
      </c>
      <c r="C46" s="83" t="str">
        <f>Source!G80</f>
        <v>Профиль угловой алюминиевый перфорированный: PL 19х19 мм</v>
      </c>
      <c r="D46" s="80" t="s">
        <v>146</v>
      </c>
      <c r="E46" s="84">
        <f>Source!I80</f>
        <v>1.9129250000000002</v>
      </c>
      <c r="F46" s="80">
        <f>Source!U24</f>
      </c>
      <c r="G46" s="80"/>
      <c r="H46" s="83"/>
    </row>
    <row r="47" spans="1:8" ht="16.5">
      <c r="A47" s="136" t="str">
        <f>CONCATENATE("Раздел: ",Source!G113)</f>
        <v>Раздел: Разные работы</v>
      </c>
      <c r="B47" s="136"/>
      <c r="C47" s="136"/>
      <c r="D47" s="136"/>
      <c r="E47" s="136"/>
      <c r="F47" s="136"/>
      <c r="G47" s="136"/>
      <c r="H47" s="136"/>
    </row>
    <row r="48" spans="1:8" ht="14.25">
      <c r="A48" s="80">
        <v>13</v>
      </c>
      <c r="B48" s="80" t="str">
        <f>Source!E117</f>
        <v>13</v>
      </c>
      <c r="C48" s="83" t="str">
        <f>Source!G117</f>
        <v>Укрытие полиэтиленовой пленкой (Применительно)</v>
      </c>
      <c r="D48" s="80" t="s">
        <v>38</v>
      </c>
      <c r="E48" s="84">
        <f>Source!I117</f>
        <v>3.3</v>
      </c>
      <c r="F48" s="80">
        <f>Source!U113</f>
      </c>
      <c r="G48" s="80" t="str">
        <f>"=330/"&amp;"100"</f>
        <v>=330/100</v>
      </c>
      <c r="H48" s="83"/>
    </row>
    <row r="49" spans="1:8" ht="14.25">
      <c r="A49" s="80">
        <v>14</v>
      </c>
      <c r="B49" s="80" t="str">
        <f>Source!E119</f>
        <v>14</v>
      </c>
      <c r="C49" s="83" t="str">
        <f>Source!G119</f>
        <v>Очистка помещений от строительного мусора</v>
      </c>
      <c r="D49" s="80" t="s">
        <v>210</v>
      </c>
      <c r="E49" s="84">
        <f>Source!I119</f>
        <v>0.2887</v>
      </c>
      <c r="F49" s="80">
        <f>Source!U113</f>
      </c>
      <c r="G49" s="80" t="str">
        <f>"=28,87/"&amp;"100"</f>
        <v>=28,87/100</v>
      </c>
      <c r="H49" s="83"/>
    </row>
    <row r="50" spans="1:8" ht="14.25">
      <c r="A50" s="80">
        <v>14.1</v>
      </c>
      <c r="B50" s="80" t="str">
        <f>Source!E121</f>
        <v>14,1</v>
      </c>
      <c r="C50" s="83" t="str">
        <f>Source!G121</f>
        <v>Строительный мусор</v>
      </c>
      <c r="D50" s="80" t="s">
        <v>34</v>
      </c>
      <c r="E50" s="84">
        <f>Source!I121</f>
        <v>28.87</v>
      </c>
      <c r="F50" s="80">
        <f>Source!U113</f>
      </c>
      <c r="G50" s="80"/>
      <c r="H50" s="83"/>
    </row>
    <row r="51" spans="1:8" ht="14.25">
      <c r="A51" s="80">
        <v>15</v>
      </c>
      <c r="B51" s="80" t="str">
        <f>Source!E123</f>
        <v>15</v>
      </c>
      <c r="C51" s="83" t="str">
        <f>Source!G123</f>
        <v>Затаривание строительного мусора в мешки</v>
      </c>
      <c r="D51" s="80" t="s">
        <v>34</v>
      </c>
      <c r="E51" s="84">
        <f>Source!I123</f>
        <v>28.87</v>
      </c>
      <c r="F51" s="80">
        <f>Source!U113</f>
      </c>
      <c r="G51" s="80">
        <f>Source!I123</f>
        <v>28.87</v>
      </c>
      <c r="H51" s="83"/>
    </row>
    <row r="52" spans="1:8" ht="28.5">
      <c r="A52" s="79">
        <v>16</v>
      </c>
      <c r="B52" s="79" t="str">
        <f>Source!E125</f>
        <v>16</v>
      </c>
      <c r="C52" s="81" t="str">
        <f>Source!G125</f>
        <v>Перевозка грузов I класса автомобилями бортовыми грузоподъемностью до 15 т на расстояние: до 50 км</v>
      </c>
      <c r="D52" s="79" t="s">
        <v>225</v>
      </c>
      <c r="E52" s="82">
        <f>Source!I125</f>
        <v>28.87</v>
      </c>
      <c r="F52" s="79">
        <f>Source!U113</f>
      </c>
      <c r="G52" s="79">
        <f>Source!I125</f>
        <v>28.87</v>
      </c>
      <c r="H52" s="81"/>
    </row>
    <row r="55" spans="2:5" ht="15">
      <c r="B55" s="85" t="s">
        <v>521</v>
      </c>
      <c r="C55" s="14"/>
      <c r="D55" s="86" t="s">
        <v>522</v>
      </c>
      <c r="E55" s="87"/>
    </row>
  </sheetData>
  <sheetProtection/>
  <mergeCells count="7">
    <mergeCell ref="A47:H47"/>
    <mergeCell ref="D5:E5"/>
    <mergeCell ref="D7:E7"/>
    <mergeCell ref="B12:E12"/>
    <mergeCell ref="B13:E13"/>
    <mergeCell ref="A18:H18"/>
    <mergeCell ref="A19:H19"/>
  </mergeCells>
  <printOptions/>
  <pageMargins left="0.4" right="0.2" top="0.2" bottom="0.4" header="0.2" footer="0.2"/>
  <pageSetup fitToHeight="0" fitToWidth="1" horizontalDpi="600" verticalDpi="600" orientation="portrait" paperSize="9" scale="59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>
        <v>112</v>
      </c>
      <c r="B1">
        <v>65</v>
      </c>
      <c r="C1">
        <v>1</v>
      </c>
      <c r="D1">
        <v>2</v>
      </c>
      <c r="E1">
        <v>11001</v>
      </c>
      <c r="F1" t="s">
        <v>27</v>
      </c>
      <c r="G1" s="88" t="s">
        <v>3</v>
      </c>
      <c r="H1" s="88" t="s">
        <v>3</v>
      </c>
      <c r="I1">
        <f>Source!BZ33</f>
        <v>112</v>
      </c>
      <c r="J1">
        <f>Source!CA33</f>
        <v>65</v>
      </c>
      <c r="K1">
        <v>177</v>
      </c>
      <c r="L1">
        <v>1093.8</v>
      </c>
      <c r="M1">
        <v>963.08</v>
      </c>
      <c r="N1">
        <v>130.72</v>
      </c>
      <c r="O1">
        <v>20.68</v>
      </c>
      <c r="P1">
        <v>0</v>
      </c>
      <c r="Q1">
        <v>114</v>
      </c>
      <c r="R1">
        <v>2</v>
      </c>
      <c r="S1">
        <v>1101.81</v>
      </c>
      <c r="T1">
        <v>639.44</v>
      </c>
    </row>
    <row r="2" spans="1:20" ht="12.75">
      <c r="A2">
        <v>112</v>
      </c>
      <c r="B2">
        <v>65</v>
      </c>
      <c r="C2">
        <v>1</v>
      </c>
      <c r="D2">
        <v>0</v>
      </c>
      <c r="E2">
        <v>11001</v>
      </c>
      <c r="F2" t="s">
        <v>27</v>
      </c>
      <c r="G2" s="88" t="s">
        <v>3</v>
      </c>
      <c r="H2" s="88" t="s">
        <v>3</v>
      </c>
      <c r="I2">
        <f>Source!BZ49</f>
        <v>112</v>
      </c>
      <c r="J2">
        <f>Source!CA49</f>
        <v>65</v>
      </c>
      <c r="K2">
        <v>177</v>
      </c>
      <c r="L2">
        <v>6326.76</v>
      </c>
      <c r="M2">
        <v>0</v>
      </c>
      <c r="N2">
        <v>0</v>
      </c>
      <c r="O2">
        <v>0</v>
      </c>
      <c r="P2">
        <v>6326.76</v>
      </c>
      <c r="Q2">
        <v>0</v>
      </c>
      <c r="R2">
        <v>0</v>
      </c>
      <c r="S2">
        <v>0</v>
      </c>
      <c r="T2">
        <v>0</v>
      </c>
    </row>
    <row r="3" spans="1:20" ht="12.75">
      <c r="A3">
        <v>112</v>
      </c>
      <c r="B3">
        <v>65</v>
      </c>
      <c r="C3">
        <v>1</v>
      </c>
      <c r="D3">
        <v>0</v>
      </c>
      <c r="E3">
        <v>11001</v>
      </c>
      <c r="F3" t="s">
        <v>27</v>
      </c>
      <c r="G3" s="88" t="s">
        <v>3</v>
      </c>
      <c r="H3" s="88" t="s">
        <v>3</v>
      </c>
      <c r="I3">
        <f>Source!BZ51</f>
        <v>112</v>
      </c>
      <c r="J3">
        <f>Source!CA51</f>
        <v>65</v>
      </c>
      <c r="K3">
        <v>177</v>
      </c>
      <c r="L3">
        <v>830.14</v>
      </c>
      <c r="M3">
        <v>0</v>
      </c>
      <c r="N3">
        <v>0</v>
      </c>
      <c r="O3">
        <v>0</v>
      </c>
      <c r="P3">
        <v>830.14</v>
      </c>
      <c r="Q3">
        <v>0</v>
      </c>
      <c r="R3">
        <v>0</v>
      </c>
      <c r="S3">
        <v>0</v>
      </c>
      <c r="T3">
        <v>0</v>
      </c>
    </row>
    <row r="4" spans="1:20" ht="12.75">
      <c r="A4">
        <v>112</v>
      </c>
      <c r="B4">
        <v>65</v>
      </c>
      <c r="C4">
        <v>1</v>
      </c>
      <c r="D4">
        <v>0</v>
      </c>
      <c r="E4">
        <v>11001</v>
      </c>
      <c r="F4" t="s">
        <v>27</v>
      </c>
      <c r="G4" s="88" t="s">
        <v>3</v>
      </c>
      <c r="H4" s="88" t="s">
        <v>3</v>
      </c>
      <c r="I4">
        <f>Source!BZ53</f>
        <v>112</v>
      </c>
      <c r="J4">
        <f>Source!CA53</f>
        <v>65</v>
      </c>
      <c r="K4">
        <v>177</v>
      </c>
      <c r="L4">
        <v>1368.17</v>
      </c>
      <c r="M4">
        <v>0</v>
      </c>
      <c r="N4">
        <v>0</v>
      </c>
      <c r="O4">
        <v>0</v>
      </c>
      <c r="P4">
        <v>1368.17</v>
      </c>
      <c r="Q4">
        <v>0</v>
      </c>
      <c r="R4">
        <v>0</v>
      </c>
      <c r="S4">
        <v>0</v>
      </c>
      <c r="T4">
        <v>0</v>
      </c>
    </row>
    <row r="5" spans="1:20" ht="12.75">
      <c r="A5">
        <v>112</v>
      </c>
      <c r="B5">
        <v>65</v>
      </c>
      <c r="C5">
        <v>1</v>
      </c>
      <c r="D5">
        <v>0</v>
      </c>
      <c r="E5">
        <v>11001</v>
      </c>
      <c r="F5" t="s">
        <v>27</v>
      </c>
      <c r="G5" s="88" t="s">
        <v>3</v>
      </c>
      <c r="H5" s="88" t="s">
        <v>3</v>
      </c>
      <c r="I5">
        <f>Source!BZ57</f>
        <v>112</v>
      </c>
      <c r="J5">
        <f>Source!CA57</f>
        <v>65</v>
      </c>
      <c r="K5">
        <v>177</v>
      </c>
      <c r="L5">
        <v>14730.24</v>
      </c>
      <c r="M5">
        <v>0</v>
      </c>
      <c r="N5">
        <v>0</v>
      </c>
      <c r="O5">
        <v>0</v>
      </c>
      <c r="P5">
        <v>14730.24</v>
      </c>
      <c r="Q5">
        <v>0</v>
      </c>
      <c r="R5">
        <v>0</v>
      </c>
      <c r="S5">
        <v>0</v>
      </c>
      <c r="T5">
        <v>0</v>
      </c>
    </row>
    <row r="6" spans="1:20" ht="12.75">
      <c r="A6">
        <v>112</v>
      </c>
      <c r="B6">
        <v>65</v>
      </c>
      <c r="C6">
        <v>1</v>
      </c>
      <c r="D6">
        <v>0</v>
      </c>
      <c r="E6">
        <v>11001</v>
      </c>
      <c r="F6" t="s">
        <v>27</v>
      </c>
      <c r="G6" s="88" t="s">
        <v>3</v>
      </c>
      <c r="H6" s="88" t="s">
        <v>3</v>
      </c>
      <c r="I6">
        <f>Source!BZ61</f>
        <v>112</v>
      </c>
      <c r="J6">
        <f>Source!CA61</f>
        <v>65</v>
      </c>
      <c r="K6">
        <v>177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>
        <v>112</v>
      </c>
      <c r="B7">
        <v>65</v>
      </c>
      <c r="C7">
        <v>1</v>
      </c>
      <c r="D7">
        <v>0</v>
      </c>
      <c r="E7">
        <v>11001</v>
      </c>
      <c r="F7" t="s">
        <v>27</v>
      </c>
      <c r="G7" s="88" t="s">
        <v>3</v>
      </c>
      <c r="H7" s="88" t="s">
        <v>3</v>
      </c>
      <c r="I7">
        <f>Source!BZ63</f>
        <v>112</v>
      </c>
      <c r="J7">
        <f>Source!CA63</f>
        <v>65</v>
      </c>
      <c r="K7">
        <v>177</v>
      </c>
      <c r="L7">
        <v>1463.54</v>
      </c>
      <c r="M7">
        <v>0</v>
      </c>
      <c r="N7">
        <v>0</v>
      </c>
      <c r="O7">
        <v>0</v>
      </c>
      <c r="P7">
        <v>1463.54</v>
      </c>
      <c r="Q7">
        <v>0</v>
      </c>
      <c r="R7">
        <v>0</v>
      </c>
      <c r="S7">
        <v>0</v>
      </c>
      <c r="T7">
        <v>0</v>
      </c>
    </row>
    <row r="8" spans="1:20" ht="12.75">
      <c r="A8">
        <v>112</v>
      </c>
      <c r="B8">
        <v>65</v>
      </c>
      <c r="C8">
        <v>1</v>
      </c>
      <c r="D8">
        <v>0</v>
      </c>
      <c r="E8">
        <v>11001</v>
      </c>
      <c r="F8" t="s">
        <v>27</v>
      </c>
      <c r="G8" s="88" t="s">
        <v>3</v>
      </c>
      <c r="H8" s="88" t="s">
        <v>3</v>
      </c>
      <c r="I8">
        <f>Source!BZ65</f>
        <v>112</v>
      </c>
      <c r="J8">
        <f>Source!CA65</f>
        <v>65</v>
      </c>
      <c r="K8">
        <v>177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>
        <v>112</v>
      </c>
      <c r="B9">
        <v>65</v>
      </c>
      <c r="C9">
        <v>1</v>
      </c>
      <c r="D9">
        <v>0</v>
      </c>
      <c r="E9">
        <v>11001</v>
      </c>
      <c r="F9" t="s">
        <v>27</v>
      </c>
      <c r="G9" s="88" t="s">
        <v>3</v>
      </c>
      <c r="H9" s="88" t="s">
        <v>3</v>
      </c>
      <c r="I9">
        <f>Source!BZ67</f>
        <v>112</v>
      </c>
      <c r="J9">
        <f>Source!CA67</f>
        <v>65</v>
      </c>
      <c r="K9">
        <v>177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>
        <v>112</v>
      </c>
      <c r="B10">
        <v>65</v>
      </c>
      <c r="C10">
        <v>1</v>
      </c>
      <c r="D10">
        <v>0</v>
      </c>
      <c r="E10">
        <v>11001</v>
      </c>
      <c r="F10" t="s">
        <v>27</v>
      </c>
      <c r="G10" s="88" t="s">
        <v>3</v>
      </c>
      <c r="H10" s="88" t="s">
        <v>3</v>
      </c>
      <c r="I10">
        <f>Source!BZ71</f>
        <v>112</v>
      </c>
      <c r="J10">
        <f>Source!CA71</f>
        <v>65</v>
      </c>
      <c r="K10">
        <v>177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>
        <v>112</v>
      </c>
      <c r="B11">
        <v>65</v>
      </c>
      <c r="C11">
        <v>1</v>
      </c>
      <c r="D11">
        <v>0</v>
      </c>
      <c r="E11">
        <v>11001</v>
      </c>
      <c r="F11" t="s">
        <v>27</v>
      </c>
      <c r="G11" s="88" t="s">
        <v>3</v>
      </c>
      <c r="H11" s="88" t="s">
        <v>3</v>
      </c>
      <c r="I11">
        <f>Source!BZ81</f>
        <v>112</v>
      </c>
      <c r="J11">
        <f>Source!CA81</f>
        <v>65</v>
      </c>
      <c r="K11">
        <v>177</v>
      </c>
      <c r="L11">
        <v>25.38</v>
      </c>
      <c r="M11">
        <v>0</v>
      </c>
      <c r="N11">
        <v>0</v>
      </c>
      <c r="O11">
        <v>0</v>
      </c>
      <c r="P11">
        <v>25.38</v>
      </c>
      <c r="Q11">
        <v>0</v>
      </c>
      <c r="R11">
        <v>0</v>
      </c>
      <c r="S11">
        <v>0</v>
      </c>
      <c r="T11">
        <v>0</v>
      </c>
    </row>
    <row r="12" spans="1:20" ht="12.75">
      <c r="A12">
        <v>100.8</v>
      </c>
      <c r="B12">
        <v>55.25</v>
      </c>
      <c r="C12">
        <v>1</v>
      </c>
      <c r="D12">
        <v>6</v>
      </c>
      <c r="E12">
        <v>11001</v>
      </c>
      <c r="F12" t="s">
        <v>27</v>
      </c>
      <c r="G12" s="88" t="s">
        <v>75</v>
      </c>
      <c r="H12" s="88" t="s">
        <v>76</v>
      </c>
      <c r="I12">
        <f>Source!BZ47</f>
        <v>112</v>
      </c>
      <c r="J12">
        <f>Source!CA47</f>
        <v>65</v>
      </c>
      <c r="K12">
        <v>156.05</v>
      </c>
      <c r="L12">
        <v>1526.04</v>
      </c>
      <c r="M12">
        <v>1341.08</v>
      </c>
      <c r="N12">
        <v>81.46</v>
      </c>
      <c r="O12">
        <v>6.8</v>
      </c>
      <c r="P12">
        <v>103.5</v>
      </c>
      <c r="Q12">
        <v>157</v>
      </c>
      <c r="R12">
        <v>1</v>
      </c>
      <c r="S12">
        <v>1358.66</v>
      </c>
      <c r="T12">
        <v>744.7</v>
      </c>
    </row>
    <row r="13" spans="1:20" ht="12.75">
      <c r="A13">
        <v>100.8</v>
      </c>
      <c r="B13">
        <v>55.25</v>
      </c>
      <c r="C13">
        <v>1</v>
      </c>
      <c r="D13">
        <v>7</v>
      </c>
      <c r="E13">
        <v>11001</v>
      </c>
      <c r="F13" t="s">
        <v>27</v>
      </c>
      <c r="G13" s="88" t="s">
        <v>75</v>
      </c>
      <c r="H13" s="88" t="s">
        <v>76</v>
      </c>
      <c r="I13">
        <f>Source!BZ55</f>
        <v>112</v>
      </c>
      <c r="J13">
        <f>Source!CA55</f>
        <v>65</v>
      </c>
      <c r="K13">
        <v>156.05</v>
      </c>
      <c r="L13">
        <v>882.31</v>
      </c>
      <c r="M13">
        <v>836.54</v>
      </c>
      <c r="N13">
        <v>42.11</v>
      </c>
      <c r="O13">
        <v>13.28</v>
      </c>
      <c r="P13">
        <v>3.66</v>
      </c>
      <c r="Q13">
        <v>98</v>
      </c>
      <c r="R13">
        <v>1</v>
      </c>
      <c r="S13">
        <v>856.62</v>
      </c>
      <c r="T13">
        <v>469.53</v>
      </c>
    </row>
    <row r="14" spans="1:20" ht="12.75">
      <c r="A14">
        <v>100.8</v>
      </c>
      <c r="B14">
        <v>55.25</v>
      </c>
      <c r="C14">
        <v>1</v>
      </c>
      <c r="D14">
        <v>8</v>
      </c>
      <c r="E14">
        <v>11001</v>
      </c>
      <c r="F14" t="s">
        <v>27</v>
      </c>
      <c r="G14" s="88" t="s">
        <v>75</v>
      </c>
      <c r="H14" s="88" t="s">
        <v>76</v>
      </c>
      <c r="I14">
        <f>Source!BZ59</f>
        <v>112</v>
      </c>
      <c r="J14">
        <f>Source!CA59</f>
        <v>65</v>
      </c>
      <c r="K14">
        <v>156.05</v>
      </c>
      <c r="L14">
        <v>16925.81</v>
      </c>
      <c r="M14">
        <v>16317.76</v>
      </c>
      <c r="N14">
        <v>159.63</v>
      </c>
      <c r="O14">
        <v>114.59</v>
      </c>
      <c r="P14">
        <v>448.42</v>
      </c>
      <c r="Q14">
        <v>1867</v>
      </c>
      <c r="R14">
        <v>11</v>
      </c>
      <c r="S14">
        <v>16563.81</v>
      </c>
      <c r="T14">
        <v>9078.87</v>
      </c>
    </row>
    <row r="15" spans="1:20" ht="12.75">
      <c r="A15">
        <v>100.8</v>
      </c>
      <c r="B15">
        <v>55.25</v>
      </c>
      <c r="C15">
        <v>1</v>
      </c>
      <c r="D15">
        <v>9</v>
      </c>
      <c r="E15">
        <v>11001</v>
      </c>
      <c r="F15" t="s">
        <v>27</v>
      </c>
      <c r="G15" s="88" t="s">
        <v>75</v>
      </c>
      <c r="H15" s="88" t="s">
        <v>76</v>
      </c>
      <c r="I15">
        <f>Source!BZ69</f>
        <v>112</v>
      </c>
      <c r="J15">
        <f>Source!CA69</f>
        <v>65</v>
      </c>
      <c r="K15">
        <v>156.05</v>
      </c>
      <c r="L15">
        <v>1740.64</v>
      </c>
      <c r="M15">
        <v>1247.84</v>
      </c>
      <c r="N15">
        <v>32.96</v>
      </c>
      <c r="O15">
        <v>8.29</v>
      </c>
      <c r="P15">
        <v>459.84</v>
      </c>
      <c r="Q15">
        <v>131</v>
      </c>
      <c r="R15">
        <v>1</v>
      </c>
      <c r="S15">
        <v>1266.18</v>
      </c>
      <c r="T15">
        <v>694.01</v>
      </c>
    </row>
    <row r="16" spans="1:20" ht="12.75">
      <c r="A16">
        <v>100.8</v>
      </c>
      <c r="B16">
        <v>55.25</v>
      </c>
      <c r="C16">
        <v>1</v>
      </c>
      <c r="D16">
        <v>12</v>
      </c>
      <c r="E16">
        <v>11001</v>
      </c>
      <c r="F16" t="s">
        <v>27</v>
      </c>
      <c r="G16" s="88" t="s">
        <v>75</v>
      </c>
      <c r="H16" s="88" t="s">
        <v>76</v>
      </c>
      <c r="I16">
        <f>Source!BZ79</f>
        <v>112</v>
      </c>
      <c r="J16">
        <f>Source!CA79</f>
        <v>65</v>
      </c>
      <c r="K16">
        <v>156.05</v>
      </c>
      <c r="L16">
        <v>47.06</v>
      </c>
      <c r="M16">
        <v>31.78</v>
      </c>
      <c r="N16">
        <v>0</v>
      </c>
      <c r="O16">
        <v>0</v>
      </c>
      <c r="P16">
        <v>15.28</v>
      </c>
      <c r="Q16">
        <v>4</v>
      </c>
      <c r="R16">
        <v>0</v>
      </c>
      <c r="S16">
        <v>32.03</v>
      </c>
      <c r="T16">
        <v>17.56</v>
      </c>
    </row>
    <row r="17" spans="1:20" ht="12.75">
      <c r="A17">
        <v>100.8</v>
      </c>
      <c r="B17">
        <v>55.25</v>
      </c>
      <c r="C17">
        <v>1</v>
      </c>
      <c r="D17">
        <v>13</v>
      </c>
      <c r="E17">
        <v>11001</v>
      </c>
      <c r="F17" t="s">
        <v>27</v>
      </c>
      <c r="G17" s="88" t="s">
        <v>75</v>
      </c>
      <c r="H17" s="88" t="s">
        <v>76</v>
      </c>
      <c r="I17">
        <f>Source!BZ118</f>
        <v>112</v>
      </c>
      <c r="J17">
        <f>Source!CA118</f>
        <v>65</v>
      </c>
      <c r="K17">
        <v>156.05</v>
      </c>
      <c r="L17">
        <v>5040.88</v>
      </c>
      <c r="M17">
        <v>111.67</v>
      </c>
      <c r="N17">
        <v>5.41</v>
      </c>
      <c r="O17">
        <v>0.96</v>
      </c>
      <c r="P17">
        <v>4923.8</v>
      </c>
      <c r="Q17">
        <v>13</v>
      </c>
      <c r="R17">
        <v>0</v>
      </c>
      <c r="S17">
        <v>113.53</v>
      </c>
      <c r="T17">
        <v>62.23</v>
      </c>
    </row>
    <row r="18" spans="1:20" ht="12.75">
      <c r="A18">
        <v>100</v>
      </c>
      <c r="B18">
        <v>49</v>
      </c>
      <c r="C18">
        <v>1</v>
      </c>
      <c r="D18">
        <v>0</v>
      </c>
      <c r="E18">
        <v>15001</v>
      </c>
      <c r="F18" t="s">
        <v>134</v>
      </c>
      <c r="G18" s="88" t="s">
        <v>3</v>
      </c>
      <c r="H18" s="88" t="s">
        <v>3</v>
      </c>
      <c r="I18">
        <f>Source!BZ77</f>
        <v>100</v>
      </c>
      <c r="J18">
        <f>Source!CA77</f>
        <v>49</v>
      </c>
      <c r="K18">
        <v>149</v>
      </c>
      <c r="L18">
        <v>106.34</v>
      </c>
      <c r="M18">
        <v>0</v>
      </c>
      <c r="N18">
        <v>0</v>
      </c>
      <c r="O18">
        <v>0</v>
      </c>
      <c r="P18">
        <v>106.34</v>
      </c>
      <c r="Q18">
        <v>0</v>
      </c>
      <c r="R18">
        <v>0</v>
      </c>
      <c r="S18">
        <v>0</v>
      </c>
      <c r="T18">
        <v>0</v>
      </c>
    </row>
    <row r="19" spans="1:20" ht="12.75">
      <c r="A19">
        <v>90</v>
      </c>
      <c r="B19">
        <v>41.65</v>
      </c>
      <c r="C19">
        <v>1</v>
      </c>
      <c r="D19">
        <v>11</v>
      </c>
      <c r="E19">
        <v>15001</v>
      </c>
      <c r="F19" t="s">
        <v>134</v>
      </c>
      <c r="G19" s="88" t="s">
        <v>75</v>
      </c>
      <c r="H19" s="88" t="s">
        <v>76</v>
      </c>
      <c r="I19">
        <f>Source!BZ75</f>
        <v>100</v>
      </c>
      <c r="J19">
        <f>Source!CA75</f>
        <v>49</v>
      </c>
      <c r="K19">
        <v>131.65</v>
      </c>
      <c r="L19">
        <v>69.52</v>
      </c>
      <c r="M19">
        <v>68.61</v>
      </c>
      <c r="N19">
        <v>0.77</v>
      </c>
      <c r="O19">
        <v>0.17</v>
      </c>
      <c r="P19">
        <v>0.14</v>
      </c>
      <c r="Q19">
        <v>7</v>
      </c>
      <c r="R19">
        <v>0</v>
      </c>
      <c r="S19">
        <v>61.9</v>
      </c>
      <c r="T19">
        <v>28.65</v>
      </c>
    </row>
    <row r="20" spans="1:20" ht="12.75">
      <c r="A20">
        <v>91</v>
      </c>
      <c r="B20">
        <v>52</v>
      </c>
      <c r="C20">
        <v>1</v>
      </c>
      <c r="D20">
        <v>3</v>
      </c>
      <c r="E20">
        <v>46003</v>
      </c>
      <c r="F20" t="s">
        <v>53</v>
      </c>
      <c r="G20" s="88" t="s">
        <v>3</v>
      </c>
      <c r="H20" s="88" t="s">
        <v>3</v>
      </c>
      <c r="I20">
        <f>Source!BZ35</f>
        <v>91</v>
      </c>
      <c r="J20">
        <f>Source!CA35</f>
        <v>52</v>
      </c>
      <c r="K20">
        <v>143</v>
      </c>
      <c r="L20">
        <v>1142.37</v>
      </c>
      <c r="M20">
        <v>990.51</v>
      </c>
      <c r="N20">
        <v>151.86</v>
      </c>
      <c r="O20">
        <v>65.58</v>
      </c>
      <c r="P20">
        <v>0</v>
      </c>
      <c r="Q20">
        <v>127</v>
      </c>
      <c r="R20">
        <v>5</v>
      </c>
      <c r="S20">
        <v>961.04</v>
      </c>
      <c r="T20">
        <v>549.17</v>
      </c>
    </row>
    <row r="21" spans="1:20" ht="12.75">
      <c r="A21">
        <v>91</v>
      </c>
      <c r="B21">
        <v>52</v>
      </c>
      <c r="C21">
        <v>1</v>
      </c>
      <c r="D21">
        <v>0</v>
      </c>
      <c r="E21">
        <v>46003</v>
      </c>
      <c r="F21" t="s">
        <v>53</v>
      </c>
      <c r="G21" s="88" t="s">
        <v>3</v>
      </c>
      <c r="H21" s="88" t="s">
        <v>3</v>
      </c>
      <c r="I21">
        <f>Source!BZ37</f>
        <v>91</v>
      </c>
      <c r="J21">
        <f>Source!CA37</f>
        <v>52</v>
      </c>
      <c r="K21">
        <v>143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>
        <v>89</v>
      </c>
      <c r="B22">
        <v>49</v>
      </c>
      <c r="C22">
        <v>1</v>
      </c>
      <c r="D22">
        <v>1</v>
      </c>
      <c r="E22">
        <v>57001</v>
      </c>
      <c r="F22" t="s">
        <v>27</v>
      </c>
      <c r="G22" s="88" t="s">
        <v>3</v>
      </c>
      <c r="H22" s="88" t="s">
        <v>3</v>
      </c>
      <c r="I22">
        <f>Source!BZ29</f>
        <v>89</v>
      </c>
      <c r="J22">
        <f>Source!CA29</f>
        <v>49</v>
      </c>
      <c r="K22">
        <v>138</v>
      </c>
      <c r="L22">
        <v>140.87</v>
      </c>
      <c r="M22">
        <v>140.87</v>
      </c>
      <c r="N22">
        <v>0</v>
      </c>
      <c r="O22">
        <v>0</v>
      </c>
      <c r="P22">
        <v>0</v>
      </c>
      <c r="Q22">
        <v>18</v>
      </c>
      <c r="R22">
        <v>0</v>
      </c>
      <c r="S22">
        <v>125.37</v>
      </c>
      <c r="T22">
        <v>69.03</v>
      </c>
    </row>
    <row r="23" spans="1:20" ht="12.75">
      <c r="A23">
        <v>89</v>
      </c>
      <c r="B23">
        <v>49</v>
      </c>
      <c r="C23">
        <v>1</v>
      </c>
      <c r="D23">
        <v>0</v>
      </c>
      <c r="E23">
        <v>57001</v>
      </c>
      <c r="F23" t="s">
        <v>27</v>
      </c>
      <c r="G23" s="88" t="s">
        <v>3</v>
      </c>
      <c r="H23" s="88" t="s">
        <v>3</v>
      </c>
      <c r="I23">
        <f>Source!BZ31</f>
        <v>89</v>
      </c>
      <c r="J23">
        <f>Source!CA31</f>
        <v>49</v>
      </c>
      <c r="K23">
        <v>138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>
        <v>89</v>
      </c>
      <c r="B24">
        <v>49</v>
      </c>
      <c r="C24">
        <v>1</v>
      </c>
      <c r="D24">
        <v>4</v>
      </c>
      <c r="E24">
        <v>57001</v>
      </c>
      <c r="F24" t="s">
        <v>27</v>
      </c>
      <c r="G24" s="88" t="s">
        <v>3</v>
      </c>
      <c r="H24" s="88" t="s">
        <v>3</v>
      </c>
      <c r="I24">
        <f>Source!BZ39</f>
        <v>89</v>
      </c>
      <c r="J24">
        <f>Source!CA39</f>
        <v>49</v>
      </c>
      <c r="K24">
        <v>138</v>
      </c>
      <c r="L24">
        <v>10463.71</v>
      </c>
      <c r="M24">
        <v>4960.86</v>
      </c>
      <c r="N24">
        <v>5502.85</v>
      </c>
      <c r="O24">
        <v>127.09</v>
      </c>
      <c r="P24">
        <v>0</v>
      </c>
      <c r="Q24">
        <v>582</v>
      </c>
      <c r="R24">
        <v>9</v>
      </c>
      <c r="S24">
        <v>4528.28</v>
      </c>
      <c r="T24">
        <v>2493.1</v>
      </c>
    </row>
    <row r="25" spans="1:20" ht="12.75">
      <c r="A25">
        <v>89</v>
      </c>
      <c r="B25">
        <v>49</v>
      </c>
      <c r="C25">
        <v>1</v>
      </c>
      <c r="D25">
        <v>0</v>
      </c>
      <c r="E25">
        <v>57001</v>
      </c>
      <c r="F25" t="s">
        <v>27</v>
      </c>
      <c r="G25" s="88" t="s">
        <v>3</v>
      </c>
      <c r="H25" s="88" t="s">
        <v>3</v>
      </c>
      <c r="I25">
        <f>Source!BZ41</f>
        <v>89</v>
      </c>
      <c r="J25">
        <f>Source!CA41</f>
        <v>49</v>
      </c>
      <c r="K25">
        <v>138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>
        <v>89</v>
      </c>
      <c r="B26">
        <v>49</v>
      </c>
      <c r="C26">
        <v>1</v>
      </c>
      <c r="D26">
        <v>5</v>
      </c>
      <c r="E26">
        <v>57001</v>
      </c>
      <c r="F26" t="s">
        <v>27</v>
      </c>
      <c r="G26" s="88" t="s">
        <v>3</v>
      </c>
      <c r="H26" s="88" t="s">
        <v>3</v>
      </c>
      <c r="I26">
        <f>Source!BZ43</f>
        <v>89</v>
      </c>
      <c r="J26">
        <f>Source!CA43</f>
        <v>49</v>
      </c>
      <c r="K26">
        <v>138</v>
      </c>
      <c r="L26">
        <v>-3276.07</v>
      </c>
      <c r="M26">
        <v>-3276.07</v>
      </c>
      <c r="N26">
        <v>0</v>
      </c>
      <c r="O26">
        <v>0</v>
      </c>
      <c r="P26">
        <v>0</v>
      </c>
      <c r="Q26">
        <v>-384</v>
      </c>
      <c r="R26">
        <v>0</v>
      </c>
      <c r="S26">
        <v>-2915.7</v>
      </c>
      <c r="T26">
        <v>-1605.27</v>
      </c>
    </row>
    <row r="27" spans="1:20" ht="12.75">
      <c r="A27">
        <v>89</v>
      </c>
      <c r="B27">
        <v>49</v>
      </c>
      <c r="C27">
        <v>1</v>
      </c>
      <c r="D27">
        <v>0</v>
      </c>
      <c r="E27">
        <v>57001</v>
      </c>
      <c r="F27" t="s">
        <v>27</v>
      </c>
      <c r="G27" s="88" t="s">
        <v>3</v>
      </c>
      <c r="H27" s="88" t="s">
        <v>3</v>
      </c>
      <c r="I27">
        <f>Source!BZ45</f>
        <v>89</v>
      </c>
      <c r="J27">
        <f>Source!CA45</f>
        <v>49</v>
      </c>
      <c r="K27">
        <v>138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>
        <v>90</v>
      </c>
      <c r="B28">
        <v>46</v>
      </c>
      <c r="C28">
        <v>1</v>
      </c>
      <c r="D28">
        <v>10</v>
      </c>
      <c r="E28">
        <v>62001</v>
      </c>
      <c r="F28" t="s">
        <v>126</v>
      </c>
      <c r="G28" s="88" t="s">
        <v>3</v>
      </c>
      <c r="H28" s="88" t="s">
        <v>3</v>
      </c>
      <c r="I28">
        <f>Source!BZ73</f>
        <v>90</v>
      </c>
      <c r="J28">
        <f>Source!CA73</f>
        <v>46</v>
      </c>
      <c r="K28">
        <v>136</v>
      </c>
      <c r="L28">
        <v>166.44</v>
      </c>
      <c r="M28">
        <v>166.44</v>
      </c>
      <c r="N28">
        <v>0</v>
      </c>
      <c r="O28">
        <v>0</v>
      </c>
      <c r="P28">
        <v>0</v>
      </c>
      <c r="Q28">
        <v>22</v>
      </c>
      <c r="R28">
        <v>0</v>
      </c>
      <c r="S28">
        <v>149.8</v>
      </c>
      <c r="T28">
        <v>76.56</v>
      </c>
    </row>
    <row r="29" spans="1:20" ht="12.75">
      <c r="A29">
        <v>92</v>
      </c>
      <c r="B29">
        <v>44</v>
      </c>
      <c r="C29">
        <v>1</v>
      </c>
      <c r="D29">
        <v>14</v>
      </c>
      <c r="E29">
        <v>69001</v>
      </c>
      <c r="F29" t="s">
        <v>212</v>
      </c>
      <c r="G29" s="88" t="s">
        <v>3</v>
      </c>
      <c r="H29" s="88" t="s">
        <v>3</v>
      </c>
      <c r="I29">
        <f>Source!BZ120</f>
        <v>92</v>
      </c>
      <c r="J29">
        <f>Source!CA120</f>
        <v>44</v>
      </c>
      <c r="K29">
        <v>136</v>
      </c>
      <c r="L29">
        <v>393.5</v>
      </c>
      <c r="M29">
        <v>393.5</v>
      </c>
      <c r="N29">
        <v>0</v>
      </c>
      <c r="O29">
        <v>0</v>
      </c>
      <c r="P29">
        <v>0</v>
      </c>
      <c r="Q29">
        <v>54</v>
      </c>
      <c r="R29">
        <v>0</v>
      </c>
      <c r="S29">
        <v>362.02</v>
      </c>
      <c r="T29">
        <v>173.14</v>
      </c>
    </row>
    <row r="30" spans="1:20" ht="12.75">
      <c r="A30">
        <v>92</v>
      </c>
      <c r="B30">
        <v>44</v>
      </c>
      <c r="C30">
        <v>1</v>
      </c>
      <c r="D30">
        <v>0</v>
      </c>
      <c r="E30">
        <v>69001</v>
      </c>
      <c r="F30" t="s">
        <v>212</v>
      </c>
      <c r="G30" s="88" t="s">
        <v>3</v>
      </c>
      <c r="H30" s="88" t="s">
        <v>3</v>
      </c>
      <c r="I30">
        <f>Source!BZ122</f>
        <v>92</v>
      </c>
      <c r="J30">
        <f>Source!CA122</f>
        <v>44</v>
      </c>
      <c r="K30">
        <v>136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>
        <v>92</v>
      </c>
      <c r="B31">
        <v>44</v>
      </c>
      <c r="C31">
        <v>1</v>
      </c>
      <c r="D31">
        <v>15</v>
      </c>
      <c r="E31">
        <v>69001</v>
      </c>
      <c r="F31" t="s">
        <v>212</v>
      </c>
      <c r="G31" s="88" t="s">
        <v>3</v>
      </c>
      <c r="H31" s="88" t="s">
        <v>3</v>
      </c>
      <c r="I31">
        <f>Source!BZ124</f>
        <v>92</v>
      </c>
      <c r="J31">
        <f>Source!CA124</f>
        <v>44</v>
      </c>
      <c r="K31">
        <v>136</v>
      </c>
      <c r="L31">
        <v>687.4</v>
      </c>
      <c r="M31">
        <v>213.93</v>
      </c>
      <c r="N31">
        <v>0</v>
      </c>
      <c r="O31">
        <v>0</v>
      </c>
      <c r="P31">
        <v>473.47</v>
      </c>
      <c r="Q31">
        <v>30</v>
      </c>
      <c r="R31">
        <v>0</v>
      </c>
      <c r="S31">
        <v>196.82</v>
      </c>
      <c r="T31">
        <v>94.13</v>
      </c>
    </row>
    <row r="32" spans="1:20" ht="12.75">
      <c r="A32">
        <v>0</v>
      </c>
      <c r="B32">
        <v>0</v>
      </c>
      <c r="C32">
        <v>1</v>
      </c>
      <c r="D32">
        <v>16</v>
      </c>
      <c r="E32">
        <v>700005</v>
      </c>
      <c r="F32" t="s">
        <v>228</v>
      </c>
      <c r="G32" s="88" t="s">
        <v>3</v>
      </c>
      <c r="H32" s="88" t="s">
        <v>3</v>
      </c>
      <c r="I32">
        <f>Source!BZ126</f>
        <v>0</v>
      </c>
      <c r="J32">
        <f>Source!CA126</f>
        <v>0</v>
      </c>
      <c r="K32">
        <v>0</v>
      </c>
      <c r="L32">
        <v>683.35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2" t="s">
        <v>411</v>
      </c>
    </row>
    <row r="4" spans="3:4" ht="15">
      <c r="C4" s="62"/>
      <c r="D4" s="62"/>
    </row>
    <row r="5" spans="3:4" ht="15">
      <c r="C5" s="137" t="s">
        <v>515</v>
      </c>
      <c r="D5" s="137"/>
    </row>
    <row r="6" spans="3:4" ht="15">
      <c r="C6" s="77"/>
      <c r="D6" s="77"/>
    </row>
    <row r="7" spans="3:4" ht="15">
      <c r="C7" s="137" t="s">
        <v>515</v>
      </c>
      <c r="D7" s="137"/>
    </row>
    <row r="8" spans="3:4" ht="15">
      <c r="C8" s="77"/>
      <c r="D8" s="77"/>
    </row>
    <row r="9" spans="3:4" ht="15">
      <c r="C9" s="62" t="s">
        <v>516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40" t="str">
        <f>CONCATENATE("Дефектный акт ",IF(Source!AN15&lt;&gt;"",Source!AN15," "))</f>
        <v>Дефектный акт  </v>
      </c>
      <c r="B11" s="140"/>
      <c r="C11" s="140"/>
      <c r="D11" s="140"/>
      <c r="E11" s="14"/>
    </row>
    <row r="12" spans="1:30" ht="30">
      <c r="A12" s="141" t="str">
        <f>CONCATENATE("На капитальный ремонт ",Source!F12," ",Source!G12)</f>
        <v>На капитальный ремонт  Выполнение ремонтных работ по облицовке пола лифтовых холлов 5-6 этажа строения № 1 ИПУ РАН</v>
      </c>
      <c r="B12" s="141"/>
      <c r="C12" s="141"/>
      <c r="D12" s="141"/>
      <c r="E12" s="14"/>
      <c r="AD12" s="90" t="str">
        <f>CONCATENATE("На капитальный ремонт ",Source!F12," ",Source!G12)</f>
        <v>На капитальный ремонт  Выполнение ремонтных работ по облицовке пола лифтовых холлов 5-6 этажа строения № 1 ИПУ РАН</v>
      </c>
    </row>
    <row r="13" spans="1:5" ht="14.25">
      <c r="A13" s="14"/>
      <c r="B13" s="14"/>
      <c r="C13" s="14"/>
      <c r="D13" s="14"/>
      <c r="E13" s="14"/>
    </row>
    <row r="14" spans="1:5" ht="15">
      <c r="A14" s="14"/>
      <c r="B14" s="89" t="s">
        <v>523</v>
      </c>
      <c r="C14" s="14"/>
      <c r="D14" s="14"/>
      <c r="E14" s="14"/>
    </row>
    <row r="15" spans="1:5" ht="15">
      <c r="A15" s="14"/>
      <c r="B15" s="89" t="s">
        <v>524</v>
      </c>
      <c r="C15" s="14"/>
      <c r="D15" s="14"/>
      <c r="E15" s="14"/>
    </row>
    <row r="16" spans="1:5" ht="15">
      <c r="A16" s="14"/>
      <c r="B16" s="89" t="s">
        <v>525</v>
      </c>
      <c r="C16" s="14"/>
      <c r="D16" s="14"/>
      <c r="E16" s="14"/>
    </row>
    <row r="17" spans="1:5" ht="28.5">
      <c r="A17" s="79" t="s">
        <v>435</v>
      </c>
      <c r="B17" s="79" t="s">
        <v>437</v>
      </c>
      <c r="C17" s="79" t="s">
        <v>438</v>
      </c>
      <c r="D17" s="79" t="s">
        <v>439</v>
      </c>
      <c r="E17" s="80" t="s">
        <v>520</v>
      </c>
    </row>
    <row r="18" spans="1:5" ht="14.25">
      <c r="A18" s="91">
        <v>1</v>
      </c>
      <c r="B18" s="91">
        <v>2</v>
      </c>
      <c r="C18" s="91">
        <v>3</v>
      </c>
      <c r="D18" s="91">
        <v>4</v>
      </c>
      <c r="E18" s="92">
        <v>5</v>
      </c>
    </row>
    <row r="19" spans="1:5" ht="16.5">
      <c r="A19" s="136" t="str">
        <f>CONCATENATE("Локальная смета: ",Source!G20)</f>
        <v>Локальная смета: </v>
      </c>
      <c r="B19" s="136"/>
      <c r="C19" s="136"/>
      <c r="D19" s="136"/>
      <c r="E19" s="136"/>
    </row>
    <row r="20" spans="1:5" ht="16.5">
      <c r="A20" s="136" t="str">
        <f>CONCATENATE("Раздел: ",Source!G24)</f>
        <v>Раздел: Лифтовые холлы  5, 6 эт.</v>
      </c>
      <c r="B20" s="136"/>
      <c r="C20" s="136"/>
      <c r="D20" s="136"/>
      <c r="E20" s="136"/>
    </row>
    <row r="21" spans="1:5" ht="14.25">
      <c r="A21" s="97">
        <v>1</v>
      </c>
      <c r="B21" s="98" t="str">
        <f>Source!G28</f>
        <v>Разборка плинтусов: деревянных и из пластмассовых материалов</v>
      </c>
      <c r="C21" s="99" t="str">
        <f>Source!H28</f>
        <v>100 м</v>
      </c>
      <c r="D21" s="100">
        <f>Source!I28</f>
        <v>4.79</v>
      </c>
      <c r="E21" s="98"/>
    </row>
    <row r="22" spans="1:5" ht="14.25">
      <c r="A22" s="97">
        <v>1.1</v>
      </c>
      <c r="B22" s="98" t="str">
        <f>Source!G30</f>
        <v>Строительный мусор</v>
      </c>
      <c r="C22" s="99" t="str">
        <f>Source!H30</f>
        <v>т</v>
      </c>
      <c r="D22" s="100">
        <f>Source!I30</f>
        <v>0.5269</v>
      </c>
      <c r="E22" s="98"/>
    </row>
    <row r="23" spans="1:5" ht="28.5">
      <c r="A23" s="97">
        <v>2</v>
      </c>
      <c r="B23" s="98" t="str">
        <f>Source!G32</f>
        <v>Демонтаж полимерных наливных полов из полиуретана: кварценаполненных с толщиной покрытия 4 мм (Применитиельно)</v>
      </c>
      <c r="C23" s="99" t="str">
        <f>Source!H32</f>
        <v>100 м2</v>
      </c>
      <c r="D23" s="100">
        <f>Source!I32</f>
        <v>2.48</v>
      </c>
      <c r="E23" s="98"/>
    </row>
    <row r="24" spans="1:5" ht="14.25">
      <c r="A24" s="97">
        <v>3</v>
      </c>
      <c r="B24" s="98" t="str">
        <f>Source!G34</f>
        <v>Разборка покрытий полов: паркетных</v>
      </c>
      <c r="C24" s="99" t="str">
        <f>Source!H34</f>
        <v>100 м2</v>
      </c>
      <c r="D24" s="100">
        <f>Source!I34</f>
        <v>2.76</v>
      </c>
      <c r="E24" s="98"/>
    </row>
    <row r="25" spans="1:5" ht="14.25">
      <c r="A25" s="97">
        <v>3.1</v>
      </c>
      <c r="B25" s="98" t="str">
        <f>Source!G36</f>
        <v>Строительный мусор</v>
      </c>
      <c r="C25" s="99" t="str">
        <f>Source!H36</f>
        <v>т</v>
      </c>
      <c r="D25" s="100">
        <f>Source!I36</f>
        <v>7.728</v>
      </c>
      <c r="E25" s="98"/>
    </row>
    <row r="26" spans="1:5" ht="14.25">
      <c r="A26" s="97">
        <v>4</v>
      </c>
      <c r="B26" s="98" t="str">
        <f>Source!G38</f>
        <v>Разборка покрытий полов: цементных толщиной 150 мм</v>
      </c>
      <c r="C26" s="99" t="str">
        <f>Source!H38</f>
        <v>100 м2</v>
      </c>
      <c r="D26" s="100">
        <f>Source!I38</f>
        <v>5.23</v>
      </c>
      <c r="E26" s="98"/>
    </row>
    <row r="27" spans="1:5" ht="14.25">
      <c r="A27" s="97">
        <v>4.1</v>
      </c>
      <c r="B27" s="98" t="str">
        <f>Source!G40</f>
        <v>Строительный мусор</v>
      </c>
      <c r="C27" s="99" t="str">
        <f>Source!H40</f>
        <v>т</v>
      </c>
      <c r="D27" s="100">
        <f>Source!I40</f>
        <v>172.59</v>
      </c>
      <c r="E27" s="98"/>
    </row>
    <row r="28" spans="1:5" ht="28.5">
      <c r="A28" s="97">
        <v>5</v>
      </c>
      <c r="B28" s="98" t="str">
        <f>Source!G42</f>
        <v>Добавлять или исключать на каждые 5 мм изменения толщины покрытия к расценке 57-2-4 (исключить 135 мм до 15 мм, К=27)</v>
      </c>
      <c r="C28" s="99" t="str">
        <f>Source!H42</f>
        <v>100 м2</v>
      </c>
      <c r="D28" s="100">
        <f>Source!I42</f>
        <v>5.23</v>
      </c>
      <c r="E28" s="98"/>
    </row>
    <row r="29" spans="1:5" ht="14.25">
      <c r="A29" s="97">
        <v>5.1</v>
      </c>
      <c r="B29" s="98" t="str">
        <f>Source!G44</f>
        <v>Строительный мусор</v>
      </c>
      <c r="C29" s="99" t="str">
        <f>Source!H44</f>
        <v>т</v>
      </c>
      <c r="D29" s="100">
        <f>Source!I44</f>
        <v>-155.331</v>
      </c>
      <c r="E29" s="98"/>
    </row>
    <row r="30" spans="1:5" ht="28.5">
      <c r="A30" s="97">
        <v>6</v>
      </c>
      <c r="B30" s="98" t="str">
        <f>Source!G46</f>
        <v>Устройство стяжек: из самовыравнивающейся смеси на цементной основе, толщиной 3 мм</v>
      </c>
      <c r="C30" s="99" t="str">
        <f>Source!H46</f>
        <v>100 м2</v>
      </c>
      <c r="D30" s="100">
        <f>Source!I46</f>
        <v>5.23</v>
      </c>
      <c r="E30" s="98"/>
    </row>
    <row r="31" spans="1:5" ht="14.25">
      <c r="A31" s="97">
        <v>6.1</v>
      </c>
      <c r="B31" s="98" t="str">
        <f>Source!G48</f>
        <v>Смесь самовыравнивающая быстротвердеющая для полов "БИРСС 34Р"</v>
      </c>
      <c r="C31" s="99" t="str">
        <f>Source!H48</f>
        <v>т</v>
      </c>
      <c r="D31" s="100">
        <f>Source!I48</f>
        <v>2.358453</v>
      </c>
      <c r="E31" s="98"/>
    </row>
    <row r="32" spans="1:5" ht="14.25">
      <c r="A32" s="97">
        <v>6.2</v>
      </c>
      <c r="B32" s="98" t="str">
        <f>Source!G50</f>
        <v>Клей ПВА</v>
      </c>
      <c r="C32" s="99" t="str">
        <f>Source!H50</f>
        <v>кг</v>
      </c>
      <c r="D32" s="100">
        <f>Source!I50</f>
        <v>52.209981</v>
      </c>
      <c r="E32" s="98"/>
    </row>
    <row r="33" spans="1:5" ht="28.5">
      <c r="A33" s="97">
        <v>6.3</v>
      </c>
      <c r="B33" s="98" t="str">
        <f>Source!G52</f>
        <v>Грунтовка укрепляющая, глубокого проникновения, быстросохнущая, паропроницаемая</v>
      </c>
      <c r="C33" s="99" t="str">
        <f>Source!H52</f>
        <v>кг</v>
      </c>
      <c r="D33" s="100">
        <f>Source!I52</f>
        <v>104.6</v>
      </c>
      <c r="E33" s="98"/>
    </row>
    <row r="34" spans="1:5" ht="28.5">
      <c r="A34" s="97">
        <v>7</v>
      </c>
      <c r="B34" s="98" t="str">
        <f>Source!G54</f>
        <v>Устройство стяжек: на каждый последующий слой толщиной 1 мм добавлять к расценке 11-01-011-09 (добавлять до 10 мм, К=7)</v>
      </c>
      <c r="C34" s="99" t="str">
        <f>Source!H54</f>
        <v>100 м2</v>
      </c>
      <c r="D34" s="100">
        <f>Source!I54</f>
        <v>5.23</v>
      </c>
      <c r="E34" s="98"/>
    </row>
    <row r="35" spans="1:5" ht="14.25">
      <c r="A35" s="97">
        <v>7.1</v>
      </c>
      <c r="B35" s="98" t="str">
        <f>Source!G56</f>
        <v>Смесь самовыравнивающая быстротвердеющая для полов "БИРСС 34Р"</v>
      </c>
      <c r="C35" s="99" t="str">
        <f>Source!H56</f>
        <v>т</v>
      </c>
      <c r="D35" s="100">
        <f>Source!I56</f>
        <v>5.491050000000001</v>
      </c>
      <c r="E35" s="98"/>
    </row>
    <row r="36" spans="1:5" ht="28.5">
      <c r="A36" s="97">
        <v>8</v>
      </c>
      <c r="B36" s="98" t="str">
        <f>Source!G58</f>
        <v>Устройство покрытий из плит керамогранитных размером: 45х45 см (Применительно)</v>
      </c>
      <c r="C36" s="99" t="str">
        <f>Source!H58</f>
        <v>100 м2</v>
      </c>
      <c r="D36" s="100">
        <f>Source!I58</f>
        <v>5.23</v>
      </c>
      <c r="E36" s="98"/>
    </row>
    <row r="37" spans="1:5" ht="14.25">
      <c r="A37" s="97">
        <v>8.1</v>
      </c>
      <c r="B37" s="98" t="str">
        <f>Source!G60</f>
        <v>Плиты керамогранитные 400х400 мм</v>
      </c>
      <c r="C37" s="99" t="str">
        <f>Source!H60</f>
        <v>м2</v>
      </c>
      <c r="D37" s="100">
        <f>Source!I60</f>
        <v>533.46</v>
      </c>
      <c r="E37" s="98"/>
    </row>
    <row r="38" spans="1:5" ht="28.5">
      <c r="A38" s="97">
        <v>8.2</v>
      </c>
      <c r="B38" s="98" t="str">
        <f>Source!G62</f>
        <v>Грунтовка укрепляющая, глубокого проникновения, быстросохнущая, паропроницаемая</v>
      </c>
      <c r="C38" s="99" t="str">
        <f>Source!H62</f>
        <v>кг</v>
      </c>
      <c r="D38" s="100">
        <f>Source!I62</f>
        <v>111.891394</v>
      </c>
      <c r="E38" s="98"/>
    </row>
    <row r="39" spans="1:5" ht="14.25">
      <c r="A39" s="97">
        <v>8.3</v>
      </c>
      <c r="B39" s="98" t="str">
        <f>Source!G64</f>
        <v>Рейки деревянные</v>
      </c>
      <c r="C39" s="99" t="str">
        <f>Source!H64</f>
        <v>м3</v>
      </c>
      <c r="D39" s="100">
        <f>Source!I64</f>
        <v>0.0523</v>
      </c>
      <c r="E39" s="98"/>
    </row>
    <row r="40" spans="1:5" ht="14.25">
      <c r="A40" s="97">
        <v>8.4</v>
      </c>
      <c r="B40" s="98" t="str">
        <f>Source!G66</f>
        <v>Клей для облицовочных работ (сухая смесь)</v>
      </c>
      <c r="C40" s="99" t="str">
        <f>Source!H66</f>
        <v>т</v>
      </c>
      <c r="D40" s="100">
        <f>Source!I66</f>
        <v>6.276000000000001</v>
      </c>
      <c r="E40" s="98"/>
    </row>
    <row r="41" spans="1:5" ht="14.25">
      <c r="A41" s="97">
        <v>9</v>
      </c>
      <c r="B41" s="98" t="str">
        <f>Source!G68</f>
        <v>Устройство плинтусов: из плиток керамических</v>
      </c>
      <c r="C41" s="99" t="str">
        <f>Source!H68</f>
        <v>100 м</v>
      </c>
      <c r="D41" s="100">
        <f>Source!I68</f>
        <v>4.79</v>
      </c>
      <c r="E41" s="98"/>
    </row>
    <row r="42" spans="1:5" ht="14.25">
      <c r="A42" s="97">
        <v>9.1</v>
      </c>
      <c r="B42" s="98" t="str">
        <f>Source!G70</f>
        <v>Плитки керамические плинтусные</v>
      </c>
      <c r="C42" s="99" t="str">
        <f>Source!H70</f>
        <v>м</v>
      </c>
      <c r="D42" s="100">
        <f>Source!I70</f>
        <v>483.79</v>
      </c>
      <c r="E42" s="98"/>
    </row>
    <row r="43" spans="1:5" ht="14.25">
      <c r="A43" s="97">
        <v>10</v>
      </c>
      <c r="B43" s="98" t="str">
        <f>Source!G72</f>
        <v>Расчистка поверхностей шпателем, щетками от старых покрасок</v>
      </c>
      <c r="C43" s="99" t="str">
        <f>Source!H72</f>
        <v>м2</v>
      </c>
      <c r="D43" s="100">
        <f>Source!I72</f>
        <v>38</v>
      </c>
      <c r="E43" s="98"/>
    </row>
    <row r="44" spans="1:5" ht="28.5">
      <c r="A44" s="97">
        <v>11</v>
      </c>
      <c r="B44" s="98" t="str">
        <f>Source!G74</f>
        <v>Покрытие поверхностей грунтовкой глубокого проникновения: за 2 раза стен</v>
      </c>
      <c r="C44" s="99" t="str">
        <f>Source!H74</f>
        <v>100 м2</v>
      </c>
      <c r="D44" s="100">
        <f>Source!I74</f>
        <v>0.38</v>
      </c>
      <c r="E44" s="98"/>
    </row>
    <row r="45" spans="1:5" ht="28.5">
      <c r="A45" s="97">
        <v>11.1</v>
      </c>
      <c r="B45" s="98" t="str">
        <f>Source!G76</f>
        <v>Грунтовка укрепляющая, глубокого проникновения, быстросохнущая, паропроницаемая</v>
      </c>
      <c r="C45" s="99" t="str">
        <f>Source!H76</f>
        <v>кг</v>
      </c>
      <c r="D45" s="100">
        <f>Source!I76</f>
        <v>8.129776</v>
      </c>
      <c r="E45" s="98"/>
    </row>
    <row r="46" spans="1:5" ht="28.5">
      <c r="A46" s="97">
        <v>12</v>
      </c>
      <c r="B46" s="98" t="str">
        <f>Source!G78</f>
        <v>Установка торцевого алюминиевого профиля по периметру проема (Применительно)</v>
      </c>
      <c r="C46" s="99" t="str">
        <f>Source!H78</f>
        <v>100 м</v>
      </c>
      <c r="D46" s="100">
        <f>Source!I78</f>
        <v>0.19</v>
      </c>
      <c r="E46" s="98"/>
    </row>
    <row r="47" spans="1:5" ht="14.25">
      <c r="A47" s="97">
        <v>12.1</v>
      </c>
      <c r="B47" s="98" t="str">
        <f>Source!G80</f>
        <v>Профиль угловой алюминиевый перфорированный: PL 19х19 мм</v>
      </c>
      <c r="C47" s="99" t="str">
        <f>Source!H80</f>
        <v>10 м</v>
      </c>
      <c r="D47" s="100">
        <f>Source!I80</f>
        <v>1.9129250000000002</v>
      </c>
      <c r="E47" s="98"/>
    </row>
    <row r="48" spans="1:5" ht="16.5">
      <c r="A48" s="136" t="str">
        <f>CONCATENATE("Раздел: ",Source!G113)</f>
        <v>Раздел: Разные работы</v>
      </c>
      <c r="B48" s="136"/>
      <c r="C48" s="136"/>
      <c r="D48" s="136"/>
      <c r="E48" s="136"/>
    </row>
    <row r="49" spans="1:5" ht="14.25">
      <c r="A49" s="97">
        <v>13</v>
      </c>
      <c r="B49" s="98" t="str">
        <f>Source!G117</f>
        <v>Укрытие полиэтиленовой пленкой (Применительно)</v>
      </c>
      <c r="C49" s="99" t="str">
        <f>Source!H117</f>
        <v>100 м2</v>
      </c>
      <c r="D49" s="100">
        <f>Source!I117</f>
        <v>3.3</v>
      </c>
      <c r="E49" s="98"/>
    </row>
    <row r="50" spans="1:5" ht="14.25">
      <c r="A50" s="97">
        <v>14</v>
      </c>
      <c r="B50" s="98" t="str">
        <f>Source!G119</f>
        <v>Очистка помещений от строительного мусора</v>
      </c>
      <c r="C50" s="99" t="str">
        <f>Source!H119</f>
        <v>100 т</v>
      </c>
      <c r="D50" s="100">
        <f>Source!I119</f>
        <v>0.2887</v>
      </c>
      <c r="E50" s="98"/>
    </row>
    <row r="51" spans="1:5" ht="14.25">
      <c r="A51" s="97">
        <v>14.1</v>
      </c>
      <c r="B51" s="98" t="str">
        <f>Source!G121</f>
        <v>Строительный мусор</v>
      </c>
      <c r="C51" s="99" t="str">
        <f>Source!H121</f>
        <v>т</v>
      </c>
      <c r="D51" s="100">
        <f>Source!I121</f>
        <v>28.87</v>
      </c>
      <c r="E51" s="98"/>
    </row>
    <row r="52" spans="1:5" ht="14.25">
      <c r="A52" s="97">
        <v>15</v>
      </c>
      <c r="B52" s="98" t="str">
        <f>Source!G123</f>
        <v>Затаривание строительного мусора в мешки</v>
      </c>
      <c r="C52" s="99" t="str">
        <f>Source!H123</f>
        <v>т</v>
      </c>
      <c r="D52" s="100">
        <f>Source!I123</f>
        <v>28.87</v>
      </c>
      <c r="E52" s="98"/>
    </row>
    <row r="53" spans="1:5" ht="28.5">
      <c r="A53" s="93">
        <v>16</v>
      </c>
      <c r="B53" s="94" t="str">
        <f>Source!G125</f>
        <v>Перевозка грузов I класса автомобилями бортовыми грузоподъемностью до 15 т на расстояние: до 50 км</v>
      </c>
      <c r="C53" s="95" t="str">
        <f>Source!H125</f>
        <v>1 Т ГРУЗА</v>
      </c>
      <c r="D53" s="96">
        <f>Source!I125</f>
        <v>28.87</v>
      </c>
      <c r="E53" s="94"/>
    </row>
    <row r="56" spans="1:5" ht="15">
      <c r="A56" s="54" t="s">
        <v>526</v>
      </c>
      <c r="B56" s="54"/>
      <c r="C56" s="54" t="s">
        <v>527</v>
      </c>
      <c r="D56" s="54"/>
      <c r="E56" s="54"/>
    </row>
  </sheetData>
  <sheetProtection/>
  <mergeCells count="7">
    <mergeCell ref="A48:E48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262"/>
  <sheetViews>
    <sheetView zoomScalePageLayoutView="0" workbookViewId="0" topLeftCell="A1">
      <selection activeCell="A258" sqref="A258:AN258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256</v>
      </c>
      <c r="C12" s="1">
        <v>0</v>
      </c>
      <c r="D12" s="1">
        <f>ROW(A192)</f>
        <v>192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408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B192</f>
        <v>256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Выполнение ремонтных работ по облицовке пола лифтовых холлов 5-6 этажа строения № 1 ИПУ РАН</v>
      </c>
      <c r="H18" s="3"/>
      <c r="I18" s="3"/>
      <c r="J18" s="3"/>
      <c r="K18" s="3"/>
      <c r="L18" s="3"/>
      <c r="M18" s="3"/>
      <c r="N18" s="3"/>
      <c r="O18" s="3">
        <f aca="true" t="shared" si="1" ref="O18:AT18">O192</f>
        <v>61894.85</v>
      </c>
      <c r="P18" s="3">
        <f t="shared" si="1"/>
        <v>31278.68</v>
      </c>
      <c r="Q18" s="3">
        <f t="shared" si="1"/>
        <v>6107.77</v>
      </c>
      <c r="R18" s="3">
        <f t="shared" si="1"/>
        <v>357.44</v>
      </c>
      <c r="S18" s="3">
        <f t="shared" si="1"/>
        <v>24508.4</v>
      </c>
      <c r="T18" s="3">
        <f t="shared" si="1"/>
        <v>0</v>
      </c>
      <c r="U18" s="3">
        <f t="shared" si="1"/>
        <v>2839.833835</v>
      </c>
      <c r="V18" s="3">
        <f t="shared" si="1"/>
        <v>30.044020000000003</v>
      </c>
      <c r="W18" s="3">
        <f t="shared" si="1"/>
        <v>0</v>
      </c>
      <c r="X18" s="3">
        <f t="shared" si="1"/>
        <v>24762.17</v>
      </c>
      <c r="Y18" s="3">
        <f t="shared" si="1"/>
        <v>13584.85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100925.22</v>
      </c>
      <c r="AS18" s="3">
        <f t="shared" si="1"/>
        <v>100925.22</v>
      </c>
      <c r="AT18" s="3">
        <f t="shared" si="1"/>
        <v>0</v>
      </c>
      <c r="AU18" s="3">
        <f aca="true" t="shared" si="2" ref="AU18:BZ18">AU192</f>
        <v>0</v>
      </c>
      <c r="AV18" s="3">
        <f t="shared" si="2"/>
        <v>31278.68</v>
      </c>
      <c r="AW18" s="3">
        <f t="shared" si="2"/>
        <v>31278.68</v>
      </c>
      <c r="AX18" s="3">
        <f t="shared" si="2"/>
        <v>0</v>
      </c>
      <c r="AY18" s="3">
        <f t="shared" si="2"/>
        <v>31278.68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683.35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CA192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DG192</f>
        <v>61894.85</v>
      </c>
      <c r="DH18" s="4">
        <f t="shared" si="4"/>
        <v>31278.68</v>
      </c>
      <c r="DI18" s="4">
        <f t="shared" si="4"/>
        <v>6107.77</v>
      </c>
      <c r="DJ18" s="4">
        <f t="shared" si="4"/>
        <v>357.44</v>
      </c>
      <c r="DK18" s="4">
        <f t="shared" si="4"/>
        <v>24508.4</v>
      </c>
      <c r="DL18" s="4">
        <f t="shared" si="4"/>
        <v>0</v>
      </c>
      <c r="DM18" s="4">
        <f t="shared" si="4"/>
        <v>2839.833835</v>
      </c>
      <c r="DN18" s="4">
        <f t="shared" si="4"/>
        <v>30.044020000000003</v>
      </c>
      <c r="DO18" s="4">
        <f t="shared" si="4"/>
        <v>0</v>
      </c>
      <c r="DP18" s="4">
        <f t="shared" si="4"/>
        <v>24762.17</v>
      </c>
      <c r="DQ18" s="4">
        <f t="shared" si="4"/>
        <v>13584.85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100925.22</v>
      </c>
      <c r="EK18" s="4">
        <f t="shared" si="4"/>
        <v>100925.22</v>
      </c>
      <c r="EL18" s="4">
        <f t="shared" si="4"/>
        <v>0</v>
      </c>
      <c r="EM18" s="4">
        <f aca="true" t="shared" si="5" ref="EM18:FR18">EM192</f>
        <v>0</v>
      </c>
      <c r="EN18" s="4">
        <f t="shared" si="5"/>
        <v>31278.68</v>
      </c>
      <c r="EO18" s="4">
        <f t="shared" si="5"/>
        <v>31278.68</v>
      </c>
      <c r="EP18" s="4">
        <f t="shared" si="5"/>
        <v>0</v>
      </c>
      <c r="EQ18" s="4">
        <f t="shared" si="5"/>
        <v>31278.68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683.35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FS192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ROW(A158)</f>
        <v>158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55454920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B158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>
        <f t="shared" si="7"/>
      </c>
      <c r="H22" s="3"/>
      <c r="I22" s="3"/>
      <c r="J22" s="3"/>
      <c r="K22" s="3"/>
      <c r="L22" s="3"/>
      <c r="M22" s="3"/>
      <c r="N22" s="3"/>
      <c r="O22" s="3">
        <f aca="true" t="shared" si="8" ref="O22:AT22">O158</f>
        <v>61894.85</v>
      </c>
      <c r="P22" s="3">
        <f t="shared" si="8"/>
        <v>31278.68</v>
      </c>
      <c r="Q22" s="3">
        <f t="shared" si="8"/>
        <v>6107.77</v>
      </c>
      <c r="R22" s="3">
        <f t="shared" si="8"/>
        <v>357.44</v>
      </c>
      <c r="S22" s="3">
        <f t="shared" si="8"/>
        <v>24508.4</v>
      </c>
      <c r="T22" s="3">
        <f t="shared" si="8"/>
        <v>0</v>
      </c>
      <c r="U22" s="3">
        <f t="shared" si="8"/>
        <v>2839.833835</v>
      </c>
      <c r="V22" s="3">
        <f t="shared" si="8"/>
        <v>30.044020000000003</v>
      </c>
      <c r="W22" s="3">
        <f t="shared" si="8"/>
        <v>0</v>
      </c>
      <c r="X22" s="3">
        <f t="shared" si="8"/>
        <v>24762.17</v>
      </c>
      <c r="Y22" s="3">
        <f t="shared" si="8"/>
        <v>13584.85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100925.22</v>
      </c>
      <c r="AS22" s="3">
        <f t="shared" si="8"/>
        <v>100925.22</v>
      </c>
      <c r="AT22" s="3">
        <f t="shared" si="8"/>
        <v>0</v>
      </c>
      <c r="AU22" s="3">
        <f aca="true" t="shared" si="9" ref="AU22:BZ22">AU158</f>
        <v>0</v>
      </c>
      <c r="AV22" s="3">
        <f t="shared" si="9"/>
        <v>31278.68</v>
      </c>
      <c r="AW22" s="3">
        <f t="shared" si="9"/>
        <v>31278.68</v>
      </c>
      <c r="AX22" s="3">
        <f t="shared" si="9"/>
        <v>0</v>
      </c>
      <c r="AY22" s="3">
        <f t="shared" si="9"/>
        <v>31278.68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683.35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CA158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DG158</f>
        <v>61894.85</v>
      </c>
      <c r="DH22" s="4">
        <f t="shared" si="11"/>
        <v>31278.68</v>
      </c>
      <c r="DI22" s="4">
        <f t="shared" si="11"/>
        <v>6107.77</v>
      </c>
      <c r="DJ22" s="4">
        <f t="shared" si="11"/>
        <v>357.44</v>
      </c>
      <c r="DK22" s="4">
        <f t="shared" si="11"/>
        <v>24508.4</v>
      </c>
      <c r="DL22" s="4">
        <f t="shared" si="11"/>
        <v>0</v>
      </c>
      <c r="DM22" s="4">
        <f t="shared" si="11"/>
        <v>2839.833835</v>
      </c>
      <c r="DN22" s="4">
        <f t="shared" si="11"/>
        <v>30.044020000000003</v>
      </c>
      <c r="DO22" s="4">
        <f t="shared" si="11"/>
        <v>0</v>
      </c>
      <c r="DP22" s="4">
        <f t="shared" si="11"/>
        <v>24762.17</v>
      </c>
      <c r="DQ22" s="4">
        <f t="shared" si="11"/>
        <v>13584.85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100925.22</v>
      </c>
      <c r="EK22" s="4">
        <f t="shared" si="11"/>
        <v>100925.22</v>
      </c>
      <c r="EL22" s="4">
        <f t="shared" si="11"/>
        <v>0</v>
      </c>
      <c r="EM22" s="4">
        <f aca="true" t="shared" si="12" ref="EM22:FR22">EM158</f>
        <v>0</v>
      </c>
      <c r="EN22" s="4">
        <f t="shared" si="12"/>
        <v>31278.68</v>
      </c>
      <c r="EO22" s="4">
        <f t="shared" si="12"/>
        <v>31278.68</v>
      </c>
      <c r="EP22" s="4">
        <f t="shared" si="12"/>
        <v>0</v>
      </c>
      <c r="EQ22" s="4">
        <f t="shared" si="12"/>
        <v>31278.68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683.35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FS158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ROW(A83)</f>
        <v>83</v>
      </c>
      <c r="E24" s="1"/>
      <c r="F24" s="1" t="s">
        <v>19</v>
      </c>
      <c r="G24" s="1" t="s">
        <v>20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55454920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B83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Лифтовые холлы  5, 6 эт.</v>
      </c>
      <c r="H26" s="3"/>
      <c r="I26" s="3"/>
      <c r="J26" s="3"/>
      <c r="K26" s="3"/>
      <c r="L26" s="3"/>
      <c r="M26" s="3"/>
      <c r="N26" s="3"/>
      <c r="O26" s="3">
        <f aca="true" t="shared" si="15" ref="O26:AT26">O83</f>
        <v>55773.07</v>
      </c>
      <c r="P26" s="3">
        <f t="shared" si="15"/>
        <v>25881.41</v>
      </c>
      <c r="Q26" s="3">
        <f t="shared" si="15"/>
        <v>6102.36</v>
      </c>
      <c r="R26" s="3">
        <f t="shared" si="15"/>
        <v>356.48</v>
      </c>
      <c r="S26" s="3">
        <f t="shared" si="15"/>
        <v>23789.3</v>
      </c>
      <c r="T26" s="3">
        <f t="shared" si="15"/>
        <v>0</v>
      </c>
      <c r="U26" s="3">
        <f t="shared" si="15"/>
        <v>2742.729385</v>
      </c>
      <c r="V26" s="3">
        <f t="shared" si="15"/>
        <v>29.961520000000004</v>
      </c>
      <c r="W26" s="3">
        <f t="shared" si="15"/>
        <v>0</v>
      </c>
      <c r="X26" s="3">
        <f t="shared" si="15"/>
        <v>24089.8</v>
      </c>
      <c r="Y26" s="3">
        <f t="shared" si="15"/>
        <v>13255.35</v>
      </c>
      <c r="Z26" s="3">
        <f t="shared" si="15"/>
        <v>0</v>
      </c>
      <c r="AA26" s="3">
        <f t="shared" si="15"/>
        <v>0</v>
      </c>
      <c r="AB26" s="3">
        <f t="shared" si="15"/>
        <v>55773.07</v>
      </c>
      <c r="AC26" s="3">
        <f t="shared" si="15"/>
        <v>25881.41</v>
      </c>
      <c r="AD26" s="3">
        <f t="shared" si="15"/>
        <v>6102.36</v>
      </c>
      <c r="AE26" s="3">
        <f t="shared" si="15"/>
        <v>356.48</v>
      </c>
      <c r="AF26" s="3">
        <f t="shared" si="15"/>
        <v>23789.3</v>
      </c>
      <c r="AG26" s="3">
        <f t="shared" si="15"/>
        <v>0</v>
      </c>
      <c r="AH26" s="3">
        <f t="shared" si="15"/>
        <v>2742.729385</v>
      </c>
      <c r="AI26" s="3">
        <f t="shared" si="15"/>
        <v>29.961520000000004</v>
      </c>
      <c r="AJ26" s="3">
        <f t="shared" si="15"/>
        <v>0</v>
      </c>
      <c r="AK26" s="3">
        <f t="shared" si="15"/>
        <v>24089.8</v>
      </c>
      <c r="AL26" s="3">
        <f t="shared" si="15"/>
        <v>13255.35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93118.22</v>
      </c>
      <c r="AS26" s="3">
        <f t="shared" si="15"/>
        <v>93118.22</v>
      </c>
      <c r="AT26" s="3">
        <f t="shared" si="15"/>
        <v>0</v>
      </c>
      <c r="AU26" s="3">
        <f aca="true" t="shared" si="16" ref="AU26:BZ26">AU83</f>
        <v>0</v>
      </c>
      <c r="AV26" s="3">
        <f t="shared" si="16"/>
        <v>25881.41</v>
      </c>
      <c r="AW26" s="3">
        <f t="shared" si="16"/>
        <v>25881.41</v>
      </c>
      <c r="AX26" s="3">
        <f t="shared" si="16"/>
        <v>0</v>
      </c>
      <c r="AY26" s="3">
        <f t="shared" si="16"/>
        <v>25881.41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CA83</f>
        <v>93118.22</v>
      </c>
      <c r="CB26" s="3">
        <f t="shared" si="17"/>
        <v>93118.22</v>
      </c>
      <c r="CC26" s="3">
        <f t="shared" si="17"/>
        <v>0</v>
      </c>
      <c r="CD26" s="3">
        <f t="shared" si="17"/>
        <v>0</v>
      </c>
      <c r="CE26" s="3">
        <f t="shared" si="17"/>
        <v>25881.41</v>
      </c>
      <c r="CF26" s="3">
        <f t="shared" si="17"/>
        <v>25881.41</v>
      </c>
      <c r="CG26" s="3">
        <f t="shared" si="17"/>
        <v>0</v>
      </c>
      <c r="CH26" s="3">
        <f t="shared" si="17"/>
        <v>25881.41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DG83</f>
        <v>55773.07</v>
      </c>
      <c r="DH26" s="4">
        <f t="shared" si="18"/>
        <v>25881.41</v>
      </c>
      <c r="DI26" s="4">
        <f t="shared" si="18"/>
        <v>6102.36</v>
      </c>
      <c r="DJ26" s="4">
        <f t="shared" si="18"/>
        <v>356.48</v>
      </c>
      <c r="DK26" s="4">
        <f t="shared" si="18"/>
        <v>23789.3</v>
      </c>
      <c r="DL26" s="4">
        <f t="shared" si="18"/>
        <v>0</v>
      </c>
      <c r="DM26" s="4">
        <f t="shared" si="18"/>
        <v>2742.729385</v>
      </c>
      <c r="DN26" s="4">
        <f t="shared" si="18"/>
        <v>29.961520000000004</v>
      </c>
      <c r="DO26" s="4">
        <f t="shared" si="18"/>
        <v>0</v>
      </c>
      <c r="DP26" s="4">
        <f t="shared" si="18"/>
        <v>24089.8</v>
      </c>
      <c r="DQ26" s="4">
        <f t="shared" si="18"/>
        <v>13255.35</v>
      </c>
      <c r="DR26" s="4">
        <f t="shared" si="18"/>
        <v>0</v>
      </c>
      <c r="DS26" s="4">
        <f t="shared" si="18"/>
        <v>0</v>
      </c>
      <c r="DT26" s="4">
        <f t="shared" si="18"/>
        <v>55773.07</v>
      </c>
      <c r="DU26" s="4">
        <f t="shared" si="18"/>
        <v>25881.41</v>
      </c>
      <c r="DV26" s="4">
        <f t="shared" si="18"/>
        <v>6102.36</v>
      </c>
      <c r="DW26" s="4">
        <f t="shared" si="18"/>
        <v>356.48</v>
      </c>
      <c r="DX26" s="4">
        <f t="shared" si="18"/>
        <v>23789.3</v>
      </c>
      <c r="DY26" s="4">
        <f t="shared" si="18"/>
        <v>0</v>
      </c>
      <c r="DZ26" s="4">
        <f t="shared" si="18"/>
        <v>2742.729385</v>
      </c>
      <c r="EA26" s="4">
        <f t="shared" si="18"/>
        <v>29.961520000000004</v>
      </c>
      <c r="EB26" s="4">
        <f t="shared" si="18"/>
        <v>0</v>
      </c>
      <c r="EC26" s="4">
        <f t="shared" si="18"/>
        <v>24089.8</v>
      </c>
      <c r="ED26" s="4">
        <f t="shared" si="18"/>
        <v>13255.35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93118.22</v>
      </c>
      <c r="EK26" s="4">
        <f t="shared" si="18"/>
        <v>93118.22</v>
      </c>
      <c r="EL26" s="4">
        <f t="shared" si="18"/>
        <v>0</v>
      </c>
      <c r="EM26" s="4">
        <f aca="true" t="shared" si="19" ref="EM26:FR26">EM83</f>
        <v>0</v>
      </c>
      <c r="EN26" s="4">
        <f t="shared" si="19"/>
        <v>25881.41</v>
      </c>
      <c r="EO26" s="4">
        <f t="shared" si="19"/>
        <v>25881.41</v>
      </c>
      <c r="EP26" s="4">
        <f t="shared" si="19"/>
        <v>0</v>
      </c>
      <c r="EQ26" s="4">
        <f t="shared" si="19"/>
        <v>25881.41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FS83</f>
        <v>93118.22</v>
      </c>
      <c r="FT26" s="4">
        <f t="shared" si="20"/>
        <v>93118.22</v>
      </c>
      <c r="FU26" s="4">
        <f t="shared" si="20"/>
        <v>0</v>
      </c>
      <c r="FV26" s="4">
        <f t="shared" si="20"/>
        <v>0</v>
      </c>
      <c r="FW26" s="4">
        <f t="shared" si="20"/>
        <v>25881.41</v>
      </c>
      <c r="FX26" s="4">
        <f t="shared" si="20"/>
        <v>25881.41</v>
      </c>
      <c r="FY26" s="4">
        <f t="shared" si="20"/>
        <v>0</v>
      </c>
      <c r="FZ26" s="4">
        <f t="shared" si="20"/>
        <v>25881.41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ROW(SmtRes!A2)</f>
        <v>2</v>
      </c>
      <c r="D28" s="2">
        <f>ROW(EtalonRes!A2)</f>
        <v>2</v>
      </c>
      <c r="E28" s="2" t="s">
        <v>21</v>
      </c>
      <c r="F28" s="2" t="s">
        <v>22</v>
      </c>
      <c r="G28" s="2" t="s">
        <v>23</v>
      </c>
      <c r="H28" s="2" t="s">
        <v>24</v>
      </c>
      <c r="I28" s="2">
        <f>ROUND(ROUND(479/100,2),7)</f>
        <v>4.79</v>
      </c>
      <c r="J28" s="2">
        <v>0</v>
      </c>
      <c r="K28" s="2">
        <f>ROUND(ROUND(479/100,2),7)</f>
        <v>4.79</v>
      </c>
      <c r="L28" s="2"/>
      <c r="M28" s="2"/>
      <c r="N28" s="2"/>
      <c r="O28" s="2">
        <f aca="true" t="shared" si="21" ref="O28:O59">ROUND(CP28,2)</f>
        <v>140.87</v>
      </c>
      <c r="P28" s="2">
        <f aca="true" t="shared" si="22" ref="P28:P59">ROUND(CQ28*I28,2)</f>
        <v>0</v>
      </c>
      <c r="Q28" s="2">
        <f aca="true" t="shared" si="23" ref="Q28:Q59">ROUND(CR28*I28,2)</f>
        <v>0</v>
      </c>
      <c r="R28" s="2">
        <f aca="true" t="shared" si="24" ref="R28:R59">ROUND(CS28*I28,2)</f>
        <v>0</v>
      </c>
      <c r="S28" s="2">
        <f aca="true" t="shared" si="25" ref="S28:S59">ROUND(CT28*I28,2)</f>
        <v>140.87</v>
      </c>
      <c r="T28" s="2">
        <f aca="true" t="shared" si="26" ref="T28:T59">ROUND(CU28*I28,2)</f>
        <v>0</v>
      </c>
      <c r="U28" s="2">
        <f aca="true" t="shared" si="27" ref="U28:U59">CV28*I28</f>
        <v>18.0583</v>
      </c>
      <c r="V28" s="2">
        <f aca="true" t="shared" si="28" ref="V28:V59">CW28*I28</f>
        <v>0</v>
      </c>
      <c r="W28" s="2">
        <f aca="true" t="shared" si="29" ref="W28:W59">ROUND(CX28*I28,2)</f>
        <v>0</v>
      </c>
      <c r="X28" s="2">
        <f aca="true" t="shared" si="30" ref="X28:X59">ROUND(CY28,2)</f>
        <v>125.37</v>
      </c>
      <c r="Y28" s="2">
        <f aca="true" t="shared" si="31" ref="Y28:Y59">ROUND(CZ28,2)</f>
        <v>69.03</v>
      </c>
      <c r="Z28" s="2"/>
      <c r="AA28" s="2">
        <v>55454918</v>
      </c>
      <c r="AB28" s="2">
        <f aca="true" t="shared" si="32" ref="AB28:AB59">ROUND((AC28+AD28+AF28),2)</f>
        <v>29.41</v>
      </c>
      <c r="AC28" s="2">
        <f>ROUND((ES28),2)</f>
        <v>0</v>
      </c>
      <c r="AD28" s="2">
        <f>ROUND((((ET28)-(EU28))+AE28),2)</f>
        <v>0</v>
      </c>
      <c r="AE28" s="2">
        <f aca="true" t="shared" si="33" ref="AE28:AF31">ROUND((EU28),2)</f>
        <v>0</v>
      </c>
      <c r="AF28" s="2">
        <f t="shared" si="33"/>
        <v>29.41</v>
      </c>
      <c r="AG28" s="2">
        <f aca="true" t="shared" si="34" ref="AG28:AG59">ROUND((AP28),2)</f>
        <v>0</v>
      </c>
      <c r="AH28" s="2">
        <f aca="true" t="shared" si="35" ref="AH28:AI31">(EW28)</f>
        <v>3.77</v>
      </c>
      <c r="AI28" s="2">
        <f t="shared" si="35"/>
        <v>0</v>
      </c>
      <c r="AJ28" s="2">
        <f aca="true" t="shared" si="36" ref="AJ28:AJ59">(AS28)</f>
        <v>0</v>
      </c>
      <c r="AK28" s="2">
        <v>29.41</v>
      </c>
      <c r="AL28" s="2">
        <v>0</v>
      </c>
      <c r="AM28" s="2">
        <v>0</v>
      </c>
      <c r="AN28" s="2">
        <v>0</v>
      </c>
      <c r="AO28" s="2">
        <v>29.41</v>
      </c>
      <c r="AP28" s="2">
        <v>0</v>
      </c>
      <c r="AQ28" s="2">
        <v>3.77</v>
      </c>
      <c r="AR28" s="2">
        <v>0</v>
      </c>
      <c r="AS28" s="2">
        <v>0</v>
      </c>
      <c r="AT28" s="2">
        <v>89</v>
      </c>
      <c r="AU28" s="2">
        <v>49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25</v>
      </c>
      <c r="BK28" s="2"/>
      <c r="BL28" s="2"/>
      <c r="BM28" s="2">
        <v>57001</v>
      </c>
      <c r="BN28" s="2">
        <v>0</v>
      </c>
      <c r="BO28" s="2" t="s">
        <v>3</v>
      </c>
      <c r="BP28" s="2">
        <v>0</v>
      </c>
      <c r="BQ28" s="2">
        <v>6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89</v>
      </c>
      <c r="CA28" s="2">
        <v>49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37" ref="CP28:CP59">(P28+Q28+S28)</f>
        <v>140.87</v>
      </c>
      <c r="CQ28" s="2">
        <f aca="true" t="shared" si="38" ref="CQ28:CQ59">AC28*BC28</f>
        <v>0</v>
      </c>
      <c r="CR28" s="2">
        <f>(((ET28)*BB28-(EU28))+AE28)</f>
        <v>0</v>
      </c>
      <c r="CS28" s="2">
        <f aca="true" t="shared" si="39" ref="CS28:CS59">AE28</f>
        <v>0</v>
      </c>
      <c r="CT28" s="2">
        <f aca="true" t="shared" si="40" ref="CT28:CT59">AF28</f>
        <v>29.41</v>
      </c>
      <c r="CU28" s="2">
        <f aca="true" t="shared" si="41" ref="CU28:CU59">AG28</f>
        <v>0</v>
      </c>
      <c r="CV28" s="2">
        <f aca="true" t="shared" si="42" ref="CV28:CV59">AH28</f>
        <v>3.77</v>
      </c>
      <c r="CW28" s="2">
        <f aca="true" t="shared" si="43" ref="CW28:CW59">AI28</f>
        <v>0</v>
      </c>
      <c r="CX28" s="2">
        <f aca="true" t="shared" si="44" ref="CX28:CX59">AJ28</f>
        <v>0</v>
      </c>
      <c r="CY28" s="2">
        <f aca="true" t="shared" si="45" ref="CY28:CY59">(((S28+R28)*AT28)/100)</f>
        <v>125.3743</v>
      </c>
      <c r="CZ28" s="2">
        <f aca="true" t="shared" si="46" ref="CZ28:CZ59">(((S28+R28)*AU28)/100)</f>
        <v>69.0263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24</v>
      </c>
      <c r="DW28" s="2" t="s">
        <v>24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55471785</v>
      </c>
      <c r="EF28" s="2">
        <v>6</v>
      </c>
      <c r="EG28" s="2" t="s">
        <v>26</v>
      </c>
      <c r="EH28" s="2">
        <v>11</v>
      </c>
      <c r="EI28" s="2" t="s">
        <v>27</v>
      </c>
      <c r="EJ28" s="2">
        <v>1</v>
      </c>
      <c r="EK28" s="2">
        <v>57001</v>
      </c>
      <c r="EL28" s="2" t="s">
        <v>27</v>
      </c>
      <c r="EM28" s="2" t="s">
        <v>28</v>
      </c>
      <c r="EN28" s="2"/>
      <c r="EO28" s="2" t="s">
        <v>3</v>
      </c>
      <c r="EP28" s="2"/>
      <c r="EQ28" s="2">
        <v>0</v>
      </c>
      <c r="ER28" s="2">
        <v>29.41</v>
      </c>
      <c r="ES28" s="2">
        <v>0</v>
      </c>
      <c r="ET28" s="2">
        <v>0</v>
      </c>
      <c r="EU28" s="2">
        <v>0</v>
      </c>
      <c r="EV28" s="2">
        <v>29.41</v>
      </c>
      <c r="EW28" s="2">
        <v>3.77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7" ref="FR28:FR59">ROUND(IF(AND(BH28=3,BI28=3),P28,0),2)</f>
        <v>0</v>
      </c>
      <c r="FS28" s="2">
        <v>0</v>
      </c>
      <c r="FT28" s="2"/>
      <c r="FU28" s="2"/>
      <c r="FV28" s="2"/>
      <c r="FW28" s="2"/>
      <c r="FX28" s="2">
        <v>89</v>
      </c>
      <c r="FY28" s="2">
        <v>49</v>
      </c>
      <c r="FZ28" s="2"/>
      <c r="GA28" s="2" t="s">
        <v>3</v>
      </c>
      <c r="GB28" s="2"/>
      <c r="GC28" s="2"/>
      <c r="GD28" s="2">
        <v>1</v>
      </c>
      <c r="GE28" s="2"/>
      <c r="GF28" s="2">
        <v>170885511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48" ref="GL28:GL59">ROUND(IF(AND(BH28=3,BI28=3,FS28&lt;&gt;0),P28,0),2)</f>
        <v>0</v>
      </c>
      <c r="GM28" s="2">
        <f aca="true" t="shared" si="49" ref="GM28:GM59">ROUND(O28+X28+Y28,2)+GX28</f>
        <v>335.27</v>
      </c>
      <c r="GN28" s="2">
        <f aca="true" t="shared" si="50" ref="GN28:GN59">IF(OR(BI28=0,BI28=1),ROUND(O28+X28+Y28,2),0)</f>
        <v>335.27</v>
      </c>
      <c r="GO28" s="2">
        <f aca="true" t="shared" si="51" ref="GO28:GO59">IF(BI28=2,ROUND(O28+X28+Y28,2),0)</f>
        <v>0</v>
      </c>
      <c r="GP28" s="2">
        <f aca="true" t="shared" si="52" ref="GP28:GP59">IF(BI28=4,ROUND(O28+X28+Y28,2)+GX28,0)</f>
        <v>0</v>
      </c>
      <c r="GQ28" s="2"/>
      <c r="GR28" s="2">
        <v>0</v>
      </c>
      <c r="GS28" s="2">
        <v>0</v>
      </c>
      <c r="GT28" s="2">
        <v>0</v>
      </c>
      <c r="GU28" s="2" t="s">
        <v>3</v>
      </c>
      <c r="GV28" s="2">
        <f aca="true" t="shared" si="53" ref="GV28:GV59">ROUND((GT28),2)</f>
        <v>0</v>
      </c>
      <c r="GW28" s="2">
        <v>1</v>
      </c>
      <c r="GX28" s="2">
        <f aca="true" t="shared" si="54" ref="GX28:GX59">ROUND(HC28*I28,2)</f>
        <v>0</v>
      </c>
      <c r="GY28" s="2"/>
      <c r="GZ28" s="2"/>
      <c r="HA28" s="2">
        <v>0</v>
      </c>
      <c r="HB28" s="2">
        <v>0</v>
      </c>
      <c r="HC28" s="2">
        <f aca="true" t="shared" si="55" ref="HC28:HC59">GV28*GW28</f>
        <v>0</v>
      </c>
      <c r="HD28" s="2"/>
      <c r="HE28" s="2" t="s">
        <v>3</v>
      </c>
      <c r="HF28" s="2" t="s">
        <v>3</v>
      </c>
      <c r="HG28" s="2"/>
      <c r="HH28" s="2"/>
      <c r="HI28" s="2">
        <f aca="true" t="shared" si="56" ref="HI28:HI59">ROUND(R28*BS28,2)</f>
        <v>0</v>
      </c>
      <c r="HJ28" s="2">
        <f aca="true" t="shared" si="57" ref="HJ28:HJ59">ROUND(S28*BA28,2)</f>
        <v>140.87</v>
      </c>
      <c r="HK28" s="2">
        <f aca="true" t="shared" si="58" ref="HK28:HK59">ROUND((((HJ28+HI28)*AT28)/100),2)</f>
        <v>125.37</v>
      </c>
      <c r="HL28" s="2">
        <f aca="true" t="shared" si="59" ref="HL28:HL59">ROUND((((HJ28+HI28)*AU28)/100),2)</f>
        <v>69.03</v>
      </c>
      <c r="HM28" s="2" t="s">
        <v>3</v>
      </c>
      <c r="HN28" s="2" t="s">
        <v>29</v>
      </c>
      <c r="HO28" s="2" t="s">
        <v>30</v>
      </c>
      <c r="HP28" s="2" t="s">
        <v>27</v>
      </c>
      <c r="HQ28" s="2" t="s">
        <v>27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21</v>
      </c>
      <c r="F29" t="s">
        <v>22</v>
      </c>
      <c r="G29" t="s">
        <v>23</v>
      </c>
      <c r="H29" t="s">
        <v>24</v>
      </c>
      <c r="I29">
        <f>ROUND(ROUND(479/100,2),7)</f>
        <v>4.79</v>
      </c>
      <c r="J29">
        <v>0</v>
      </c>
      <c r="K29">
        <f>ROUND(ROUND(479/100,2),7)</f>
        <v>4.79</v>
      </c>
      <c r="O29">
        <f t="shared" si="21"/>
        <v>140.87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140.87</v>
      </c>
      <c r="T29">
        <f t="shared" si="26"/>
        <v>0</v>
      </c>
      <c r="U29">
        <f t="shared" si="27"/>
        <v>18.0583</v>
      </c>
      <c r="V29">
        <f t="shared" si="28"/>
        <v>0</v>
      </c>
      <c r="W29">
        <f t="shared" si="29"/>
        <v>0</v>
      </c>
      <c r="X29">
        <f t="shared" si="30"/>
        <v>125.37</v>
      </c>
      <c r="Y29">
        <f t="shared" si="31"/>
        <v>69.03</v>
      </c>
      <c r="AA29">
        <v>55454919</v>
      </c>
      <c r="AB29">
        <f t="shared" si="32"/>
        <v>29.41</v>
      </c>
      <c r="AC29">
        <f>ROUND((ES29),2)</f>
        <v>0</v>
      </c>
      <c r="AD29">
        <f>ROUND((((ET29)-(EU29))+AE29),2)</f>
        <v>0</v>
      </c>
      <c r="AE29">
        <f t="shared" si="33"/>
        <v>0</v>
      </c>
      <c r="AF29">
        <f t="shared" si="33"/>
        <v>29.41</v>
      </c>
      <c r="AG29">
        <f t="shared" si="34"/>
        <v>0</v>
      </c>
      <c r="AH29">
        <f t="shared" si="35"/>
        <v>3.77</v>
      </c>
      <c r="AI29">
        <f t="shared" si="35"/>
        <v>0</v>
      </c>
      <c r="AJ29">
        <f t="shared" si="36"/>
        <v>0</v>
      </c>
      <c r="AK29">
        <v>29.41</v>
      </c>
      <c r="AL29">
        <v>0</v>
      </c>
      <c r="AM29">
        <v>0</v>
      </c>
      <c r="AN29">
        <v>0</v>
      </c>
      <c r="AO29">
        <v>29.41</v>
      </c>
      <c r="AP29">
        <v>0</v>
      </c>
      <c r="AQ29">
        <v>3.77</v>
      </c>
      <c r="AR29">
        <v>0</v>
      </c>
      <c r="AS29">
        <v>0</v>
      </c>
      <c r="AT29">
        <v>89</v>
      </c>
      <c r="AU29">
        <v>49</v>
      </c>
      <c r="AV29">
        <v>1</v>
      </c>
      <c r="AW29">
        <v>1</v>
      </c>
      <c r="AZ29">
        <v>1</v>
      </c>
      <c r="BA29">
        <v>36.47</v>
      </c>
      <c r="BB29">
        <v>1</v>
      </c>
      <c r="BC29">
        <v>1</v>
      </c>
      <c r="BH29">
        <v>0</v>
      </c>
      <c r="BI29">
        <v>1</v>
      </c>
      <c r="BJ29" t="s">
        <v>25</v>
      </c>
      <c r="BM29">
        <v>57001</v>
      </c>
      <c r="BN29">
        <v>0</v>
      </c>
      <c r="BP29">
        <v>0</v>
      </c>
      <c r="BQ29">
        <v>6</v>
      </c>
      <c r="BR29">
        <v>0</v>
      </c>
      <c r="BS29">
        <v>36.47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89</v>
      </c>
      <c r="CA29">
        <v>49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37"/>
        <v>140.87</v>
      </c>
      <c r="CQ29">
        <f t="shared" si="38"/>
        <v>0</v>
      </c>
      <c r="CR29">
        <f>(((ET29)*BB29-(EU29))+AE29)</f>
        <v>0</v>
      </c>
      <c r="CS29">
        <f t="shared" si="39"/>
        <v>0</v>
      </c>
      <c r="CT29">
        <f t="shared" si="40"/>
        <v>29.41</v>
      </c>
      <c r="CU29">
        <f t="shared" si="41"/>
        <v>0</v>
      </c>
      <c r="CV29">
        <f t="shared" si="42"/>
        <v>3.77</v>
      </c>
      <c r="CW29">
        <f t="shared" si="43"/>
        <v>0</v>
      </c>
      <c r="CX29">
        <f t="shared" si="44"/>
        <v>0</v>
      </c>
      <c r="CY29">
        <f t="shared" si="45"/>
        <v>125.3743</v>
      </c>
      <c r="CZ29">
        <f t="shared" si="46"/>
        <v>69.0263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24</v>
      </c>
      <c r="DW29" t="s">
        <v>24</v>
      </c>
      <c r="DX29">
        <v>100</v>
      </c>
      <c r="EE29">
        <v>55471785</v>
      </c>
      <c r="EF29">
        <v>6</v>
      </c>
      <c r="EG29" t="s">
        <v>26</v>
      </c>
      <c r="EH29">
        <v>11</v>
      </c>
      <c r="EI29" t="s">
        <v>27</v>
      </c>
      <c r="EJ29">
        <v>1</v>
      </c>
      <c r="EK29">
        <v>57001</v>
      </c>
      <c r="EL29" t="s">
        <v>27</v>
      </c>
      <c r="EM29" t="s">
        <v>28</v>
      </c>
      <c r="EQ29">
        <v>0</v>
      </c>
      <c r="ER29">
        <v>29.41</v>
      </c>
      <c r="ES29">
        <v>0</v>
      </c>
      <c r="ET29">
        <v>0</v>
      </c>
      <c r="EU29">
        <v>0</v>
      </c>
      <c r="EV29">
        <v>29.41</v>
      </c>
      <c r="EW29">
        <v>3.77</v>
      </c>
      <c r="EX29">
        <v>0</v>
      </c>
      <c r="EY29">
        <v>0</v>
      </c>
      <c r="FQ29">
        <v>0</v>
      </c>
      <c r="FR29">
        <f t="shared" si="47"/>
        <v>0</v>
      </c>
      <c r="FS29">
        <v>0</v>
      </c>
      <c r="FX29">
        <v>89</v>
      </c>
      <c r="FY29">
        <v>49</v>
      </c>
      <c r="GD29">
        <v>1</v>
      </c>
      <c r="GF29">
        <v>170885511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8"/>
        <v>0</v>
      </c>
      <c r="GM29">
        <f t="shared" si="49"/>
        <v>335.27</v>
      </c>
      <c r="GN29">
        <f t="shared" si="50"/>
        <v>335.27</v>
      </c>
      <c r="GO29">
        <f t="shared" si="51"/>
        <v>0</v>
      </c>
      <c r="GP29">
        <f t="shared" si="52"/>
        <v>0</v>
      </c>
      <c r="GR29">
        <v>0</v>
      </c>
      <c r="GS29">
        <v>0</v>
      </c>
      <c r="GT29">
        <v>0</v>
      </c>
      <c r="GV29">
        <f t="shared" si="53"/>
        <v>0</v>
      </c>
      <c r="GW29">
        <v>1</v>
      </c>
      <c r="GX29">
        <f t="shared" si="54"/>
        <v>0</v>
      </c>
      <c r="HA29">
        <v>0</v>
      </c>
      <c r="HB29">
        <v>0</v>
      </c>
      <c r="HC29">
        <f t="shared" si="55"/>
        <v>0</v>
      </c>
      <c r="HI29">
        <f t="shared" si="56"/>
        <v>0</v>
      </c>
      <c r="HJ29">
        <f t="shared" si="57"/>
        <v>5137.53</v>
      </c>
      <c r="HK29">
        <f t="shared" si="58"/>
        <v>4572.4</v>
      </c>
      <c r="HL29">
        <f t="shared" si="59"/>
        <v>2517.39</v>
      </c>
      <c r="HN29" t="s">
        <v>29</v>
      </c>
      <c r="HO29" t="s">
        <v>30</v>
      </c>
      <c r="HP29" t="s">
        <v>27</v>
      </c>
      <c r="HQ29" t="s">
        <v>27</v>
      </c>
      <c r="IK29">
        <v>0</v>
      </c>
    </row>
    <row r="30" spans="1:255" ht="12.75">
      <c r="A30" s="2">
        <v>18</v>
      </c>
      <c r="B30" s="2">
        <v>1</v>
      </c>
      <c r="C30" s="2">
        <v>2</v>
      </c>
      <c r="D30" s="2"/>
      <c r="E30" s="2" t="s">
        <v>31</v>
      </c>
      <c r="F30" s="2" t="s">
        <v>32</v>
      </c>
      <c r="G30" s="2" t="s">
        <v>33</v>
      </c>
      <c r="H30" s="2" t="s">
        <v>34</v>
      </c>
      <c r="I30" s="2">
        <f>I28*J30</f>
        <v>0.5269</v>
      </c>
      <c r="J30" s="2">
        <v>0.11</v>
      </c>
      <c r="K30" s="2">
        <v>0.11</v>
      </c>
      <c r="L30" s="2"/>
      <c r="M30" s="2"/>
      <c r="N30" s="2"/>
      <c r="O30" s="2">
        <f t="shared" si="21"/>
        <v>0</v>
      </c>
      <c r="P30" s="2">
        <f t="shared" si="22"/>
        <v>0</v>
      </c>
      <c r="Q30" s="2">
        <f t="shared" si="23"/>
        <v>0</v>
      </c>
      <c r="R30" s="2">
        <f t="shared" si="24"/>
        <v>0</v>
      </c>
      <c r="S30" s="2">
        <f t="shared" si="25"/>
        <v>0</v>
      </c>
      <c r="T30" s="2">
        <f t="shared" si="26"/>
        <v>0</v>
      </c>
      <c r="U30" s="2">
        <f t="shared" si="27"/>
        <v>0</v>
      </c>
      <c r="V30" s="2">
        <f t="shared" si="28"/>
        <v>0</v>
      </c>
      <c r="W30" s="2">
        <f t="shared" si="29"/>
        <v>0</v>
      </c>
      <c r="X30" s="2">
        <f t="shared" si="30"/>
        <v>0</v>
      </c>
      <c r="Y30" s="2">
        <f t="shared" si="31"/>
        <v>0</v>
      </c>
      <c r="Z30" s="2"/>
      <c r="AA30" s="2">
        <v>55454918</v>
      </c>
      <c r="AB30" s="2">
        <f t="shared" si="32"/>
        <v>0</v>
      </c>
      <c r="AC30" s="2">
        <f>ROUND((ES30),2)</f>
        <v>0</v>
      </c>
      <c r="AD30" s="2">
        <f>ROUND((((ET30)-(EU30))+AE30),2)</f>
        <v>0</v>
      </c>
      <c r="AE30" s="2">
        <f t="shared" si="33"/>
        <v>0</v>
      </c>
      <c r="AF30" s="2">
        <f t="shared" si="33"/>
        <v>0</v>
      </c>
      <c r="AG30" s="2">
        <f t="shared" si="34"/>
        <v>0</v>
      </c>
      <c r="AH30" s="2">
        <f t="shared" si="35"/>
        <v>0</v>
      </c>
      <c r="AI30" s="2">
        <f t="shared" si="35"/>
        <v>0</v>
      </c>
      <c r="AJ30" s="2">
        <f t="shared" si="36"/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89</v>
      </c>
      <c r="AU30" s="2">
        <v>49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3</v>
      </c>
      <c r="BI30" s="2">
        <v>1</v>
      </c>
      <c r="BJ30" s="2" t="s">
        <v>3</v>
      </c>
      <c r="BK30" s="2"/>
      <c r="BL30" s="2"/>
      <c r="BM30" s="2">
        <v>57001</v>
      </c>
      <c r="BN30" s="2">
        <v>0</v>
      </c>
      <c r="BO30" s="2" t="s">
        <v>3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89</v>
      </c>
      <c r="CA30" s="2">
        <v>49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7"/>
        <v>0</v>
      </c>
      <c r="CQ30" s="2">
        <f t="shared" si="38"/>
        <v>0</v>
      </c>
      <c r="CR30" s="2">
        <f>(((ET30)*BB30-(EU30))+AE30)</f>
        <v>0</v>
      </c>
      <c r="CS30" s="2">
        <f t="shared" si="39"/>
        <v>0</v>
      </c>
      <c r="CT30" s="2">
        <f t="shared" si="40"/>
        <v>0</v>
      </c>
      <c r="CU30" s="2">
        <f t="shared" si="41"/>
        <v>0</v>
      </c>
      <c r="CV30" s="2">
        <f t="shared" si="42"/>
        <v>0</v>
      </c>
      <c r="CW30" s="2">
        <f t="shared" si="43"/>
        <v>0</v>
      </c>
      <c r="CX30" s="2">
        <f t="shared" si="44"/>
        <v>0</v>
      </c>
      <c r="CY30" s="2">
        <f t="shared" si="45"/>
        <v>0</v>
      </c>
      <c r="CZ30" s="2">
        <f t="shared" si="46"/>
        <v>0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1009</v>
      </c>
      <c r="DV30" s="2" t="s">
        <v>34</v>
      </c>
      <c r="DW30" s="2" t="s">
        <v>34</v>
      </c>
      <c r="DX30" s="2">
        <v>1000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55471785</v>
      </c>
      <c r="EF30" s="2">
        <v>6</v>
      </c>
      <c r="EG30" s="2" t="s">
        <v>26</v>
      </c>
      <c r="EH30" s="2">
        <v>11</v>
      </c>
      <c r="EI30" s="2" t="s">
        <v>27</v>
      </c>
      <c r="EJ30" s="2">
        <v>1</v>
      </c>
      <c r="EK30" s="2">
        <v>57001</v>
      </c>
      <c r="EL30" s="2" t="s">
        <v>27</v>
      </c>
      <c r="EM30" s="2" t="s">
        <v>28</v>
      </c>
      <c r="EN30" s="2"/>
      <c r="EO30" s="2" t="s">
        <v>3</v>
      </c>
      <c r="EP30" s="2"/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7"/>
        <v>0</v>
      </c>
      <c r="FS30" s="2">
        <v>0</v>
      </c>
      <c r="FT30" s="2"/>
      <c r="FU30" s="2"/>
      <c r="FV30" s="2"/>
      <c r="FW30" s="2"/>
      <c r="FX30" s="2">
        <v>89</v>
      </c>
      <c r="FY30" s="2">
        <v>49</v>
      </c>
      <c r="FZ30" s="2"/>
      <c r="GA30" s="2" t="s">
        <v>3</v>
      </c>
      <c r="GB30" s="2"/>
      <c r="GC30" s="2"/>
      <c r="GD30" s="2">
        <v>1</v>
      </c>
      <c r="GE30" s="2"/>
      <c r="GF30" s="2">
        <v>2102561428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8"/>
        <v>0</v>
      </c>
      <c r="GM30" s="2">
        <f t="shared" si="49"/>
        <v>0</v>
      </c>
      <c r="GN30" s="2">
        <f t="shared" si="50"/>
        <v>0</v>
      </c>
      <c r="GO30" s="2">
        <f t="shared" si="51"/>
        <v>0</v>
      </c>
      <c r="GP30" s="2">
        <f t="shared" si="52"/>
        <v>0</v>
      </c>
      <c r="GQ30" s="2"/>
      <c r="GR30" s="2">
        <v>0</v>
      </c>
      <c r="GS30" s="2">
        <v>0</v>
      </c>
      <c r="GT30" s="2">
        <v>0</v>
      </c>
      <c r="GU30" s="2" t="s">
        <v>3</v>
      </c>
      <c r="GV30" s="2">
        <f t="shared" si="53"/>
        <v>0</v>
      </c>
      <c r="GW30" s="2">
        <v>1</v>
      </c>
      <c r="GX30" s="2">
        <f t="shared" si="54"/>
        <v>0</v>
      </c>
      <c r="GY30" s="2"/>
      <c r="GZ30" s="2"/>
      <c r="HA30" s="2">
        <v>0</v>
      </c>
      <c r="HB30" s="2">
        <v>0</v>
      </c>
      <c r="HC30" s="2">
        <f t="shared" si="55"/>
        <v>0</v>
      </c>
      <c r="HD30" s="2"/>
      <c r="HE30" s="2" t="s">
        <v>3</v>
      </c>
      <c r="HF30" s="2" t="s">
        <v>3</v>
      </c>
      <c r="HG30" s="2"/>
      <c r="HH30" s="2"/>
      <c r="HI30" s="2">
        <f t="shared" si="56"/>
        <v>0</v>
      </c>
      <c r="HJ30" s="2">
        <f t="shared" si="57"/>
        <v>0</v>
      </c>
      <c r="HK30" s="2">
        <f t="shared" si="58"/>
        <v>0</v>
      </c>
      <c r="HL30" s="2">
        <f t="shared" si="59"/>
        <v>0</v>
      </c>
      <c r="HM30" s="2" t="s">
        <v>3</v>
      </c>
      <c r="HN30" s="2" t="s">
        <v>29</v>
      </c>
      <c r="HO30" s="2" t="s">
        <v>30</v>
      </c>
      <c r="HP30" s="2" t="s">
        <v>27</v>
      </c>
      <c r="HQ30" s="2" t="s">
        <v>27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18</v>
      </c>
      <c r="B31">
        <v>1</v>
      </c>
      <c r="C31">
        <v>4</v>
      </c>
      <c r="E31" t="s">
        <v>31</v>
      </c>
      <c r="F31" t="s">
        <v>32</v>
      </c>
      <c r="G31" t="s">
        <v>33</v>
      </c>
      <c r="H31" t="s">
        <v>34</v>
      </c>
      <c r="I31">
        <f>I29*J31</f>
        <v>0.5269</v>
      </c>
      <c r="J31">
        <v>0.11</v>
      </c>
      <c r="K31">
        <v>0.11</v>
      </c>
      <c r="O31">
        <f t="shared" si="21"/>
        <v>0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55454919</v>
      </c>
      <c r="AB31">
        <f t="shared" si="32"/>
        <v>0</v>
      </c>
      <c r="AC31">
        <f>ROUND((ES31),2)</f>
        <v>0</v>
      </c>
      <c r="AD31">
        <f>ROUND((((ET31)-(EU31))+AE31),2)</f>
        <v>0</v>
      </c>
      <c r="AE31">
        <f t="shared" si="33"/>
        <v>0</v>
      </c>
      <c r="AF31">
        <f t="shared" si="33"/>
        <v>0</v>
      </c>
      <c r="AG31">
        <f t="shared" si="34"/>
        <v>0</v>
      </c>
      <c r="AH31">
        <f t="shared" si="35"/>
        <v>0</v>
      </c>
      <c r="AI31">
        <f t="shared" si="35"/>
        <v>0</v>
      </c>
      <c r="AJ31">
        <f t="shared" si="36"/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89</v>
      </c>
      <c r="AU31">
        <v>49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1</v>
      </c>
      <c r="BM31">
        <v>57001</v>
      </c>
      <c r="BN31">
        <v>0</v>
      </c>
      <c r="BP31">
        <v>0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89</v>
      </c>
      <c r="CA31">
        <v>49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37"/>
        <v>0</v>
      </c>
      <c r="CQ31">
        <f t="shared" si="38"/>
        <v>0</v>
      </c>
      <c r="CR31">
        <f>(((ET31)*BB31-(EU31))+AE31)</f>
        <v>0</v>
      </c>
      <c r="CS31">
        <f t="shared" si="39"/>
        <v>0</v>
      </c>
      <c r="CT31">
        <f t="shared" si="40"/>
        <v>0</v>
      </c>
      <c r="CU31">
        <f t="shared" si="41"/>
        <v>0</v>
      </c>
      <c r="CV31">
        <f t="shared" si="42"/>
        <v>0</v>
      </c>
      <c r="CW31">
        <f t="shared" si="43"/>
        <v>0</v>
      </c>
      <c r="CX31">
        <f t="shared" si="44"/>
        <v>0</v>
      </c>
      <c r="CY31">
        <f t="shared" si="45"/>
        <v>0</v>
      </c>
      <c r="CZ31">
        <f t="shared" si="46"/>
        <v>0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34</v>
      </c>
      <c r="DW31" t="s">
        <v>34</v>
      </c>
      <c r="DX31">
        <v>1000</v>
      </c>
      <c r="EE31">
        <v>55471785</v>
      </c>
      <c r="EF31">
        <v>6</v>
      </c>
      <c r="EG31" t="s">
        <v>26</v>
      </c>
      <c r="EH31">
        <v>11</v>
      </c>
      <c r="EI31" t="s">
        <v>27</v>
      </c>
      <c r="EJ31">
        <v>1</v>
      </c>
      <c r="EK31">
        <v>57001</v>
      </c>
      <c r="EL31" t="s">
        <v>27</v>
      </c>
      <c r="EM31" t="s">
        <v>28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47"/>
        <v>0</v>
      </c>
      <c r="FS31">
        <v>0</v>
      </c>
      <c r="FX31">
        <v>89</v>
      </c>
      <c r="FY31">
        <v>49</v>
      </c>
      <c r="GD31">
        <v>1</v>
      </c>
      <c r="GF31">
        <v>2102561428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8"/>
        <v>0</v>
      </c>
      <c r="GM31">
        <f t="shared" si="49"/>
        <v>0</v>
      </c>
      <c r="GN31">
        <f t="shared" si="50"/>
        <v>0</v>
      </c>
      <c r="GO31">
        <f t="shared" si="51"/>
        <v>0</v>
      </c>
      <c r="GP31">
        <f t="shared" si="52"/>
        <v>0</v>
      </c>
      <c r="GR31">
        <v>0</v>
      </c>
      <c r="GS31">
        <v>0</v>
      </c>
      <c r="GT31">
        <v>0</v>
      </c>
      <c r="GV31">
        <f t="shared" si="53"/>
        <v>0</v>
      </c>
      <c r="GW31">
        <v>1</v>
      </c>
      <c r="GX31">
        <f t="shared" si="54"/>
        <v>0</v>
      </c>
      <c r="HA31">
        <v>0</v>
      </c>
      <c r="HB31">
        <v>0</v>
      </c>
      <c r="HC31">
        <f t="shared" si="55"/>
        <v>0</v>
      </c>
      <c r="HI31">
        <f t="shared" si="56"/>
        <v>0</v>
      </c>
      <c r="HJ31">
        <f t="shared" si="57"/>
        <v>0</v>
      </c>
      <c r="HK31">
        <f t="shared" si="58"/>
        <v>0</v>
      </c>
      <c r="HL31">
        <f t="shared" si="59"/>
        <v>0</v>
      </c>
      <c r="HN31" t="s">
        <v>29</v>
      </c>
      <c r="HO31" t="s">
        <v>30</v>
      </c>
      <c r="HP31" t="s">
        <v>27</v>
      </c>
      <c r="HQ31" t="s">
        <v>27</v>
      </c>
      <c r="IK31">
        <v>0</v>
      </c>
    </row>
    <row r="32" spans="1:255" ht="12.75">
      <c r="A32" s="2">
        <v>17</v>
      </c>
      <c r="B32" s="2">
        <v>1</v>
      </c>
      <c r="C32" s="2">
        <f>ROW(SmtRes!A14)</f>
        <v>14</v>
      </c>
      <c r="D32" s="2">
        <f>ROW(EtalonRes!A15)</f>
        <v>15</v>
      </c>
      <c r="E32" s="2" t="s">
        <v>35</v>
      </c>
      <c r="F32" s="2" t="s">
        <v>36</v>
      </c>
      <c r="G32" s="2" t="s">
        <v>37</v>
      </c>
      <c r="H32" s="2" t="s">
        <v>38</v>
      </c>
      <c r="I32" s="2">
        <f>ROUND(ROUND(248/100,2),7)</f>
        <v>2.48</v>
      </c>
      <c r="J32" s="2">
        <v>0</v>
      </c>
      <c r="K32" s="2">
        <f>ROUND(ROUND(248/100,2),7)</f>
        <v>2.48</v>
      </c>
      <c r="L32" s="2"/>
      <c r="M32" s="2"/>
      <c r="N32" s="2"/>
      <c r="O32" s="2">
        <f t="shared" si="21"/>
        <v>1093.8</v>
      </c>
      <c r="P32" s="2">
        <f t="shared" si="22"/>
        <v>0</v>
      </c>
      <c r="Q32" s="2">
        <f t="shared" si="23"/>
        <v>130.72</v>
      </c>
      <c r="R32" s="2">
        <f t="shared" si="24"/>
        <v>20.68</v>
      </c>
      <c r="S32" s="2">
        <f t="shared" si="25"/>
        <v>963.08</v>
      </c>
      <c r="T32" s="2">
        <f t="shared" si="26"/>
        <v>0</v>
      </c>
      <c r="U32" s="2">
        <f t="shared" si="27"/>
        <v>113.84192</v>
      </c>
      <c r="V32" s="2">
        <f t="shared" si="28"/>
        <v>1.7459200000000001</v>
      </c>
      <c r="W32" s="2">
        <f t="shared" si="29"/>
        <v>0</v>
      </c>
      <c r="X32" s="2">
        <f t="shared" si="30"/>
        <v>1101.81</v>
      </c>
      <c r="Y32" s="2">
        <f t="shared" si="31"/>
        <v>639.44</v>
      </c>
      <c r="Z32" s="2"/>
      <c r="AA32" s="2">
        <v>55454918</v>
      </c>
      <c r="AB32" s="2">
        <f t="shared" si="32"/>
        <v>441.05</v>
      </c>
      <c r="AC32" s="2">
        <f>ROUND(((ES32*ROUND(0,7))),2)</f>
        <v>0</v>
      </c>
      <c r="AD32" s="2">
        <f>ROUND(((((ET32*ROUND(0.8,7)))-((EU32*ROUND(0.8,7))))+AE32),2)</f>
        <v>52.71</v>
      </c>
      <c r="AE32" s="2">
        <f>ROUND(((EU32*ROUND(0.8,7))),2)</f>
        <v>8.34</v>
      </c>
      <c r="AF32" s="2">
        <f>ROUND(((EV32*ROUND(0.8,7))),2)</f>
        <v>388.34</v>
      </c>
      <c r="AG32" s="2">
        <f t="shared" si="34"/>
        <v>0</v>
      </c>
      <c r="AH32" s="2">
        <f>((EW32*ROUND(0.8,7)))</f>
        <v>45.904</v>
      </c>
      <c r="AI32" s="2">
        <f>((EX32*ROUND(0.8,7)))</f>
        <v>0.7040000000000001</v>
      </c>
      <c r="AJ32" s="2">
        <f t="shared" si="36"/>
        <v>0</v>
      </c>
      <c r="AK32" s="2">
        <v>29413.36</v>
      </c>
      <c r="AL32" s="2">
        <v>28862.05</v>
      </c>
      <c r="AM32" s="2">
        <v>65.88</v>
      </c>
      <c r="AN32" s="2">
        <v>10.42</v>
      </c>
      <c r="AO32" s="2">
        <v>485.43</v>
      </c>
      <c r="AP32" s="2">
        <v>0</v>
      </c>
      <c r="AQ32" s="2">
        <v>57.38</v>
      </c>
      <c r="AR32" s="2">
        <v>0.88</v>
      </c>
      <c r="AS32" s="2">
        <v>0</v>
      </c>
      <c r="AT32" s="2">
        <v>112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39</v>
      </c>
      <c r="BK32" s="2"/>
      <c r="BL32" s="2"/>
      <c r="BM32" s="2">
        <v>11001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112</v>
      </c>
      <c r="CA32" s="2">
        <v>65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40</v>
      </c>
      <c r="CO32" s="2">
        <v>0</v>
      </c>
      <c r="CP32" s="2">
        <f t="shared" si="37"/>
        <v>1093.8</v>
      </c>
      <c r="CQ32" s="2">
        <f t="shared" si="38"/>
        <v>0</v>
      </c>
      <c r="CR32" s="2">
        <f>((((ET32*ROUND(0.8,7)))*BB32-((EU32*ROUND(0.8,7))))+AE32)</f>
        <v>52.708</v>
      </c>
      <c r="CS32" s="2">
        <f t="shared" si="39"/>
        <v>8.34</v>
      </c>
      <c r="CT32" s="2">
        <f t="shared" si="40"/>
        <v>388.34</v>
      </c>
      <c r="CU32" s="2">
        <f t="shared" si="41"/>
        <v>0</v>
      </c>
      <c r="CV32" s="2">
        <f t="shared" si="42"/>
        <v>45.904</v>
      </c>
      <c r="CW32" s="2">
        <f t="shared" si="43"/>
        <v>0.7040000000000001</v>
      </c>
      <c r="CX32" s="2">
        <f t="shared" si="44"/>
        <v>0</v>
      </c>
      <c r="CY32" s="2">
        <f t="shared" si="45"/>
        <v>1101.8111999999999</v>
      </c>
      <c r="CZ32" s="2">
        <f t="shared" si="46"/>
        <v>639.444</v>
      </c>
      <c r="DA32" s="2"/>
      <c r="DB32" s="2"/>
      <c r="DC32" s="2" t="s">
        <v>3</v>
      </c>
      <c r="DD32" s="2" t="s">
        <v>41</v>
      </c>
      <c r="DE32" s="2" t="s">
        <v>42</v>
      </c>
      <c r="DF32" s="2" t="s">
        <v>42</v>
      </c>
      <c r="DG32" s="2" t="s">
        <v>42</v>
      </c>
      <c r="DH32" s="2" t="s">
        <v>3</v>
      </c>
      <c r="DI32" s="2" t="s">
        <v>42</v>
      </c>
      <c r="DJ32" s="2" t="s">
        <v>42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1005</v>
      </c>
      <c r="DV32" s="2" t="s">
        <v>38</v>
      </c>
      <c r="DW32" s="2" t="s">
        <v>38</v>
      </c>
      <c r="DX32" s="2">
        <v>100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55471663</v>
      </c>
      <c r="EF32" s="2">
        <v>2</v>
      </c>
      <c r="EG32" s="2" t="s">
        <v>43</v>
      </c>
      <c r="EH32" s="2">
        <v>11</v>
      </c>
      <c r="EI32" s="2" t="s">
        <v>27</v>
      </c>
      <c r="EJ32" s="2">
        <v>1</v>
      </c>
      <c r="EK32" s="2">
        <v>11001</v>
      </c>
      <c r="EL32" s="2" t="s">
        <v>27</v>
      </c>
      <c r="EM32" s="2" t="s">
        <v>44</v>
      </c>
      <c r="EN32" s="2"/>
      <c r="EO32" s="2" t="s">
        <v>45</v>
      </c>
      <c r="EP32" s="2"/>
      <c r="EQ32" s="2">
        <v>0</v>
      </c>
      <c r="ER32" s="2">
        <v>29413.36</v>
      </c>
      <c r="ES32" s="2">
        <v>28862.05</v>
      </c>
      <c r="ET32" s="2">
        <v>65.88</v>
      </c>
      <c r="EU32" s="2">
        <v>10.42</v>
      </c>
      <c r="EV32" s="2">
        <v>485.43</v>
      </c>
      <c r="EW32" s="2">
        <v>57.38</v>
      </c>
      <c r="EX32" s="2">
        <v>0.88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7"/>
        <v>0</v>
      </c>
      <c r="FS32" s="2">
        <v>0</v>
      </c>
      <c r="FT32" s="2"/>
      <c r="FU32" s="2"/>
      <c r="FV32" s="2"/>
      <c r="FW32" s="2"/>
      <c r="FX32" s="2">
        <v>112</v>
      </c>
      <c r="FY32" s="2">
        <v>65</v>
      </c>
      <c r="FZ32" s="2"/>
      <c r="GA32" s="2" t="s">
        <v>3</v>
      </c>
      <c r="GB32" s="2"/>
      <c r="GC32" s="2"/>
      <c r="GD32" s="2">
        <v>1</v>
      </c>
      <c r="GE32" s="2"/>
      <c r="GF32" s="2">
        <v>520066536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8"/>
        <v>0</v>
      </c>
      <c r="GM32" s="2">
        <f t="shared" si="49"/>
        <v>2835.05</v>
      </c>
      <c r="GN32" s="2">
        <f t="shared" si="50"/>
        <v>2835.05</v>
      </c>
      <c r="GO32" s="2">
        <f t="shared" si="51"/>
        <v>0</v>
      </c>
      <c r="GP32" s="2">
        <f t="shared" si="52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3"/>
        <v>0</v>
      </c>
      <c r="GW32" s="2">
        <v>1</v>
      </c>
      <c r="GX32" s="2">
        <f t="shared" si="54"/>
        <v>0</v>
      </c>
      <c r="GY32" s="2"/>
      <c r="GZ32" s="2"/>
      <c r="HA32" s="2">
        <v>0</v>
      </c>
      <c r="HB32" s="2">
        <v>0</v>
      </c>
      <c r="HC32" s="2">
        <f t="shared" si="55"/>
        <v>0</v>
      </c>
      <c r="HD32" s="2"/>
      <c r="HE32" s="2" t="s">
        <v>3</v>
      </c>
      <c r="HF32" s="2" t="s">
        <v>3</v>
      </c>
      <c r="HG32" s="2"/>
      <c r="HH32" s="2"/>
      <c r="HI32" s="2">
        <f t="shared" si="56"/>
        <v>20.68</v>
      </c>
      <c r="HJ32" s="2">
        <f t="shared" si="57"/>
        <v>963.08</v>
      </c>
      <c r="HK32" s="2">
        <f t="shared" si="58"/>
        <v>1101.81</v>
      </c>
      <c r="HL32" s="2">
        <f t="shared" si="59"/>
        <v>639.44</v>
      </c>
      <c r="HM32" s="2" t="s">
        <v>3</v>
      </c>
      <c r="HN32" s="2" t="s">
        <v>46</v>
      </c>
      <c r="HO32" s="2" t="s">
        <v>47</v>
      </c>
      <c r="HP32" s="2" t="s">
        <v>27</v>
      </c>
      <c r="HQ32" s="2" t="s">
        <v>27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17</v>
      </c>
      <c r="B33">
        <v>1</v>
      </c>
      <c r="C33">
        <f>ROW(SmtRes!A24)</f>
        <v>24</v>
      </c>
      <c r="D33">
        <f>ROW(EtalonRes!A26)</f>
        <v>26</v>
      </c>
      <c r="E33" t="s">
        <v>35</v>
      </c>
      <c r="F33" t="s">
        <v>36</v>
      </c>
      <c r="G33" t="s">
        <v>37</v>
      </c>
      <c r="H33" t="s">
        <v>38</v>
      </c>
      <c r="I33">
        <f>ROUND(ROUND(248/100,2),7)</f>
        <v>2.48</v>
      </c>
      <c r="J33">
        <v>0</v>
      </c>
      <c r="K33">
        <f>ROUND(ROUND(248/100,2),7)</f>
        <v>2.48</v>
      </c>
      <c r="O33">
        <f t="shared" si="21"/>
        <v>1093.8</v>
      </c>
      <c r="P33">
        <f t="shared" si="22"/>
        <v>0</v>
      </c>
      <c r="Q33">
        <f t="shared" si="23"/>
        <v>130.72</v>
      </c>
      <c r="R33">
        <f t="shared" si="24"/>
        <v>20.68</v>
      </c>
      <c r="S33">
        <f t="shared" si="25"/>
        <v>963.08</v>
      </c>
      <c r="T33">
        <f t="shared" si="26"/>
        <v>0</v>
      </c>
      <c r="U33">
        <f t="shared" si="27"/>
        <v>113.84192</v>
      </c>
      <c r="V33">
        <f t="shared" si="28"/>
        <v>1.7459200000000001</v>
      </c>
      <c r="W33">
        <f t="shared" si="29"/>
        <v>0</v>
      </c>
      <c r="X33">
        <f t="shared" si="30"/>
        <v>1101.81</v>
      </c>
      <c r="Y33">
        <f t="shared" si="31"/>
        <v>639.44</v>
      </c>
      <c r="AA33">
        <v>55454919</v>
      </c>
      <c r="AB33">
        <f t="shared" si="32"/>
        <v>441.05</v>
      </c>
      <c r="AC33">
        <f>ROUND(((ES33*ROUND(0,7))),2)</f>
        <v>0</v>
      </c>
      <c r="AD33">
        <f>ROUND(((((ET33*ROUND(0.8,7)))-((EU33*ROUND(0.8,7))))+AE33),2)</f>
        <v>52.71</v>
      </c>
      <c r="AE33">
        <f>ROUND(((EU33*ROUND(0.8,7))),2)</f>
        <v>8.34</v>
      </c>
      <c r="AF33">
        <f>ROUND(((EV33*ROUND(0.8,7))),2)</f>
        <v>388.34</v>
      </c>
      <c r="AG33">
        <f t="shared" si="34"/>
        <v>0</v>
      </c>
      <c r="AH33">
        <f>((EW33*ROUND(0.8,7)))</f>
        <v>45.904</v>
      </c>
      <c r="AI33">
        <f>((EX33*ROUND(0.8,7)))</f>
        <v>0.7040000000000001</v>
      </c>
      <c r="AJ33">
        <f t="shared" si="36"/>
        <v>0</v>
      </c>
      <c r="AK33">
        <v>29413.36</v>
      </c>
      <c r="AL33">
        <v>28862.05</v>
      </c>
      <c r="AM33">
        <v>65.88</v>
      </c>
      <c r="AN33">
        <v>10.42</v>
      </c>
      <c r="AO33">
        <v>485.43</v>
      </c>
      <c r="AP33">
        <v>0</v>
      </c>
      <c r="AQ33">
        <v>57.38</v>
      </c>
      <c r="AR33">
        <v>0.88</v>
      </c>
      <c r="AS33">
        <v>0</v>
      </c>
      <c r="AT33">
        <v>112</v>
      </c>
      <c r="AU33">
        <v>65</v>
      </c>
      <c r="AV33">
        <v>1</v>
      </c>
      <c r="AW33">
        <v>1</v>
      </c>
      <c r="AZ33">
        <v>1</v>
      </c>
      <c r="BA33">
        <v>36.47</v>
      </c>
      <c r="BB33">
        <v>1</v>
      </c>
      <c r="BC33">
        <v>1</v>
      </c>
      <c r="BH33">
        <v>0</v>
      </c>
      <c r="BI33">
        <v>1</v>
      </c>
      <c r="BJ33" t="s">
        <v>39</v>
      </c>
      <c r="BM33">
        <v>11001</v>
      </c>
      <c r="BN33">
        <v>0</v>
      </c>
      <c r="BP33">
        <v>0</v>
      </c>
      <c r="BQ33">
        <v>2</v>
      </c>
      <c r="BR33">
        <v>0</v>
      </c>
      <c r="BS33">
        <v>36.47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112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40</v>
      </c>
      <c r="CO33">
        <v>0</v>
      </c>
      <c r="CP33">
        <f t="shared" si="37"/>
        <v>1093.8</v>
      </c>
      <c r="CQ33">
        <f t="shared" si="38"/>
        <v>0</v>
      </c>
      <c r="CR33">
        <f>((((ET33*ROUND(0.8,7)))*BB33-((EU33*ROUND(0.8,7))))+AE33)</f>
        <v>52.708</v>
      </c>
      <c r="CS33">
        <f t="shared" si="39"/>
        <v>8.34</v>
      </c>
      <c r="CT33">
        <f t="shared" si="40"/>
        <v>388.34</v>
      </c>
      <c r="CU33">
        <f t="shared" si="41"/>
        <v>0</v>
      </c>
      <c r="CV33">
        <f t="shared" si="42"/>
        <v>45.904</v>
      </c>
      <c r="CW33">
        <f t="shared" si="43"/>
        <v>0.7040000000000001</v>
      </c>
      <c r="CX33">
        <f t="shared" si="44"/>
        <v>0</v>
      </c>
      <c r="CY33">
        <f t="shared" si="45"/>
        <v>1101.8111999999999</v>
      </c>
      <c r="CZ33">
        <f t="shared" si="46"/>
        <v>639.444</v>
      </c>
      <c r="DD33" t="s">
        <v>41</v>
      </c>
      <c r="DE33" t="s">
        <v>42</v>
      </c>
      <c r="DF33" t="s">
        <v>42</v>
      </c>
      <c r="DG33" t="s">
        <v>42</v>
      </c>
      <c r="DI33" t="s">
        <v>42</v>
      </c>
      <c r="DJ33" t="s">
        <v>42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38</v>
      </c>
      <c r="DW33" t="s">
        <v>38</v>
      </c>
      <c r="DX33">
        <v>100</v>
      </c>
      <c r="EE33">
        <v>55471663</v>
      </c>
      <c r="EF33">
        <v>2</v>
      </c>
      <c r="EG33" t="s">
        <v>43</v>
      </c>
      <c r="EH33">
        <v>11</v>
      </c>
      <c r="EI33" t="s">
        <v>27</v>
      </c>
      <c r="EJ33">
        <v>1</v>
      </c>
      <c r="EK33">
        <v>11001</v>
      </c>
      <c r="EL33" t="s">
        <v>27</v>
      </c>
      <c r="EM33" t="s">
        <v>44</v>
      </c>
      <c r="EO33" t="s">
        <v>45</v>
      </c>
      <c r="EQ33">
        <v>0</v>
      </c>
      <c r="ER33">
        <v>29413.36</v>
      </c>
      <c r="ES33">
        <v>28862.05</v>
      </c>
      <c r="ET33">
        <v>65.88</v>
      </c>
      <c r="EU33">
        <v>10.42</v>
      </c>
      <c r="EV33">
        <v>485.43</v>
      </c>
      <c r="EW33">
        <v>57.38</v>
      </c>
      <c r="EX33">
        <v>0.88</v>
      </c>
      <c r="EY33">
        <v>0</v>
      </c>
      <c r="FQ33">
        <v>0</v>
      </c>
      <c r="FR33">
        <f t="shared" si="47"/>
        <v>0</v>
      </c>
      <c r="FS33">
        <v>0</v>
      </c>
      <c r="FX33">
        <v>112</v>
      </c>
      <c r="FY33">
        <v>65</v>
      </c>
      <c r="GD33">
        <v>1</v>
      </c>
      <c r="GF33">
        <v>520066536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8"/>
        <v>0</v>
      </c>
      <c r="GM33">
        <f t="shared" si="49"/>
        <v>2835.05</v>
      </c>
      <c r="GN33">
        <f t="shared" si="50"/>
        <v>2835.05</v>
      </c>
      <c r="GO33">
        <f t="shared" si="51"/>
        <v>0</v>
      </c>
      <c r="GP33">
        <f t="shared" si="52"/>
        <v>0</v>
      </c>
      <c r="GR33">
        <v>0</v>
      </c>
      <c r="GS33">
        <v>0</v>
      </c>
      <c r="GT33">
        <v>0</v>
      </c>
      <c r="GV33">
        <f t="shared" si="53"/>
        <v>0</v>
      </c>
      <c r="GW33">
        <v>1</v>
      </c>
      <c r="GX33">
        <f t="shared" si="54"/>
        <v>0</v>
      </c>
      <c r="HA33">
        <v>0</v>
      </c>
      <c r="HB33">
        <v>0</v>
      </c>
      <c r="HC33">
        <f t="shared" si="55"/>
        <v>0</v>
      </c>
      <c r="HI33">
        <f t="shared" si="56"/>
        <v>754.2</v>
      </c>
      <c r="HJ33">
        <f t="shared" si="57"/>
        <v>35123.53</v>
      </c>
      <c r="HK33">
        <f t="shared" si="58"/>
        <v>40183.06</v>
      </c>
      <c r="HL33">
        <f t="shared" si="59"/>
        <v>23320.52</v>
      </c>
      <c r="HN33" t="s">
        <v>46</v>
      </c>
      <c r="HO33" t="s">
        <v>47</v>
      </c>
      <c r="HP33" t="s">
        <v>27</v>
      </c>
      <c r="HQ33" t="s">
        <v>27</v>
      </c>
      <c r="IK33">
        <v>0</v>
      </c>
    </row>
    <row r="34" spans="1:255" ht="12.75">
      <c r="A34" s="2">
        <v>17</v>
      </c>
      <c r="B34" s="2">
        <v>1</v>
      </c>
      <c r="C34" s="2">
        <f>ROW(SmtRes!A28)</f>
        <v>28</v>
      </c>
      <c r="D34" s="2">
        <f>ROW(EtalonRes!A30)</f>
        <v>30</v>
      </c>
      <c r="E34" s="2" t="s">
        <v>48</v>
      </c>
      <c r="F34" s="2" t="s">
        <v>49</v>
      </c>
      <c r="G34" s="2" t="s">
        <v>50</v>
      </c>
      <c r="H34" s="2" t="s">
        <v>38</v>
      </c>
      <c r="I34" s="2">
        <f>ROUND(ROUND(276/100,2),7)</f>
        <v>2.76</v>
      </c>
      <c r="J34" s="2">
        <v>0</v>
      </c>
      <c r="K34" s="2">
        <f>ROUND(ROUND(276/100,2),7)</f>
        <v>2.76</v>
      </c>
      <c r="L34" s="2"/>
      <c r="M34" s="2"/>
      <c r="N34" s="2"/>
      <c r="O34" s="2">
        <f t="shared" si="21"/>
        <v>1142.37</v>
      </c>
      <c r="P34" s="2">
        <f t="shared" si="22"/>
        <v>0</v>
      </c>
      <c r="Q34" s="2">
        <f t="shared" si="23"/>
        <v>151.86</v>
      </c>
      <c r="R34" s="2">
        <f t="shared" si="24"/>
        <v>65.58</v>
      </c>
      <c r="S34" s="2">
        <f t="shared" si="25"/>
        <v>990.51</v>
      </c>
      <c r="T34" s="2">
        <f t="shared" si="26"/>
        <v>0</v>
      </c>
      <c r="U34" s="2">
        <f t="shared" si="27"/>
        <v>126.98759999999999</v>
      </c>
      <c r="V34" s="2">
        <f t="shared" si="28"/>
        <v>4.8576</v>
      </c>
      <c r="W34" s="2">
        <f t="shared" si="29"/>
        <v>0</v>
      </c>
      <c r="X34" s="2">
        <f t="shared" si="30"/>
        <v>961.04</v>
      </c>
      <c r="Y34" s="2">
        <f t="shared" si="31"/>
        <v>549.17</v>
      </c>
      <c r="Z34" s="2"/>
      <c r="AA34" s="2">
        <v>55454918</v>
      </c>
      <c r="AB34" s="2">
        <f t="shared" si="32"/>
        <v>413.9</v>
      </c>
      <c r="AC34" s="2">
        <f aca="true" t="shared" si="60" ref="AC34:AC41">ROUND((ES34),2)</f>
        <v>0</v>
      </c>
      <c r="AD34" s="2">
        <f aca="true" t="shared" si="61" ref="AD34:AD41">ROUND((((ET34)-(EU34))+AE34),2)</f>
        <v>55.02</v>
      </c>
      <c r="AE34" s="2">
        <f aca="true" t="shared" si="62" ref="AE34:AF41">ROUND((EU34),2)</f>
        <v>23.76</v>
      </c>
      <c r="AF34" s="2">
        <f t="shared" si="62"/>
        <v>358.88</v>
      </c>
      <c r="AG34" s="2">
        <f t="shared" si="34"/>
        <v>0</v>
      </c>
      <c r="AH34" s="2">
        <f aca="true" t="shared" si="63" ref="AH34:AI41">(EW34)</f>
        <v>46.01</v>
      </c>
      <c r="AI34" s="2">
        <f t="shared" si="63"/>
        <v>1.76</v>
      </c>
      <c r="AJ34" s="2">
        <f t="shared" si="36"/>
        <v>0</v>
      </c>
      <c r="AK34" s="2">
        <v>413.9</v>
      </c>
      <c r="AL34" s="2">
        <v>0</v>
      </c>
      <c r="AM34" s="2">
        <v>55.02</v>
      </c>
      <c r="AN34" s="2">
        <v>23.76</v>
      </c>
      <c r="AO34" s="2">
        <v>358.88</v>
      </c>
      <c r="AP34" s="2">
        <v>0</v>
      </c>
      <c r="AQ34" s="2">
        <v>46.01</v>
      </c>
      <c r="AR34" s="2">
        <v>1.76</v>
      </c>
      <c r="AS34" s="2">
        <v>0</v>
      </c>
      <c r="AT34" s="2">
        <v>91</v>
      </c>
      <c r="AU34" s="2">
        <v>52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51</v>
      </c>
      <c r="BK34" s="2"/>
      <c r="BL34" s="2"/>
      <c r="BM34" s="2">
        <v>46003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91</v>
      </c>
      <c r="CA34" s="2">
        <v>52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7"/>
        <v>1142.37</v>
      </c>
      <c r="CQ34" s="2">
        <f t="shared" si="38"/>
        <v>0</v>
      </c>
      <c r="CR34" s="2">
        <f aca="true" t="shared" si="64" ref="CR34:CR41">(((ET34)*BB34-(EU34))+AE34)</f>
        <v>55.02</v>
      </c>
      <c r="CS34" s="2">
        <f t="shared" si="39"/>
        <v>23.76</v>
      </c>
      <c r="CT34" s="2">
        <f t="shared" si="40"/>
        <v>358.88</v>
      </c>
      <c r="CU34" s="2">
        <f t="shared" si="41"/>
        <v>0</v>
      </c>
      <c r="CV34" s="2">
        <f t="shared" si="42"/>
        <v>46.01</v>
      </c>
      <c r="CW34" s="2">
        <f t="shared" si="43"/>
        <v>1.76</v>
      </c>
      <c r="CX34" s="2">
        <f t="shared" si="44"/>
        <v>0</v>
      </c>
      <c r="CY34" s="2">
        <f t="shared" si="45"/>
        <v>961.0418999999998</v>
      </c>
      <c r="CZ34" s="2">
        <f t="shared" si="46"/>
        <v>549.1668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1005</v>
      </c>
      <c r="DV34" s="2" t="s">
        <v>38</v>
      </c>
      <c r="DW34" s="2" t="s">
        <v>38</v>
      </c>
      <c r="DX34" s="2">
        <v>100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55471980</v>
      </c>
      <c r="EF34" s="2">
        <v>2</v>
      </c>
      <c r="EG34" s="2" t="s">
        <v>43</v>
      </c>
      <c r="EH34" s="2">
        <v>40</v>
      </c>
      <c r="EI34" s="2" t="s">
        <v>52</v>
      </c>
      <c r="EJ34" s="2">
        <v>1</v>
      </c>
      <c r="EK34" s="2">
        <v>46003</v>
      </c>
      <c r="EL34" s="2" t="s">
        <v>53</v>
      </c>
      <c r="EM34" s="2" t="s">
        <v>54</v>
      </c>
      <c r="EN34" s="2"/>
      <c r="EO34" s="2" t="s">
        <v>3</v>
      </c>
      <c r="EP34" s="2"/>
      <c r="EQ34" s="2">
        <v>0</v>
      </c>
      <c r="ER34" s="2">
        <v>413.9</v>
      </c>
      <c r="ES34" s="2">
        <v>0</v>
      </c>
      <c r="ET34" s="2">
        <v>55.02</v>
      </c>
      <c r="EU34" s="2">
        <v>23.76</v>
      </c>
      <c r="EV34" s="2">
        <v>358.88</v>
      </c>
      <c r="EW34" s="2">
        <v>46.01</v>
      </c>
      <c r="EX34" s="2">
        <v>1.76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7"/>
        <v>0</v>
      </c>
      <c r="FS34" s="2">
        <v>0</v>
      </c>
      <c r="FT34" s="2"/>
      <c r="FU34" s="2"/>
      <c r="FV34" s="2"/>
      <c r="FW34" s="2"/>
      <c r="FX34" s="2">
        <v>91</v>
      </c>
      <c r="FY34" s="2">
        <v>52</v>
      </c>
      <c r="FZ34" s="2"/>
      <c r="GA34" s="2" t="s">
        <v>3</v>
      </c>
      <c r="GB34" s="2"/>
      <c r="GC34" s="2"/>
      <c r="GD34" s="2">
        <v>1</v>
      </c>
      <c r="GE34" s="2"/>
      <c r="GF34" s="2">
        <v>-658716567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8"/>
        <v>0</v>
      </c>
      <c r="GM34" s="2">
        <f t="shared" si="49"/>
        <v>2652.58</v>
      </c>
      <c r="GN34" s="2">
        <f t="shared" si="50"/>
        <v>2652.58</v>
      </c>
      <c r="GO34" s="2">
        <f t="shared" si="51"/>
        <v>0</v>
      </c>
      <c r="GP34" s="2">
        <f t="shared" si="52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3"/>
        <v>0</v>
      </c>
      <c r="GW34" s="2">
        <v>1</v>
      </c>
      <c r="GX34" s="2">
        <f t="shared" si="54"/>
        <v>0</v>
      </c>
      <c r="GY34" s="2"/>
      <c r="GZ34" s="2"/>
      <c r="HA34" s="2">
        <v>0</v>
      </c>
      <c r="HB34" s="2">
        <v>0</v>
      </c>
      <c r="HC34" s="2">
        <f t="shared" si="55"/>
        <v>0</v>
      </c>
      <c r="HD34" s="2"/>
      <c r="HE34" s="2" t="s">
        <v>3</v>
      </c>
      <c r="HF34" s="2" t="s">
        <v>3</v>
      </c>
      <c r="HG34" s="2"/>
      <c r="HH34" s="2"/>
      <c r="HI34" s="2">
        <f t="shared" si="56"/>
        <v>65.58</v>
      </c>
      <c r="HJ34" s="2">
        <f t="shared" si="57"/>
        <v>990.51</v>
      </c>
      <c r="HK34" s="2">
        <f t="shared" si="58"/>
        <v>961.04</v>
      </c>
      <c r="HL34" s="2">
        <f t="shared" si="59"/>
        <v>549.17</v>
      </c>
      <c r="HM34" s="2" t="s">
        <v>3</v>
      </c>
      <c r="HN34" s="2" t="s">
        <v>55</v>
      </c>
      <c r="HO34" s="2" t="s">
        <v>56</v>
      </c>
      <c r="HP34" s="2" t="s">
        <v>53</v>
      </c>
      <c r="HQ34" s="2" t="s">
        <v>53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17</v>
      </c>
      <c r="B35">
        <v>1</v>
      </c>
      <c r="C35">
        <f>ROW(SmtRes!A32)</f>
        <v>32</v>
      </c>
      <c r="D35">
        <f>ROW(EtalonRes!A34)</f>
        <v>34</v>
      </c>
      <c r="E35" t="s">
        <v>48</v>
      </c>
      <c r="F35" t="s">
        <v>49</v>
      </c>
      <c r="G35" t="s">
        <v>50</v>
      </c>
      <c r="H35" t="s">
        <v>38</v>
      </c>
      <c r="I35">
        <f>ROUND(ROUND(276/100,2),7)</f>
        <v>2.76</v>
      </c>
      <c r="J35">
        <v>0</v>
      </c>
      <c r="K35">
        <f>ROUND(ROUND(276/100,2),7)</f>
        <v>2.76</v>
      </c>
      <c r="O35">
        <f t="shared" si="21"/>
        <v>1142.37</v>
      </c>
      <c r="P35">
        <f t="shared" si="22"/>
        <v>0</v>
      </c>
      <c r="Q35">
        <f t="shared" si="23"/>
        <v>151.86</v>
      </c>
      <c r="R35">
        <f t="shared" si="24"/>
        <v>65.58</v>
      </c>
      <c r="S35">
        <f t="shared" si="25"/>
        <v>990.51</v>
      </c>
      <c r="T35">
        <f t="shared" si="26"/>
        <v>0</v>
      </c>
      <c r="U35">
        <f t="shared" si="27"/>
        <v>126.98759999999999</v>
      </c>
      <c r="V35">
        <f t="shared" si="28"/>
        <v>4.8576</v>
      </c>
      <c r="W35">
        <f t="shared" si="29"/>
        <v>0</v>
      </c>
      <c r="X35">
        <f t="shared" si="30"/>
        <v>961.04</v>
      </c>
      <c r="Y35">
        <f t="shared" si="31"/>
        <v>549.17</v>
      </c>
      <c r="AA35">
        <v>55454919</v>
      </c>
      <c r="AB35">
        <f t="shared" si="32"/>
        <v>413.9</v>
      </c>
      <c r="AC35">
        <f t="shared" si="60"/>
        <v>0</v>
      </c>
      <c r="AD35">
        <f t="shared" si="61"/>
        <v>55.02</v>
      </c>
      <c r="AE35">
        <f t="shared" si="62"/>
        <v>23.76</v>
      </c>
      <c r="AF35">
        <f t="shared" si="62"/>
        <v>358.88</v>
      </c>
      <c r="AG35">
        <f t="shared" si="34"/>
        <v>0</v>
      </c>
      <c r="AH35">
        <f t="shared" si="63"/>
        <v>46.01</v>
      </c>
      <c r="AI35">
        <f t="shared" si="63"/>
        <v>1.76</v>
      </c>
      <c r="AJ35">
        <f t="shared" si="36"/>
        <v>0</v>
      </c>
      <c r="AK35">
        <v>413.9</v>
      </c>
      <c r="AL35">
        <v>0</v>
      </c>
      <c r="AM35">
        <v>55.02</v>
      </c>
      <c r="AN35">
        <v>23.76</v>
      </c>
      <c r="AO35">
        <v>358.88</v>
      </c>
      <c r="AP35">
        <v>0</v>
      </c>
      <c r="AQ35">
        <v>46.01</v>
      </c>
      <c r="AR35">
        <v>1.76</v>
      </c>
      <c r="AS35">
        <v>0</v>
      </c>
      <c r="AT35">
        <v>91</v>
      </c>
      <c r="AU35">
        <v>52</v>
      </c>
      <c r="AV35">
        <v>1</v>
      </c>
      <c r="AW35">
        <v>1</v>
      </c>
      <c r="AZ35">
        <v>1</v>
      </c>
      <c r="BA35">
        <v>36.47</v>
      </c>
      <c r="BB35">
        <v>1</v>
      </c>
      <c r="BC35">
        <v>1</v>
      </c>
      <c r="BH35">
        <v>0</v>
      </c>
      <c r="BI35">
        <v>1</v>
      </c>
      <c r="BJ35" t="s">
        <v>51</v>
      </c>
      <c r="BM35">
        <v>46003</v>
      </c>
      <c r="BN35">
        <v>0</v>
      </c>
      <c r="BP35">
        <v>0</v>
      </c>
      <c r="BQ35">
        <v>2</v>
      </c>
      <c r="BR35">
        <v>0</v>
      </c>
      <c r="BS35">
        <v>36.47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91</v>
      </c>
      <c r="CA35">
        <v>52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37"/>
        <v>1142.37</v>
      </c>
      <c r="CQ35">
        <f t="shared" si="38"/>
        <v>0</v>
      </c>
      <c r="CR35">
        <f t="shared" si="64"/>
        <v>55.02</v>
      </c>
      <c r="CS35">
        <f t="shared" si="39"/>
        <v>23.76</v>
      </c>
      <c r="CT35">
        <f t="shared" si="40"/>
        <v>358.88</v>
      </c>
      <c r="CU35">
        <f t="shared" si="41"/>
        <v>0</v>
      </c>
      <c r="CV35">
        <f t="shared" si="42"/>
        <v>46.01</v>
      </c>
      <c r="CW35">
        <f t="shared" si="43"/>
        <v>1.76</v>
      </c>
      <c r="CX35">
        <f t="shared" si="44"/>
        <v>0</v>
      </c>
      <c r="CY35">
        <f t="shared" si="45"/>
        <v>961.0418999999998</v>
      </c>
      <c r="CZ35">
        <f t="shared" si="46"/>
        <v>549.1668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38</v>
      </c>
      <c r="DW35" t="s">
        <v>38</v>
      </c>
      <c r="DX35">
        <v>100</v>
      </c>
      <c r="EE35">
        <v>55471980</v>
      </c>
      <c r="EF35">
        <v>2</v>
      </c>
      <c r="EG35" t="s">
        <v>43</v>
      </c>
      <c r="EH35">
        <v>40</v>
      </c>
      <c r="EI35" t="s">
        <v>52</v>
      </c>
      <c r="EJ35">
        <v>1</v>
      </c>
      <c r="EK35">
        <v>46003</v>
      </c>
      <c r="EL35" t="s">
        <v>53</v>
      </c>
      <c r="EM35" t="s">
        <v>54</v>
      </c>
      <c r="EQ35">
        <v>0</v>
      </c>
      <c r="ER35">
        <v>413.9</v>
      </c>
      <c r="ES35">
        <v>0</v>
      </c>
      <c r="ET35">
        <v>55.02</v>
      </c>
      <c r="EU35">
        <v>23.76</v>
      </c>
      <c r="EV35">
        <v>358.88</v>
      </c>
      <c r="EW35">
        <v>46.01</v>
      </c>
      <c r="EX35">
        <v>1.76</v>
      </c>
      <c r="EY35">
        <v>0</v>
      </c>
      <c r="FQ35">
        <v>0</v>
      </c>
      <c r="FR35">
        <f t="shared" si="47"/>
        <v>0</v>
      </c>
      <c r="FS35">
        <v>0</v>
      </c>
      <c r="FX35">
        <v>91</v>
      </c>
      <c r="FY35">
        <v>52</v>
      </c>
      <c r="GD35">
        <v>1</v>
      </c>
      <c r="GF35">
        <v>-658716567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8"/>
        <v>0</v>
      </c>
      <c r="GM35">
        <f t="shared" si="49"/>
        <v>2652.58</v>
      </c>
      <c r="GN35">
        <f t="shared" si="50"/>
        <v>2652.58</v>
      </c>
      <c r="GO35">
        <f t="shared" si="51"/>
        <v>0</v>
      </c>
      <c r="GP35">
        <f t="shared" si="52"/>
        <v>0</v>
      </c>
      <c r="GR35">
        <v>0</v>
      </c>
      <c r="GS35">
        <v>0</v>
      </c>
      <c r="GT35">
        <v>0</v>
      </c>
      <c r="GV35">
        <f t="shared" si="53"/>
        <v>0</v>
      </c>
      <c r="GW35">
        <v>1</v>
      </c>
      <c r="GX35">
        <f t="shared" si="54"/>
        <v>0</v>
      </c>
      <c r="HA35">
        <v>0</v>
      </c>
      <c r="HB35">
        <v>0</v>
      </c>
      <c r="HC35">
        <f t="shared" si="55"/>
        <v>0</v>
      </c>
      <c r="HI35">
        <f t="shared" si="56"/>
        <v>2391.7</v>
      </c>
      <c r="HJ35">
        <f t="shared" si="57"/>
        <v>36123.9</v>
      </c>
      <c r="HK35">
        <f t="shared" si="58"/>
        <v>35049.2</v>
      </c>
      <c r="HL35">
        <f t="shared" si="59"/>
        <v>20028.11</v>
      </c>
      <c r="HN35" t="s">
        <v>55</v>
      </c>
      <c r="HO35" t="s">
        <v>56</v>
      </c>
      <c r="HP35" t="s">
        <v>53</v>
      </c>
      <c r="HQ35" t="s">
        <v>53</v>
      </c>
      <c r="IK35">
        <v>0</v>
      </c>
    </row>
    <row r="36" spans="1:255" ht="12.75">
      <c r="A36" s="2">
        <v>18</v>
      </c>
      <c r="B36" s="2">
        <v>1</v>
      </c>
      <c r="C36" s="2">
        <v>28</v>
      </c>
      <c r="D36" s="2"/>
      <c r="E36" s="2" t="s">
        <v>57</v>
      </c>
      <c r="F36" s="2" t="s">
        <v>32</v>
      </c>
      <c r="G36" s="2" t="s">
        <v>33</v>
      </c>
      <c r="H36" s="2" t="s">
        <v>34</v>
      </c>
      <c r="I36" s="2">
        <f>I34*J36</f>
        <v>7.728</v>
      </c>
      <c r="J36" s="2">
        <v>2.8000000000000003</v>
      </c>
      <c r="K36" s="2">
        <v>2.8</v>
      </c>
      <c r="L36" s="2"/>
      <c r="M36" s="2"/>
      <c r="N36" s="2"/>
      <c r="O36" s="2">
        <f t="shared" si="21"/>
        <v>0</v>
      </c>
      <c r="P36" s="2">
        <f t="shared" si="22"/>
        <v>0</v>
      </c>
      <c r="Q36" s="2">
        <f t="shared" si="23"/>
        <v>0</v>
      </c>
      <c r="R36" s="2">
        <f t="shared" si="24"/>
        <v>0</v>
      </c>
      <c r="S36" s="2">
        <f t="shared" si="25"/>
        <v>0</v>
      </c>
      <c r="T36" s="2">
        <f t="shared" si="26"/>
        <v>0</v>
      </c>
      <c r="U36" s="2">
        <f t="shared" si="27"/>
        <v>0</v>
      </c>
      <c r="V36" s="2">
        <f t="shared" si="28"/>
        <v>0</v>
      </c>
      <c r="W36" s="2">
        <f t="shared" si="29"/>
        <v>0</v>
      </c>
      <c r="X36" s="2">
        <f t="shared" si="30"/>
        <v>0</v>
      </c>
      <c r="Y36" s="2">
        <f t="shared" si="31"/>
        <v>0</v>
      </c>
      <c r="Z36" s="2"/>
      <c r="AA36" s="2">
        <v>55454918</v>
      </c>
      <c r="AB36" s="2">
        <f t="shared" si="32"/>
        <v>0</v>
      </c>
      <c r="AC36" s="2">
        <f t="shared" si="60"/>
        <v>0</v>
      </c>
      <c r="AD36" s="2">
        <f t="shared" si="61"/>
        <v>0</v>
      </c>
      <c r="AE36" s="2">
        <f t="shared" si="62"/>
        <v>0</v>
      </c>
      <c r="AF36" s="2">
        <f t="shared" si="62"/>
        <v>0</v>
      </c>
      <c r="AG36" s="2">
        <f t="shared" si="34"/>
        <v>0</v>
      </c>
      <c r="AH36" s="2">
        <f t="shared" si="63"/>
        <v>0</v>
      </c>
      <c r="AI36" s="2">
        <f t="shared" si="63"/>
        <v>0</v>
      </c>
      <c r="AJ36" s="2">
        <f t="shared" si="36"/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91</v>
      </c>
      <c r="AU36" s="2">
        <v>52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3</v>
      </c>
      <c r="BK36" s="2"/>
      <c r="BL36" s="2"/>
      <c r="BM36" s="2">
        <v>46003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91</v>
      </c>
      <c r="CA36" s="2">
        <v>52</v>
      </c>
      <c r="CB36" s="2" t="s">
        <v>3</v>
      </c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7"/>
        <v>0</v>
      </c>
      <c r="CQ36" s="2">
        <f t="shared" si="38"/>
        <v>0</v>
      </c>
      <c r="CR36" s="2">
        <f t="shared" si="64"/>
        <v>0</v>
      </c>
      <c r="CS36" s="2">
        <f t="shared" si="39"/>
        <v>0</v>
      </c>
      <c r="CT36" s="2">
        <f t="shared" si="40"/>
        <v>0</v>
      </c>
      <c r="CU36" s="2">
        <f t="shared" si="41"/>
        <v>0</v>
      </c>
      <c r="CV36" s="2">
        <f t="shared" si="42"/>
        <v>0</v>
      </c>
      <c r="CW36" s="2">
        <f t="shared" si="43"/>
        <v>0</v>
      </c>
      <c r="CX36" s="2">
        <f t="shared" si="44"/>
        <v>0</v>
      </c>
      <c r="CY36" s="2">
        <f t="shared" si="45"/>
        <v>0</v>
      </c>
      <c r="CZ36" s="2">
        <f t="shared" si="46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34</v>
      </c>
      <c r="DW36" s="2" t="s">
        <v>34</v>
      </c>
      <c r="DX36" s="2">
        <v>1000</v>
      </c>
      <c r="DY36" s="2"/>
      <c r="DZ36" s="2" t="s">
        <v>3</v>
      </c>
      <c r="EA36" s="2" t="s">
        <v>3</v>
      </c>
      <c r="EB36" s="2" t="s">
        <v>3</v>
      </c>
      <c r="EC36" s="2" t="s">
        <v>3</v>
      </c>
      <c r="ED36" s="2"/>
      <c r="EE36" s="2">
        <v>55471980</v>
      </c>
      <c r="EF36" s="2">
        <v>2</v>
      </c>
      <c r="EG36" s="2" t="s">
        <v>43</v>
      </c>
      <c r="EH36" s="2">
        <v>40</v>
      </c>
      <c r="EI36" s="2" t="s">
        <v>52</v>
      </c>
      <c r="EJ36" s="2">
        <v>1</v>
      </c>
      <c r="EK36" s="2">
        <v>46003</v>
      </c>
      <c r="EL36" s="2" t="s">
        <v>53</v>
      </c>
      <c r="EM36" s="2" t="s">
        <v>54</v>
      </c>
      <c r="EN36" s="2"/>
      <c r="EO36" s="2" t="s">
        <v>3</v>
      </c>
      <c r="EP36" s="2"/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7"/>
        <v>0</v>
      </c>
      <c r="FS36" s="2">
        <v>0</v>
      </c>
      <c r="FT36" s="2"/>
      <c r="FU36" s="2"/>
      <c r="FV36" s="2"/>
      <c r="FW36" s="2"/>
      <c r="FX36" s="2">
        <v>91</v>
      </c>
      <c r="FY36" s="2">
        <v>52</v>
      </c>
      <c r="FZ36" s="2"/>
      <c r="GA36" s="2" t="s">
        <v>3</v>
      </c>
      <c r="GB36" s="2"/>
      <c r="GC36" s="2"/>
      <c r="GD36" s="2">
        <v>1</v>
      </c>
      <c r="GE36" s="2"/>
      <c r="GF36" s="2">
        <v>2102561428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8"/>
        <v>0</v>
      </c>
      <c r="GM36" s="2">
        <f t="shared" si="49"/>
        <v>0</v>
      </c>
      <c r="GN36" s="2">
        <f t="shared" si="50"/>
        <v>0</v>
      </c>
      <c r="GO36" s="2">
        <f t="shared" si="51"/>
        <v>0</v>
      </c>
      <c r="GP36" s="2">
        <f t="shared" si="52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3"/>
        <v>0</v>
      </c>
      <c r="GW36" s="2">
        <v>1</v>
      </c>
      <c r="GX36" s="2">
        <f t="shared" si="54"/>
        <v>0</v>
      </c>
      <c r="GY36" s="2"/>
      <c r="GZ36" s="2"/>
      <c r="HA36" s="2">
        <v>0</v>
      </c>
      <c r="HB36" s="2">
        <v>0</v>
      </c>
      <c r="HC36" s="2">
        <f t="shared" si="55"/>
        <v>0</v>
      </c>
      <c r="HD36" s="2"/>
      <c r="HE36" s="2" t="s">
        <v>3</v>
      </c>
      <c r="HF36" s="2" t="s">
        <v>3</v>
      </c>
      <c r="HG36" s="2"/>
      <c r="HH36" s="2"/>
      <c r="HI36" s="2">
        <f t="shared" si="56"/>
        <v>0</v>
      </c>
      <c r="HJ36" s="2">
        <f t="shared" si="57"/>
        <v>0</v>
      </c>
      <c r="HK36" s="2">
        <f t="shared" si="58"/>
        <v>0</v>
      </c>
      <c r="HL36" s="2">
        <f t="shared" si="59"/>
        <v>0</v>
      </c>
      <c r="HM36" s="2" t="s">
        <v>3</v>
      </c>
      <c r="HN36" s="2" t="s">
        <v>55</v>
      </c>
      <c r="HO36" s="2" t="s">
        <v>56</v>
      </c>
      <c r="HP36" s="2" t="s">
        <v>53</v>
      </c>
      <c r="HQ36" s="2" t="s">
        <v>53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45" ht="12.75">
      <c r="A37">
        <v>18</v>
      </c>
      <c r="B37">
        <v>1</v>
      </c>
      <c r="C37">
        <v>32</v>
      </c>
      <c r="E37" t="s">
        <v>57</v>
      </c>
      <c r="F37" t="s">
        <v>32</v>
      </c>
      <c r="G37" t="s">
        <v>33</v>
      </c>
      <c r="H37" t="s">
        <v>34</v>
      </c>
      <c r="I37">
        <f>I35*J37</f>
        <v>7.728</v>
      </c>
      <c r="J37">
        <v>2.8000000000000003</v>
      </c>
      <c r="K37">
        <v>2.8</v>
      </c>
      <c r="O37">
        <f t="shared" si="21"/>
        <v>0</v>
      </c>
      <c r="P37">
        <f t="shared" si="22"/>
        <v>0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55454919</v>
      </c>
      <c r="AB37">
        <f t="shared" si="32"/>
        <v>0</v>
      </c>
      <c r="AC37">
        <f t="shared" si="60"/>
        <v>0</v>
      </c>
      <c r="AD37">
        <f t="shared" si="61"/>
        <v>0</v>
      </c>
      <c r="AE37">
        <f t="shared" si="62"/>
        <v>0</v>
      </c>
      <c r="AF37">
        <f t="shared" si="62"/>
        <v>0</v>
      </c>
      <c r="AG37">
        <f t="shared" si="34"/>
        <v>0</v>
      </c>
      <c r="AH37">
        <f t="shared" si="63"/>
        <v>0</v>
      </c>
      <c r="AI37">
        <f t="shared" si="63"/>
        <v>0</v>
      </c>
      <c r="AJ37">
        <f t="shared" si="36"/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91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3</v>
      </c>
      <c r="BI37">
        <v>1</v>
      </c>
      <c r="BM37">
        <v>46003</v>
      </c>
      <c r="BN37">
        <v>0</v>
      </c>
      <c r="BP37">
        <v>0</v>
      </c>
      <c r="BQ37">
        <v>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91</v>
      </c>
      <c r="CA37">
        <v>52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37"/>
        <v>0</v>
      </c>
      <c r="CQ37">
        <f t="shared" si="38"/>
        <v>0</v>
      </c>
      <c r="CR37">
        <f t="shared" si="64"/>
        <v>0</v>
      </c>
      <c r="CS37">
        <f t="shared" si="39"/>
        <v>0</v>
      </c>
      <c r="CT37">
        <f t="shared" si="40"/>
        <v>0</v>
      </c>
      <c r="CU37">
        <f t="shared" si="41"/>
        <v>0</v>
      </c>
      <c r="CV37">
        <f t="shared" si="42"/>
        <v>0</v>
      </c>
      <c r="CW37">
        <f t="shared" si="43"/>
        <v>0</v>
      </c>
      <c r="CX37">
        <f t="shared" si="44"/>
        <v>0</v>
      </c>
      <c r="CY37">
        <f t="shared" si="45"/>
        <v>0</v>
      </c>
      <c r="CZ37">
        <f t="shared" si="46"/>
        <v>0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34</v>
      </c>
      <c r="DW37" t="s">
        <v>34</v>
      </c>
      <c r="DX37">
        <v>1000</v>
      </c>
      <c r="EE37">
        <v>55471980</v>
      </c>
      <c r="EF37">
        <v>2</v>
      </c>
      <c r="EG37" t="s">
        <v>43</v>
      </c>
      <c r="EH37">
        <v>40</v>
      </c>
      <c r="EI37" t="s">
        <v>52</v>
      </c>
      <c r="EJ37">
        <v>1</v>
      </c>
      <c r="EK37">
        <v>46003</v>
      </c>
      <c r="EL37" t="s">
        <v>53</v>
      </c>
      <c r="EM37" t="s">
        <v>54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7"/>
        <v>0</v>
      </c>
      <c r="FS37">
        <v>0</v>
      </c>
      <c r="FX37">
        <v>91</v>
      </c>
      <c r="FY37">
        <v>52</v>
      </c>
      <c r="GD37">
        <v>1</v>
      </c>
      <c r="GF37">
        <v>2102561428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8"/>
        <v>0</v>
      </c>
      <c r="GM37">
        <f t="shared" si="49"/>
        <v>0</v>
      </c>
      <c r="GN37">
        <f t="shared" si="50"/>
        <v>0</v>
      </c>
      <c r="GO37">
        <f t="shared" si="51"/>
        <v>0</v>
      </c>
      <c r="GP37">
        <f t="shared" si="52"/>
        <v>0</v>
      </c>
      <c r="GR37">
        <v>0</v>
      </c>
      <c r="GS37">
        <v>0</v>
      </c>
      <c r="GT37">
        <v>0</v>
      </c>
      <c r="GV37">
        <f t="shared" si="53"/>
        <v>0</v>
      </c>
      <c r="GW37">
        <v>1</v>
      </c>
      <c r="GX37">
        <f t="shared" si="54"/>
        <v>0</v>
      </c>
      <c r="HA37">
        <v>0</v>
      </c>
      <c r="HB37">
        <v>0</v>
      </c>
      <c r="HC37">
        <f t="shared" si="55"/>
        <v>0</v>
      </c>
      <c r="HI37">
        <f t="shared" si="56"/>
        <v>0</v>
      </c>
      <c r="HJ37">
        <f t="shared" si="57"/>
        <v>0</v>
      </c>
      <c r="HK37">
        <f t="shared" si="58"/>
        <v>0</v>
      </c>
      <c r="HL37">
        <f t="shared" si="59"/>
        <v>0</v>
      </c>
      <c r="HN37" t="s">
        <v>55</v>
      </c>
      <c r="HO37" t="s">
        <v>56</v>
      </c>
      <c r="HP37" t="s">
        <v>53</v>
      </c>
      <c r="HQ37" t="s">
        <v>53</v>
      </c>
      <c r="IK37">
        <v>0</v>
      </c>
    </row>
    <row r="38" spans="1:255" ht="12.75">
      <c r="A38" s="2">
        <v>17</v>
      </c>
      <c r="B38" s="2">
        <v>1</v>
      </c>
      <c r="C38" s="2">
        <f>ROW(SmtRes!A38)</f>
        <v>38</v>
      </c>
      <c r="D38" s="2">
        <f>ROW(EtalonRes!A40)</f>
        <v>40</v>
      </c>
      <c r="E38" s="2" t="s">
        <v>58</v>
      </c>
      <c r="F38" s="2" t="s">
        <v>59</v>
      </c>
      <c r="G38" s="2" t="s">
        <v>60</v>
      </c>
      <c r="H38" s="2" t="s">
        <v>38</v>
      </c>
      <c r="I38" s="2">
        <f>ROUND(ROUND(523/100,2),7)</f>
        <v>5.23</v>
      </c>
      <c r="J38" s="2">
        <v>0</v>
      </c>
      <c r="K38" s="2">
        <f>ROUND(ROUND(523/100,2),7)</f>
        <v>5.23</v>
      </c>
      <c r="L38" s="2"/>
      <c r="M38" s="2"/>
      <c r="N38" s="2"/>
      <c r="O38" s="2">
        <f t="shared" si="21"/>
        <v>10463.71</v>
      </c>
      <c r="P38" s="2">
        <f t="shared" si="22"/>
        <v>0</v>
      </c>
      <c r="Q38" s="2">
        <f t="shared" si="23"/>
        <v>5502.85</v>
      </c>
      <c r="R38" s="2">
        <f t="shared" si="24"/>
        <v>127.09</v>
      </c>
      <c r="S38" s="2">
        <f t="shared" si="25"/>
        <v>4960.86</v>
      </c>
      <c r="T38" s="2">
        <f t="shared" si="26"/>
        <v>0</v>
      </c>
      <c r="U38" s="2">
        <f t="shared" si="27"/>
        <v>581.576</v>
      </c>
      <c r="V38" s="2">
        <f t="shared" si="28"/>
        <v>9.414000000000001</v>
      </c>
      <c r="W38" s="2">
        <f t="shared" si="29"/>
        <v>0</v>
      </c>
      <c r="X38" s="2">
        <f t="shared" si="30"/>
        <v>4528.28</v>
      </c>
      <c r="Y38" s="2">
        <f t="shared" si="31"/>
        <v>2493.1</v>
      </c>
      <c r="Z38" s="2"/>
      <c r="AA38" s="2">
        <v>55454918</v>
      </c>
      <c r="AB38" s="2">
        <f t="shared" si="32"/>
        <v>2000.71</v>
      </c>
      <c r="AC38" s="2">
        <f t="shared" si="60"/>
        <v>0</v>
      </c>
      <c r="AD38" s="2">
        <f t="shared" si="61"/>
        <v>1052.17</v>
      </c>
      <c r="AE38" s="2">
        <f t="shared" si="62"/>
        <v>24.3</v>
      </c>
      <c r="AF38" s="2">
        <f t="shared" si="62"/>
        <v>948.54</v>
      </c>
      <c r="AG38" s="2">
        <f t="shared" si="34"/>
        <v>0</v>
      </c>
      <c r="AH38" s="2">
        <f t="shared" si="63"/>
        <v>111.2</v>
      </c>
      <c r="AI38" s="2">
        <f t="shared" si="63"/>
        <v>1.8</v>
      </c>
      <c r="AJ38" s="2">
        <f t="shared" si="36"/>
        <v>0</v>
      </c>
      <c r="AK38" s="2">
        <v>2000.71</v>
      </c>
      <c r="AL38" s="2">
        <v>0</v>
      </c>
      <c r="AM38" s="2">
        <v>1052.17</v>
      </c>
      <c r="AN38" s="2">
        <v>24.3</v>
      </c>
      <c r="AO38" s="2">
        <v>948.54</v>
      </c>
      <c r="AP38" s="2">
        <v>0</v>
      </c>
      <c r="AQ38" s="2">
        <v>111.2</v>
      </c>
      <c r="AR38" s="2">
        <v>1.8</v>
      </c>
      <c r="AS38" s="2">
        <v>0</v>
      </c>
      <c r="AT38" s="2">
        <v>89</v>
      </c>
      <c r="AU38" s="2">
        <v>49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61</v>
      </c>
      <c r="BK38" s="2"/>
      <c r="BL38" s="2"/>
      <c r="BM38" s="2">
        <v>57001</v>
      </c>
      <c r="BN38" s="2">
        <v>0</v>
      </c>
      <c r="BO38" s="2" t="s">
        <v>3</v>
      </c>
      <c r="BP38" s="2">
        <v>0</v>
      </c>
      <c r="BQ38" s="2">
        <v>6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89</v>
      </c>
      <c r="CA38" s="2">
        <v>49</v>
      </c>
      <c r="CB38" s="2" t="s">
        <v>3</v>
      </c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7"/>
        <v>10463.71</v>
      </c>
      <c r="CQ38" s="2">
        <f t="shared" si="38"/>
        <v>0</v>
      </c>
      <c r="CR38" s="2">
        <f t="shared" si="64"/>
        <v>1052.17</v>
      </c>
      <c r="CS38" s="2">
        <f t="shared" si="39"/>
        <v>24.3</v>
      </c>
      <c r="CT38" s="2">
        <f t="shared" si="40"/>
        <v>948.54</v>
      </c>
      <c r="CU38" s="2">
        <f t="shared" si="41"/>
        <v>0</v>
      </c>
      <c r="CV38" s="2">
        <f t="shared" si="42"/>
        <v>111.2</v>
      </c>
      <c r="CW38" s="2">
        <f t="shared" si="43"/>
        <v>1.8</v>
      </c>
      <c r="CX38" s="2">
        <f t="shared" si="44"/>
        <v>0</v>
      </c>
      <c r="CY38" s="2">
        <f t="shared" si="45"/>
        <v>4528.2755</v>
      </c>
      <c r="CZ38" s="2">
        <f t="shared" si="46"/>
        <v>2493.0955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1005</v>
      </c>
      <c r="DV38" s="2" t="s">
        <v>38</v>
      </c>
      <c r="DW38" s="2" t="s">
        <v>38</v>
      </c>
      <c r="DX38" s="2">
        <v>100</v>
      </c>
      <c r="DY38" s="2"/>
      <c r="DZ38" s="2" t="s">
        <v>3</v>
      </c>
      <c r="EA38" s="2" t="s">
        <v>3</v>
      </c>
      <c r="EB38" s="2" t="s">
        <v>3</v>
      </c>
      <c r="EC38" s="2" t="s">
        <v>3</v>
      </c>
      <c r="ED38" s="2"/>
      <c r="EE38" s="2">
        <v>55471785</v>
      </c>
      <c r="EF38" s="2">
        <v>6</v>
      </c>
      <c r="EG38" s="2" t="s">
        <v>26</v>
      </c>
      <c r="EH38" s="2">
        <v>11</v>
      </c>
      <c r="EI38" s="2" t="s">
        <v>27</v>
      </c>
      <c r="EJ38" s="2">
        <v>1</v>
      </c>
      <c r="EK38" s="2">
        <v>57001</v>
      </c>
      <c r="EL38" s="2" t="s">
        <v>27</v>
      </c>
      <c r="EM38" s="2" t="s">
        <v>28</v>
      </c>
      <c r="EN38" s="2"/>
      <c r="EO38" s="2" t="s">
        <v>3</v>
      </c>
      <c r="EP38" s="2"/>
      <c r="EQ38" s="2">
        <v>0</v>
      </c>
      <c r="ER38" s="2">
        <v>2000.71</v>
      </c>
      <c r="ES38" s="2">
        <v>0</v>
      </c>
      <c r="ET38" s="2">
        <v>1052.17</v>
      </c>
      <c r="EU38" s="2">
        <v>24.3</v>
      </c>
      <c r="EV38" s="2">
        <v>948.54</v>
      </c>
      <c r="EW38" s="2">
        <v>111.2</v>
      </c>
      <c r="EX38" s="2">
        <v>1.8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7"/>
        <v>0</v>
      </c>
      <c r="FS38" s="2">
        <v>0</v>
      </c>
      <c r="FT38" s="2"/>
      <c r="FU38" s="2"/>
      <c r="FV38" s="2"/>
      <c r="FW38" s="2"/>
      <c r="FX38" s="2">
        <v>89</v>
      </c>
      <c r="FY38" s="2">
        <v>49</v>
      </c>
      <c r="FZ38" s="2"/>
      <c r="GA38" s="2" t="s">
        <v>3</v>
      </c>
      <c r="GB38" s="2"/>
      <c r="GC38" s="2"/>
      <c r="GD38" s="2">
        <v>1</v>
      </c>
      <c r="GE38" s="2"/>
      <c r="GF38" s="2">
        <v>188874112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8"/>
        <v>0</v>
      </c>
      <c r="GM38" s="2">
        <f t="shared" si="49"/>
        <v>17485.09</v>
      </c>
      <c r="GN38" s="2">
        <f t="shared" si="50"/>
        <v>17485.09</v>
      </c>
      <c r="GO38" s="2">
        <f t="shared" si="51"/>
        <v>0</v>
      </c>
      <c r="GP38" s="2">
        <f t="shared" si="52"/>
        <v>0</v>
      </c>
      <c r="GQ38" s="2"/>
      <c r="GR38" s="2">
        <v>0</v>
      </c>
      <c r="GS38" s="2">
        <v>0</v>
      </c>
      <c r="GT38" s="2">
        <v>0</v>
      </c>
      <c r="GU38" s="2" t="s">
        <v>3</v>
      </c>
      <c r="GV38" s="2">
        <f t="shared" si="53"/>
        <v>0</v>
      </c>
      <c r="GW38" s="2">
        <v>1</v>
      </c>
      <c r="GX38" s="2">
        <f t="shared" si="54"/>
        <v>0</v>
      </c>
      <c r="GY38" s="2"/>
      <c r="GZ38" s="2"/>
      <c r="HA38" s="2">
        <v>0</v>
      </c>
      <c r="HB38" s="2">
        <v>0</v>
      </c>
      <c r="HC38" s="2">
        <f t="shared" si="55"/>
        <v>0</v>
      </c>
      <c r="HD38" s="2"/>
      <c r="HE38" s="2" t="s">
        <v>3</v>
      </c>
      <c r="HF38" s="2" t="s">
        <v>3</v>
      </c>
      <c r="HG38" s="2"/>
      <c r="HH38" s="2"/>
      <c r="HI38" s="2">
        <f t="shared" si="56"/>
        <v>127.09</v>
      </c>
      <c r="HJ38" s="2">
        <f t="shared" si="57"/>
        <v>4960.86</v>
      </c>
      <c r="HK38" s="2">
        <f t="shared" si="58"/>
        <v>4528.28</v>
      </c>
      <c r="HL38" s="2">
        <f t="shared" si="59"/>
        <v>2493.1</v>
      </c>
      <c r="HM38" s="2" t="s">
        <v>3</v>
      </c>
      <c r="HN38" s="2" t="s">
        <v>29</v>
      </c>
      <c r="HO38" s="2" t="s">
        <v>30</v>
      </c>
      <c r="HP38" s="2" t="s">
        <v>27</v>
      </c>
      <c r="HQ38" s="2" t="s">
        <v>27</v>
      </c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45" ht="12.75">
      <c r="A39">
        <v>17</v>
      </c>
      <c r="B39">
        <v>1</v>
      </c>
      <c r="C39">
        <f>ROW(SmtRes!A44)</f>
        <v>44</v>
      </c>
      <c r="D39">
        <f>ROW(EtalonRes!A46)</f>
        <v>46</v>
      </c>
      <c r="E39" t="s">
        <v>58</v>
      </c>
      <c r="F39" t="s">
        <v>59</v>
      </c>
      <c r="G39" t="s">
        <v>60</v>
      </c>
      <c r="H39" t="s">
        <v>38</v>
      </c>
      <c r="I39">
        <f>ROUND(ROUND(523/100,2),7)</f>
        <v>5.23</v>
      </c>
      <c r="J39">
        <v>0</v>
      </c>
      <c r="K39">
        <f>ROUND(ROUND(523/100,2),7)</f>
        <v>5.23</v>
      </c>
      <c r="O39">
        <f t="shared" si="21"/>
        <v>10463.71</v>
      </c>
      <c r="P39">
        <f t="shared" si="22"/>
        <v>0</v>
      </c>
      <c r="Q39">
        <f t="shared" si="23"/>
        <v>5502.85</v>
      </c>
      <c r="R39">
        <f t="shared" si="24"/>
        <v>127.09</v>
      </c>
      <c r="S39">
        <f t="shared" si="25"/>
        <v>4960.86</v>
      </c>
      <c r="T39">
        <f t="shared" si="26"/>
        <v>0</v>
      </c>
      <c r="U39">
        <f t="shared" si="27"/>
        <v>581.576</v>
      </c>
      <c r="V39">
        <f t="shared" si="28"/>
        <v>9.414000000000001</v>
      </c>
      <c r="W39">
        <f t="shared" si="29"/>
        <v>0</v>
      </c>
      <c r="X39">
        <f t="shared" si="30"/>
        <v>4528.28</v>
      </c>
      <c r="Y39">
        <f t="shared" si="31"/>
        <v>2493.1</v>
      </c>
      <c r="AA39">
        <v>55454919</v>
      </c>
      <c r="AB39">
        <f t="shared" si="32"/>
        <v>2000.71</v>
      </c>
      <c r="AC39">
        <f t="shared" si="60"/>
        <v>0</v>
      </c>
      <c r="AD39">
        <f t="shared" si="61"/>
        <v>1052.17</v>
      </c>
      <c r="AE39">
        <f t="shared" si="62"/>
        <v>24.3</v>
      </c>
      <c r="AF39">
        <f t="shared" si="62"/>
        <v>948.54</v>
      </c>
      <c r="AG39">
        <f t="shared" si="34"/>
        <v>0</v>
      </c>
      <c r="AH39">
        <f t="shared" si="63"/>
        <v>111.2</v>
      </c>
      <c r="AI39">
        <f t="shared" si="63"/>
        <v>1.8</v>
      </c>
      <c r="AJ39">
        <f t="shared" si="36"/>
        <v>0</v>
      </c>
      <c r="AK39">
        <v>2000.71</v>
      </c>
      <c r="AL39">
        <v>0</v>
      </c>
      <c r="AM39">
        <v>1052.17</v>
      </c>
      <c r="AN39">
        <v>24.3</v>
      </c>
      <c r="AO39">
        <v>948.54</v>
      </c>
      <c r="AP39">
        <v>0</v>
      </c>
      <c r="AQ39">
        <v>111.2</v>
      </c>
      <c r="AR39">
        <v>1.8</v>
      </c>
      <c r="AS39">
        <v>0</v>
      </c>
      <c r="AT39">
        <v>89</v>
      </c>
      <c r="AU39">
        <v>49</v>
      </c>
      <c r="AV39">
        <v>1</v>
      </c>
      <c r="AW39">
        <v>1</v>
      </c>
      <c r="AZ39">
        <v>1</v>
      </c>
      <c r="BA39">
        <v>36.47</v>
      </c>
      <c r="BB39">
        <v>1</v>
      </c>
      <c r="BC39">
        <v>1</v>
      </c>
      <c r="BH39">
        <v>0</v>
      </c>
      <c r="BI39">
        <v>1</v>
      </c>
      <c r="BJ39" t="s">
        <v>61</v>
      </c>
      <c r="BM39">
        <v>57001</v>
      </c>
      <c r="BN39">
        <v>0</v>
      </c>
      <c r="BP39">
        <v>0</v>
      </c>
      <c r="BQ39">
        <v>6</v>
      </c>
      <c r="BR39">
        <v>0</v>
      </c>
      <c r="BS39">
        <v>36.47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89</v>
      </c>
      <c r="CA39">
        <v>49</v>
      </c>
      <c r="CE39">
        <v>0</v>
      </c>
      <c r="CF39">
        <v>0</v>
      </c>
      <c r="CG39">
        <v>0</v>
      </c>
      <c r="CM39">
        <v>0</v>
      </c>
      <c r="CO39">
        <v>0</v>
      </c>
      <c r="CP39">
        <f t="shared" si="37"/>
        <v>10463.71</v>
      </c>
      <c r="CQ39">
        <f t="shared" si="38"/>
        <v>0</v>
      </c>
      <c r="CR39">
        <f t="shared" si="64"/>
        <v>1052.17</v>
      </c>
      <c r="CS39">
        <f t="shared" si="39"/>
        <v>24.3</v>
      </c>
      <c r="CT39">
        <f t="shared" si="40"/>
        <v>948.54</v>
      </c>
      <c r="CU39">
        <f t="shared" si="41"/>
        <v>0</v>
      </c>
      <c r="CV39">
        <f t="shared" si="42"/>
        <v>111.2</v>
      </c>
      <c r="CW39">
        <f t="shared" si="43"/>
        <v>1.8</v>
      </c>
      <c r="CX39">
        <f t="shared" si="44"/>
        <v>0</v>
      </c>
      <c r="CY39">
        <f t="shared" si="45"/>
        <v>4528.2755</v>
      </c>
      <c r="CZ39">
        <f t="shared" si="46"/>
        <v>2493.0955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38</v>
      </c>
      <c r="DW39" t="s">
        <v>38</v>
      </c>
      <c r="DX39">
        <v>100</v>
      </c>
      <c r="EE39">
        <v>55471785</v>
      </c>
      <c r="EF39">
        <v>6</v>
      </c>
      <c r="EG39" t="s">
        <v>26</v>
      </c>
      <c r="EH39">
        <v>11</v>
      </c>
      <c r="EI39" t="s">
        <v>27</v>
      </c>
      <c r="EJ39">
        <v>1</v>
      </c>
      <c r="EK39">
        <v>57001</v>
      </c>
      <c r="EL39" t="s">
        <v>27</v>
      </c>
      <c r="EM39" t="s">
        <v>28</v>
      </c>
      <c r="EQ39">
        <v>0</v>
      </c>
      <c r="ER39">
        <v>2000.71</v>
      </c>
      <c r="ES39">
        <v>0</v>
      </c>
      <c r="ET39">
        <v>1052.17</v>
      </c>
      <c r="EU39">
        <v>24.3</v>
      </c>
      <c r="EV39">
        <v>948.54</v>
      </c>
      <c r="EW39">
        <v>111.2</v>
      </c>
      <c r="EX39">
        <v>1.8</v>
      </c>
      <c r="EY39">
        <v>0</v>
      </c>
      <c r="FQ39">
        <v>0</v>
      </c>
      <c r="FR39">
        <f t="shared" si="47"/>
        <v>0</v>
      </c>
      <c r="FS39">
        <v>0</v>
      </c>
      <c r="FX39">
        <v>89</v>
      </c>
      <c r="FY39">
        <v>49</v>
      </c>
      <c r="GD39">
        <v>1</v>
      </c>
      <c r="GF39">
        <v>188874112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8"/>
        <v>0</v>
      </c>
      <c r="GM39">
        <f t="shared" si="49"/>
        <v>17485.09</v>
      </c>
      <c r="GN39">
        <f t="shared" si="50"/>
        <v>17485.09</v>
      </c>
      <c r="GO39">
        <f t="shared" si="51"/>
        <v>0</v>
      </c>
      <c r="GP39">
        <f t="shared" si="52"/>
        <v>0</v>
      </c>
      <c r="GR39">
        <v>0</v>
      </c>
      <c r="GS39">
        <v>0</v>
      </c>
      <c r="GT39">
        <v>0</v>
      </c>
      <c r="GV39">
        <f t="shared" si="53"/>
        <v>0</v>
      </c>
      <c r="GW39">
        <v>1</v>
      </c>
      <c r="GX39">
        <f t="shared" si="54"/>
        <v>0</v>
      </c>
      <c r="HA39">
        <v>0</v>
      </c>
      <c r="HB39">
        <v>0</v>
      </c>
      <c r="HC39">
        <f t="shared" si="55"/>
        <v>0</v>
      </c>
      <c r="HI39">
        <f t="shared" si="56"/>
        <v>4634.97</v>
      </c>
      <c r="HJ39">
        <f t="shared" si="57"/>
        <v>180922.56</v>
      </c>
      <c r="HK39">
        <f t="shared" si="58"/>
        <v>165146.2</v>
      </c>
      <c r="HL39">
        <f t="shared" si="59"/>
        <v>90923.19</v>
      </c>
      <c r="HN39" t="s">
        <v>29</v>
      </c>
      <c r="HO39" t="s">
        <v>30</v>
      </c>
      <c r="HP39" t="s">
        <v>27</v>
      </c>
      <c r="HQ39" t="s">
        <v>27</v>
      </c>
      <c r="IK39">
        <v>0</v>
      </c>
    </row>
    <row r="40" spans="1:255" ht="12.75">
      <c r="A40" s="2">
        <v>18</v>
      </c>
      <c r="B40" s="2">
        <v>1</v>
      </c>
      <c r="C40" s="2">
        <v>38</v>
      </c>
      <c r="D40" s="2"/>
      <c r="E40" s="2" t="s">
        <v>62</v>
      </c>
      <c r="F40" s="2" t="s">
        <v>32</v>
      </c>
      <c r="G40" s="2" t="s">
        <v>33</v>
      </c>
      <c r="H40" s="2" t="s">
        <v>34</v>
      </c>
      <c r="I40" s="2">
        <f>I38*J40</f>
        <v>172.59</v>
      </c>
      <c r="J40" s="2">
        <v>33</v>
      </c>
      <c r="K40" s="2">
        <v>33</v>
      </c>
      <c r="L40" s="2"/>
      <c r="M40" s="2"/>
      <c r="N40" s="2"/>
      <c r="O40" s="2">
        <f t="shared" si="21"/>
        <v>0</v>
      </c>
      <c r="P40" s="2">
        <f t="shared" si="22"/>
        <v>0</v>
      </c>
      <c r="Q40" s="2">
        <f t="shared" si="23"/>
        <v>0</v>
      </c>
      <c r="R40" s="2">
        <f t="shared" si="24"/>
        <v>0</v>
      </c>
      <c r="S40" s="2">
        <f t="shared" si="25"/>
        <v>0</v>
      </c>
      <c r="T40" s="2">
        <f t="shared" si="26"/>
        <v>0</v>
      </c>
      <c r="U40" s="2">
        <f t="shared" si="27"/>
        <v>0</v>
      </c>
      <c r="V40" s="2">
        <f t="shared" si="28"/>
        <v>0</v>
      </c>
      <c r="W40" s="2">
        <f t="shared" si="29"/>
        <v>0</v>
      </c>
      <c r="X40" s="2">
        <f t="shared" si="30"/>
        <v>0</v>
      </c>
      <c r="Y40" s="2">
        <f t="shared" si="31"/>
        <v>0</v>
      </c>
      <c r="Z40" s="2"/>
      <c r="AA40" s="2">
        <v>55454918</v>
      </c>
      <c r="AB40" s="2">
        <f t="shared" si="32"/>
        <v>0</v>
      </c>
      <c r="AC40" s="2">
        <f t="shared" si="60"/>
        <v>0</v>
      </c>
      <c r="AD40" s="2">
        <f t="shared" si="61"/>
        <v>0</v>
      </c>
      <c r="AE40" s="2">
        <f t="shared" si="62"/>
        <v>0</v>
      </c>
      <c r="AF40" s="2">
        <f t="shared" si="62"/>
        <v>0</v>
      </c>
      <c r="AG40" s="2">
        <f t="shared" si="34"/>
        <v>0</v>
      </c>
      <c r="AH40" s="2">
        <f t="shared" si="63"/>
        <v>0</v>
      </c>
      <c r="AI40" s="2">
        <f t="shared" si="63"/>
        <v>0</v>
      </c>
      <c r="AJ40" s="2">
        <f t="shared" si="36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89</v>
      </c>
      <c r="AU40" s="2">
        <v>49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3</v>
      </c>
      <c r="BK40" s="2"/>
      <c r="BL40" s="2"/>
      <c r="BM40" s="2">
        <v>57001</v>
      </c>
      <c r="BN40" s="2">
        <v>0</v>
      </c>
      <c r="BO40" s="2" t="s">
        <v>3</v>
      </c>
      <c r="BP40" s="2">
        <v>0</v>
      </c>
      <c r="BQ40" s="2">
        <v>6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89</v>
      </c>
      <c r="CA40" s="2">
        <v>49</v>
      </c>
      <c r="CB40" s="2" t="s">
        <v>3</v>
      </c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7"/>
        <v>0</v>
      </c>
      <c r="CQ40" s="2">
        <f t="shared" si="38"/>
        <v>0</v>
      </c>
      <c r="CR40" s="2">
        <f t="shared" si="64"/>
        <v>0</v>
      </c>
      <c r="CS40" s="2">
        <f t="shared" si="39"/>
        <v>0</v>
      </c>
      <c r="CT40" s="2">
        <f t="shared" si="40"/>
        <v>0</v>
      </c>
      <c r="CU40" s="2">
        <f t="shared" si="41"/>
        <v>0</v>
      </c>
      <c r="CV40" s="2">
        <f t="shared" si="42"/>
        <v>0</v>
      </c>
      <c r="CW40" s="2">
        <f t="shared" si="43"/>
        <v>0</v>
      </c>
      <c r="CX40" s="2">
        <f t="shared" si="44"/>
        <v>0</v>
      </c>
      <c r="CY40" s="2">
        <f t="shared" si="45"/>
        <v>0</v>
      </c>
      <c r="CZ40" s="2">
        <f t="shared" si="46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34</v>
      </c>
      <c r="DW40" s="2" t="s">
        <v>34</v>
      </c>
      <c r="DX40" s="2">
        <v>1000</v>
      </c>
      <c r="DY40" s="2"/>
      <c r="DZ40" s="2" t="s">
        <v>3</v>
      </c>
      <c r="EA40" s="2" t="s">
        <v>3</v>
      </c>
      <c r="EB40" s="2" t="s">
        <v>3</v>
      </c>
      <c r="EC40" s="2" t="s">
        <v>3</v>
      </c>
      <c r="ED40" s="2"/>
      <c r="EE40" s="2">
        <v>55471785</v>
      </c>
      <c r="EF40" s="2">
        <v>6</v>
      </c>
      <c r="EG40" s="2" t="s">
        <v>26</v>
      </c>
      <c r="EH40" s="2">
        <v>11</v>
      </c>
      <c r="EI40" s="2" t="s">
        <v>27</v>
      </c>
      <c r="EJ40" s="2">
        <v>1</v>
      </c>
      <c r="EK40" s="2">
        <v>57001</v>
      </c>
      <c r="EL40" s="2" t="s">
        <v>27</v>
      </c>
      <c r="EM40" s="2" t="s">
        <v>28</v>
      </c>
      <c r="EN40" s="2"/>
      <c r="EO40" s="2" t="s">
        <v>3</v>
      </c>
      <c r="EP40" s="2"/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7"/>
        <v>0</v>
      </c>
      <c r="FS40" s="2">
        <v>0</v>
      </c>
      <c r="FT40" s="2"/>
      <c r="FU40" s="2"/>
      <c r="FV40" s="2"/>
      <c r="FW40" s="2"/>
      <c r="FX40" s="2">
        <v>89</v>
      </c>
      <c r="FY40" s="2">
        <v>49</v>
      </c>
      <c r="FZ40" s="2"/>
      <c r="GA40" s="2" t="s">
        <v>3</v>
      </c>
      <c r="GB40" s="2"/>
      <c r="GC40" s="2"/>
      <c r="GD40" s="2">
        <v>1</v>
      </c>
      <c r="GE40" s="2"/>
      <c r="GF40" s="2">
        <v>2102561428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8"/>
        <v>0</v>
      </c>
      <c r="GM40" s="2">
        <f t="shared" si="49"/>
        <v>0</v>
      </c>
      <c r="GN40" s="2">
        <f t="shared" si="50"/>
        <v>0</v>
      </c>
      <c r="GO40" s="2">
        <f t="shared" si="51"/>
        <v>0</v>
      </c>
      <c r="GP40" s="2">
        <f t="shared" si="52"/>
        <v>0</v>
      </c>
      <c r="GQ40" s="2"/>
      <c r="GR40" s="2">
        <v>0</v>
      </c>
      <c r="GS40" s="2">
        <v>0</v>
      </c>
      <c r="GT40" s="2">
        <v>0</v>
      </c>
      <c r="GU40" s="2" t="s">
        <v>3</v>
      </c>
      <c r="GV40" s="2">
        <f t="shared" si="53"/>
        <v>0</v>
      </c>
      <c r="GW40" s="2">
        <v>1</v>
      </c>
      <c r="GX40" s="2">
        <f t="shared" si="54"/>
        <v>0</v>
      </c>
      <c r="GY40" s="2"/>
      <c r="GZ40" s="2"/>
      <c r="HA40" s="2">
        <v>0</v>
      </c>
      <c r="HB40" s="2">
        <v>0</v>
      </c>
      <c r="HC40" s="2">
        <f t="shared" si="55"/>
        <v>0</v>
      </c>
      <c r="HD40" s="2"/>
      <c r="HE40" s="2" t="s">
        <v>3</v>
      </c>
      <c r="HF40" s="2" t="s">
        <v>3</v>
      </c>
      <c r="HG40" s="2"/>
      <c r="HH40" s="2"/>
      <c r="HI40" s="2">
        <f t="shared" si="56"/>
        <v>0</v>
      </c>
      <c r="HJ40" s="2">
        <f t="shared" si="57"/>
        <v>0</v>
      </c>
      <c r="HK40" s="2">
        <f t="shared" si="58"/>
        <v>0</v>
      </c>
      <c r="HL40" s="2">
        <f t="shared" si="59"/>
        <v>0</v>
      </c>
      <c r="HM40" s="2" t="s">
        <v>3</v>
      </c>
      <c r="HN40" s="2" t="s">
        <v>29</v>
      </c>
      <c r="HO40" s="2" t="s">
        <v>30</v>
      </c>
      <c r="HP40" s="2" t="s">
        <v>27</v>
      </c>
      <c r="HQ40" s="2" t="s">
        <v>27</v>
      </c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45" ht="12.75">
      <c r="A41">
        <v>18</v>
      </c>
      <c r="B41">
        <v>1</v>
      </c>
      <c r="C41">
        <v>44</v>
      </c>
      <c r="E41" t="s">
        <v>62</v>
      </c>
      <c r="F41" t="s">
        <v>32</v>
      </c>
      <c r="G41" t="s">
        <v>33</v>
      </c>
      <c r="H41" t="s">
        <v>34</v>
      </c>
      <c r="I41">
        <f>I39*J41</f>
        <v>172.59</v>
      </c>
      <c r="J41">
        <v>33</v>
      </c>
      <c r="K41">
        <v>33</v>
      </c>
      <c r="O41">
        <f t="shared" si="21"/>
        <v>0</v>
      </c>
      <c r="P41">
        <f t="shared" si="22"/>
        <v>0</v>
      </c>
      <c r="Q41">
        <f t="shared" si="23"/>
        <v>0</v>
      </c>
      <c r="R41">
        <f t="shared" si="24"/>
        <v>0</v>
      </c>
      <c r="S41">
        <f t="shared" si="25"/>
        <v>0</v>
      </c>
      <c r="T41">
        <f t="shared" si="26"/>
        <v>0</v>
      </c>
      <c r="U41">
        <f t="shared" si="27"/>
        <v>0</v>
      </c>
      <c r="V41">
        <f t="shared" si="28"/>
        <v>0</v>
      </c>
      <c r="W41">
        <f t="shared" si="29"/>
        <v>0</v>
      </c>
      <c r="X41">
        <f t="shared" si="30"/>
        <v>0</v>
      </c>
      <c r="Y41">
        <f t="shared" si="31"/>
        <v>0</v>
      </c>
      <c r="AA41">
        <v>55454919</v>
      </c>
      <c r="AB41">
        <f t="shared" si="32"/>
        <v>0</v>
      </c>
      <c r="AC41">
        <f t="shared" si="60"/>
        <v>0</v>
      </c>
      <c r="AD41">
        <f t="shared" si="61"/>
        <v>0</v>
      </c>
      <c r="AE41">
        <f t="shared" si="62"/>
        <v>0</v>
      </c>
      <c r="AF41">
        <f t="shared" si="62"/>
        <v>0</v>
      </c>
      <c r="AG41">
        <f t="shared" si="34"/>
        <v>0</v>
      </c>
      <c r="AH41">
        <f t="shared" si="63"/>
        <v>0</v>
      </c>
      <c r="AI41">
        <f t="shared" si="63"/>
        <v>0</v>
      </c>
      <c r="AJ41">
        <f t="shared" si="36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89</v>
      </c>
      <c r="AU41">
        <v>49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H41">
        <v>3</v>
      </c>
      <c r="BI41">
        <v>1</v>
      </c>
      <c r="BM41">
        <v>57001</v>
      </c>
      <c r="BN41">
        <v>0</v>
      </c>
      <c r="BP41">
        <v>0</v>
      </c>
      <c r="BQ41">
        <v>6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89</v>
      </c>
      <c r="CA41">
        <v>49</v>
      </c>
      <c r="CE41">
        <v>0</v>
      </c>
      <c r="CF41">
        <v>0</v>
      </c>
      <c r="CG41">
        <v>0</v>
      </c>
      <c r="CM41">
        <v>0</v>
      </c>
      <c r="CO41">
        <v>0</v>
      </c>
      <c r="CP41">
        <f t="shared" si="37"/>
        <v>0</v>
      </c>
      <c r="CQ41">
        <f t="shared" si="38"/>
        <v>0</v>
      </c>
      <c r="CR41">
        <f t="shared" si="64"/>
        <v>0</v>
      </c>
      <c r="CS41">
        <f t="shared" si="39"/>
        <v>0</v>
      </c>
      <c r="CT41">
        <f t="shared" si="40"/>
        <v>0</v>
      </c>
      <c r="CU41">
        <f t="shared" si="41"/>
        <v>0</v>
      </c>
      <c r="CV41">
        <f t="shared" si="42"/>
        <v>0</v>
      </c>
      <c r="CW41">
        <f t="shared" si="43"/>
        <v>0</v>
      </c>
      <c r="CX41">
        <f t="shared" si="44"/>
        <v>0</v>
      </c>
      <c r="CY41">
        <f t="shared" si="45"/>
        <v>0</v>
      </c>
      <c r="CZ41">
        <f t="shared" si="46"/>
        <v>0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34</v>
      </c>
      <c r="DW41" t="s">
        <v>34</v>
      </c>
      <c r="DX41">
        <v>1000</v>
      </c>
      <c r="EE41">
        <v>55471785</v>
      </c>
      <c r="EF41">
        <v>6</v>
      </c>
      <c r="EG41" t="s">
        <v>26</v>
      </c>
      <c r="EH41">
        <v>11</v>
      </c>
      <c r="EI41" t="s">
        <v>27</v>
      </c>
      <c r="EJ41">
        <v>1</v>
      </c>
      <c r="EK41">
        <v>57001</v>
      </c>
      <c r="EL41" t="s">
        <v>27</v>
      </c>
      <c r="EM41" t="s">
        <v>28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7"/>
        <v>0</v>
      </c>
      <c r="FS41">
        <v>0</v>
      </c>
      <c r="FX41">
        <v>89</v>
      </c>
      <c r="FY41">
        <v>49</v>
      </c>
      <c r="GD41">
        <v>1</v>
      </c>
      <c r="GF41">
        <v>2102561428</v>
      </c>
      <c r="GG41">
        <v>2</v>
      </c>
      <c r="GH41">
        <v>1</v>
      </c>
      <c r="GI41">
        <v>4</v>
      </c>
      <c r="GJ41">
        <v>0</v>
      </c>
      <c r="GK41">
        <v>0</v>
      </c>
      <c r="GL41">
        <f t="shared" si="48"/>
        <v>0</v>
      </c>
      <c r="GM41">
        <f t="shared" si="49"/>
        <v>0</v>
      </c>
      <c r="GN41">
        <f t="shared" si="50"/>
        <v>0</v>
      </c>
      <c r="GO41">
        <f t="shared" si="51"/>
        <v>0</v>
      </c>
      <c r="GP41">
        <f t="shared" si="52"/>
        <v>0</v>
      </c>
      <c r="GR41">
        <v>0</v>
      </c>
      <c r="GS41">
        <v>0</v>
      </c>
      <c r="GT41">
        <v>0</v>
      </c>
      <c r="GV41">
        <f t="shared" si="53"/>
        <v>0</v>
      </c>
      <c r="GW41">
        <v>1</v>
      </c>
      <c r="GX41">
        <f t="shared" si="54"/>
        <v>0</v>
      </c>
      <c r="HA41">
        <v>0</v>
      </c>
      <c r="HB41">
        <v>0</v>
      </c>
      <c r="HC41">
        <f t="shared" si="55"/>
        <v>0</v>
      </c>
      <c r="HI41">
        <f t="shared" si="56"/>
        <v>0</v>
      </c>
      <c r="HJ41">
        <f t="shared" si="57"/>
        <v>0</v>
      </c>
      <c r="HK41">
        <f t="shared" si="58"/>
        <v>0</v>
      </c>
      <c r="HL41">
        <f t="shared" si="59"/>
        <v>0</v>
      </c>
      <c r="HN41" t="s">
        <v>29</v>
      </c>
      <c r="HO41" t="s">
        <v>30</v>
      </c>
      <c r="HP41" t="s">
        <v>27</v>
      </c>
      <c r="HQ41" t="s">
        <v>27</v>
      </c>
      <c r="IK41">
        <v>0</v>
      </c>
    </row>
    <row r="42" spans="1:255" ht="12.75">
      <c r="A42" s="2">
        <v>17</v>
      </c>
      <c r="B42" s="2">
        <v>1</v>
      </c>
      <c r="C42" s="2">
        <f>ROW(SmtRes!A46)</f>
        <v>46</v>
      </c>
      <c r="D42" s="2">
        <f>ROW(EtalonRes!A48)</f>
        <v>48</v>
      </c>
      <c r="E42" s="2" t="s">
        <v>63</v>
      </c>
      <c r="F42" s="2" t="s">
        <v>64</v>
      </c>
      <c r="G42" s="2" t="s">
        <v>65</v>
      </c>
      <c r="H42" s="2" t="s">
        <v>38</v>
      </c>
      <c r="I42" s="2">
        <f>ROUND(ROUND(523/100,2),7)</f>
        <v>5.23</v>
      </c>
      <c r="J42" s="2">
        <v>0</v>
      </c>
      <c r="K42" s="2">
        <f>ROUND(ROUND(523/100,2),7)</f>
        <v>5.23</v>
      </c>
      <c r="L42" s="2"/>
      <c r="M42" s="2"/>
      <c r="N42" s="2"/>
      <c r="O42" s="2">
        <f t="shared" si="21"/>
        <v>-3276.07</v>
      </c>
      <c r="P42" s="2">
        <f t="shared" si="22"/>
        <v>0</v>
      </c>
      <c r="Q42" s="2">
        <f t="shared" si="23"/>
        <v>0</v>
      </c>
      <c r="R42" s="2">
        <f t="shared" si="24"/>
        <v>0</v>
      </c>
      <c r="S42" s="2">
        <f t="shared" si="25"/>
        <v>-3276.07</v>
      </c>
      <c r="T42" s="2">
        <f t="shared" si="26"/>
        <v>0</v>
      </c>
      <c r="U42" s="2">
        <f t="shared" si="27"/>
        <v>-384.0912000000001</v>
      </c>
      <c r="V42" s="2">
        <f t="shared" si="28"/>
        <v>0</v>
      </c>
      <c r="W42" s="2">
        <f t="shared" si="29"/>
        <v>0</v>
      </c>
      <c r="X42" s="2">
        <f t="shared" si="30"/>
        <v>-2915.7</v>
      </c>
      <c r="Y42" s="2">
        <f t="shared" si="31"/>
        <v>-1605.27</v>
      </c>
      <c r="Z42" s="2"/>
      <c r="AA42" s="2">
        <v>55454918</v>
      </c>
      <c r="AB42" s="2">
        <f t="shared" si="32"/>
        <v>-626.4</v>
      </c>
      <c r="AC42" s="2">
        <f>ROUND(((ES42*ROUND(-27,7))),2)</f>
        <v>0</v>
      </c>
      <c r="AD42" s="2">
        <f>ROUND(((((ET42*ROUND(-27,7)))-((EU42*ROUND(-27,7))))+AE42),2)</f>
        <v>0</v>
      </c>
      <c r="AE42" s="2">
        <f>ROUND(((EU42*ROUND(-27,7))),2)</f>
        <v>0</v>
      </c>
      <c r="AF42" s="2">
        <f>ROUND(((EV42*ROUND(-27,7))),2)</f>
        <v>-626.4</v>
      </c>
      <c r="AG42" s="2">
        <f t="shared" si="34"/>
        <v>0</v>
      </c>
      <c r="AH42" s="2">
        <f>((EW42*ROUND(-27,7)))</f>
        <v>-73.44000000000001</v>
      </c>
      <c r="AI42" s="2">
        <f>((EX42*ROUND(-27,7)))</f>
        <v>0</v>
      </c>
      <c r="AJ42" s="2">
        <f t="shared" si="36"/>
        <v>0</v>
      </c>
      <c r="AK42" s="2">
        <v>23.2</v>
      </c>
      <c r="AL42" s="2">
        <v>0</v>
      </c>
      <c r="AM42" s="2">
        <v>0</v>
      </c>
      <c r="AN42" s="2">
        <v>0</v>
      </c>
      <c r="AO42" s="2">
        <v>23.2</v>
      </c>
      <c r="AP42" s="2">
        <v>0</v>
      </c>
      <c r="AQ42" s="2">
        <v>2.72</v>
      </c>
      <c r="AR42" s="2">
        <v>0</v>
      </c>
      <c r="AS42" s="2">
        <v>0</v>
      </c>
      <c r="AT42" s="2">
        <v>89</v>
      </c>
      <c r="AU42" s="2">
        <v>49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66</v>
      </c>
      <c r="BK42" s="2"/>
      <c r="BL42" s="2"/>
      <c r="BM42" s="2">
        <v>57001</v>
      </c>
      <c r="BN42" s="2">
        <v>0</v>
      </c>
      <c r="BO42" s="2" t="s">
        <v>3</v>
      </c>
      <c r="BP42" s="2">
        <v>0</v>
      </c>
      <c r="BQ42" s="2">
        <v>6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89</v>
      </c>
      <c r="CA42" s="2">
        <v>49</v>
      </c>
      <c r="CB42" s="2" t="s">
        <v>3</v>
      </c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7"/>
        <v>-3276.07</v>
      </c>
      <c r="CQ42" s="2">
        <f t="shared" si="38"/>
        <v>0</v>
      </c>
      <c r="CR42" s="2">
        <f>((((ET42*ROUND(-27,7)))*BB42-((EU42*ROUND(-27,7))))+AE42)</f>
        <v>0</v>
      </c>
      <c r="CS42" s="2">
        <f t="shared" si="39"/>
        <v>0</v>
      </c>
      <c r="CT42" s="2">
        <f t="shared" si="40"/>
        <v>-626.4</v>
      </c>
      <c r="CU42" s="2">
        <f t="shared" si="41"/>
        <v>0</v>
      </c>
      <c r="CV42" s="2">
        <f t="shared" si="42"/>
        <v>-73.44000000000001</v>
      </c>
      <c r="CW42" s="2">
        <f t="shared" si="43"/>
        <v>0</v>
      </c>
      <c r="CX42" s="2">
        <f t="shared" si="44"/>
        <v>0</v>
      </c>
      <c r="CY42" s="2">
        <f t="shared" si="45"/>
        <v>-2915.7023000000004</v>
      </c>
      <c r="CZ42" s="2">
        <f t="shared" si="46"/>
        <v>-1605.2743000000003</v>
      </c>
      <c r="DA42" s="2"/>
      <c r="DB42" s="2"/>
      <c r="DC42" s="2" t="s">
        <v>3</v>
      </c>
      <c r="DD42" s="2" t="s">
        <v>67</v>
      </c>
      <c r="DE42" s="2" t="s">
        <v>67</v>
      </c>
      <c r="DF42" s="2" t="s">
        <v>67</v>
      </c>
      <c r="DG42" s="2" t="s">
        <v>67</v>
      </c>
      <c r="DH42" s="2" t="s">
        <v>3</v>
      </c>
      <c r="DI42" s="2" t="s">
        <v>67</v>
      </c>
      <c r="DJ42" s="2" t="s">
        <v>67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1005</v>
      </c>
      <c r="DV42" s="2" t="s">
        <v>38</v>
      </c>
      <c r="DW42" s="2" t="s">
        <v>38</v>
      </c>
      <c r="DX42" s="2">
        <v>100</v>
      </c>
      <c r="DY42" s="2"/>
      <c r="DZ42" s="2" t="s">
        <v>3</v>
      </c>
      <c r="EA42" s="2" t="s">
        <v>3</v>
      </c>
      <c r="EB42" s="2" t="s">
        <v>3</v>
      </c>
      <c r="EC42" s="2" t="s">
        <v>3</v>
      </c>
      <c r="ED42" s="2"/>
      <c r="EE42" s="2">
        <v>55471785</v>
      </c>
      <c r="EF42" s="2">
        <v>6</v>
      </c>
      <c r="EG42" s="2" t="s">
        <v>26</v>
      </c>
      <c r="EH42" s="2">
        <v>11</v>
      </c>
      <c r="EI42" s="2" t="s">
        <v>27</v>
      </c>
      <c r="EJ42" s="2">
        <v>1</v>
      </c>
      <c r="EK42" s="2">
        <v>57001</v>
      </c>
      <c r="EL42" s="2" t="s">
        <v>27</v>
      </c>
      <c r="EM42" s="2" t="s">
        <v>28</v>
      </c>
      <c r="EN42" s="2"/>
      <c r="EO42" s="2" t="s">
        <v>3</v>
      </c>
      <c r="EP42" s="2"/>
      <c r="EQ42" s="2">
        <v>0</v>
      </c>
      <c r="ER42" s="2">
        <v>23.2</v>
      </c>
      <c r="ES42" s="2">
        <v>0</v>
      </c>
      <c r="ET42" s="2">
        <v>0</v>
      </c>
      <c r="EU42" s="2">
        <v>0</v>
      </c>
      <c r="EV42" s="2">
        <v>23.2</v>
      </c>
      <c r="EW42" s="2">
        <v>2.72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7"/>
        <v>0</v>
      </c>
      <c r="FS42" s="2">
        <v>0</v>
      </c>
      <c r="FT42" s="2"/>
      <c r="FU42" s="2"/>
      <c r="FV42" s="2"/>
      <c r="FW42" s="2"/>
      <c r="FX42" s="2">
        <v>89</v>
      </c>
      <c r="FY42" s="2">
        <v>49</v>
      </c>
      <c r="FZ42" s="2"/>
      <c r="GA42" s="2" t="s">
        <v>3</v>
      </c>
      <c r="GB42" s="2"/>
      <c r="GC42" s="2"/>
      <c r="GD42" s="2">
        <v>1</v>
      </c>
      <c r="GE42" s="2"/>
      <c r="GF42" s="2">
        <v>-919010778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8"/>
        <v>0</v>
      </c>
      <c r="GM42" s="2">
        <f t="shared" si="49"/>
        <v>-7797.04</v>
      </c>
      <c r="GN42" s="2">
        <f t="shared" si="50"/>
        <v>-7797.04</v>
      </c>
      <c r="GO42" s="2">
        <f t="shared" si="51"/>
        <v>0</v>
      </c>
      <c r="GP42" s="2">
        <f t="shared" si="52"/>
        <v>0</v>
      </c>
      <c r="GQ42" s="2"/>
      <c r="GR42" s="2">
        <v>0</v>
      </c>
      <c r="GS42" s="2">
        <v>0</v>
      </c>
      <c r="GT42" s="2">
        <v>0</v>
      </c>
      <c r="GU42" s="2" t="s">
        <v>3</v>
      </c>
      <c r="GV42" s="2">
        <f t="shared" si="53"/>
        <v>0</v>
      </c>
      <c r="GW42" s="2">
        <v>1</v>
      </c>
      <c r="GX42" s="2">
        <f t="shared" si="54"/>
        <v>0</v>
      </c>
      <c r="GY42" s="2"/>
      <c r="GZ42" s="2"/>
      <c r="HA42" s="2">
        <v>0</v>
      </c>
      <c r="HB42" s="2">
        <v>0</v>
      </c>
      <c r="HC42" s="2">
        <f t="shared" si="55"/>
        <v>0</v>
      </c>
      <c r="HD42" s="2"/>
      <c r="HE42" s="2" t="s">
        <v>3</v>
      </c>
      <c r="HF42" s="2" t="s">
        <v>3</v>
      </c>
      <c r="HG42" s="2"/>
      <c r="HH42" s="2"/>
      <c r="HI42" s="2">
        <f t="shared" si="56"/>
        <v>0</v>
      </c>
      <c r="HJ42" s="2">
        <f t="shared" si="57"/>
        <v>-3276.07</v>
      </c>
      <c r="HK42" s="2">
        <f t="shared" si="58"/>
        <v>-2915.7</v>
      </c>
      <c r="HL42" s="2">
        <f t="shared" si="59"/>
        <v>-1605.27</v>
      </c>
      <c r="HM42" s="2" t="s">
        <v>3</v>
      </c>
      <c r="HN42" s="2" t="s">
        <v>29</v>
      </c>
      <c r="HO42" s="2" t="s">
        <v>30</v>
      </c>
      <c r="HP42" s="2" t="s">
        <v>27</v>
      </c>
      <c r="HQ42" s="2" t="s">
        <v>27</v>
      </c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45" ht="12.75">
      <c r="A43">
        <v>17</v>
      </c>
      <c r="B43">
        <v>1</v>
      </c>
      <c r="C43">
        <f>ROW(SmtRes!A48)</f>
        <v>48</v>
      </c>
      <c r="D43">
        <f>ROW(EtalonRes!A50)</f>
        <v>50</v>
      </c>
      <c r="E43" t="s">
        <v>63</v>
      </c>
      <c r="F43" t="s">
        <v>64</v>
      </c>
      <c r="G43" t="s">
        <v>65</v>
      </c>
      <c r="H43" t="s">
        <v>38</v>
      </c>
      <c r="I43">
        <f>ROUND(ROUND(523/100,2),7)</f>
        <v>5.23</v>
      </c>
      <c r="J43">
        <v>0</v>
      </c>
      <c r="K43">
        <f>ROUND(ROUND(523/100,2),7)</f>
        <v>5.23</v>
      </c>
      <c r="O43">
        <f t="shared" si="21"/>
        <v>-3276.07</v>
      </c>
      <c r="P43">
        <f t="shared" si="22"/>
        <v>0</v>
      </c>
      <c r="Q43">
        <f t="shared" si="23"/>
        <v>0</v>
      </c>
      <c r="R43">
        <f t="shared" si="24"/>
        <v>0</v>
      </c>
      <c r="S43">
        <f t="shared" si="25"/>
        <v>-3276.07</v>
      </c>
      <c r="T43">
        <f t="shared" si="26"/>
        <v>0</v>
      </c>
      <c r="U43">
        <f t="shared" si="27"/>
        <v>-384.0912000000001</v>
      </c>
      <c r="V43">
        <f t="shared" si="28"/>
        <v>0</v>
      </c>
      <c r="W43">
        <f t="shared" si="29"/>
        <v>0</v>
      </c>
      <c r="X43">
        <f t="shared" si="30"/>
        <v>-2915.7</v>
      </c>
      <c r="Y43">
        <f t="shared" si="31"/>
        <v>-1605.27</v>
      </c>
      <c r="AA43">
        <v>55454919</v>
      </c>
      <c r="AB43">
        <f t="shared" si="32"/>
        <v>-626.4</v>
      </c>
      <c r="AC43">
        <f>ROUND(((ES43*ROUND(-27,7))),2)</f>
        <v>0</v>
      </c>
      <c r="AD43">
        <f>ROUND(((((ET43*ROUND(-27,7)))-((EU43*ROUND(-27,7))))+AE43),2)</f>
        <v>0</v>
      </c>
      <c r="AE43">
        <f>ROUND(((EU43*ROUND(-27,7))),2)</f>
        <v>0</v>
      </c>
      <c r="AF43">
        <f>ROUND(((EV43*ROUND(-27,7))),2)</f>
        <v>-626.4</v>
      </c>
      <c r="AG43">
        <f t="shared" si="34"/>
        <v>0</v>
      </c>
      <c r="AH43">
        <f>((EW43*ROUND(-27,7)))</f>
        <v>-73.44000000000001</v>
      </c>
      <c r="AI43">
        <f>((EX43*ROUND(-27,7)))</f>
        <v>0</v>
      </c>
      <c r="AJ43">
        <f t="shared" si="36"/>
        <v>0</v>
      </c>
      <c r="AK43">
        <v>23.2</v>
      </c>
      <c r="AL43">
        <v>0</v>
      </c>
      <c r="AM43">
        <v>0</v>
      </c>
      <c r="AN43">
        <v>0</v>
      </c>
      <c r="AO43">
        <v>23.2</v>
      </c>
      <c r="AP43">
        <v>0</v>
      </c>
      <c r="AQ43">
        <v>2.72</v>
      </c>
      <c r="AR43">
        <v>0</v>
      </c>
      <c r="AS43">
        <v>0</v>
      </c>
      <c r="AT43">
        <v>89</v>
      </c>
      <c r="AU43">
        <v>49</v>
      </c>
      <c r="AV43">
        <v>1</v>
      </c>
      <c r="AW43">
        <v>1</v>
      </c>
      <c r="AZ43">
        <v>1</v>
      </c>
      <c r="BA43">
        <v>36.47</v>
      </c>
      <c r="BB43">
        <v>1</v>
      </c>
      <c r="BC43">
        <v>1</v>
      </c>
      <c r="BH43">
        <v>0</v>
      </c>
      <c r="BI43">
        <v>1</v>
      </c>
      <c r="BJ43" t="s">
        <v>66</v>
      </c>
      <c r="BM43">
        <v>57001</v>
      </c>
      <c r="BN43">
        <v>0</v>
      </c>
      <c r="BP43">
        <v>0</v>
      </c>
      <c r="BQ43">
        <v>6</v>
      </c>
      <c r="BR43">
        <v>0</v>
      </c>
      <c r="BS43">
        <v>36.47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89</v>
      </c>
      <c r="CA43">
        <v>49</v>
      </c>
      <c r="CE43">
        <v>0</v>
      </c>
      <c r="CF43">
        <v>0</v>
      </c>
      <c r="CG43">
        <v>0</v>
      </c>
      <c r="CM43">
        <v>0</v>
      </c>
      <c r="CO43">
        <v>0</v>
      </c>
      <c r="CP43">
        <f t="shared" si="37"/>
        <v>-3276.07</v>
      </c>
      <c r="CQ43">
        <f t="shared" si="38"/>
        <v>0</v>
      </c>
      <c r="CR43">
        <f>((((ET43*ROUND(-27,7)))*BB43-((EU43*ROUND(-27,7))))+AE43)</f>
        <v>0</v>
      </c>
      <c r="CS43">
        <f t="shared" si="39"/>
        <v>0</v>
      </c>
      <c r="CT43">
        <f t="shared" si="40"/>
        <v>-626.4</v>
      </c>
      <c r="CU43">
        <f t="shared" si="41"/>
        <v>0</v>
      </c>
      <c r="CV43">
        <f t="shared" si="42"/>
        <v>-73.44000000000001</v>
      </c>
      <c r="CW43">
        <f t="shared" si="43"/>
        <v>0</v>
      </c>
      <c r="CX43">
        <f t="shared" si="44"/>
        <v>0</v>
      </c>
      <c r="CY43">
        <f t="shared" si="45"/>
        <v>-2915.7023000000004</v>
      </c>
      <c r="CZ43">
        <f t="shared" si="46"/>
        <v>-1605.2743000000003</v>
      </c>
      <c r="DD43" t="s">
        <v>67</v>
      </c>
      <c r="DE43" t="s">
        <v>67</v>
      </c>
      <c r="DF43" t="s">
        <v>67</v>
      </c>
      <c r="DG43" t="s">
        <v>67</v>
      </c>
      <c r="DI43" t="s">
        <v>67</v>
      </c>
      <c r="DJ43" t="s">
        <v>67</v>
      </c>
      <c r="DN43">
        <v>0</v>
      </c>
      <c r="DO43">
        <v>0</v>
      </c>
      <c r="DP43">
        <v>1</v>
      </c>
      <c r="DQ43">
        <v>1</v>
      </c>
      <c r="DU43">
        <v>1005</v>
      </c>
      <c r="DV43" t="s">
        <v>38</v>
      </c>
      <c r="DW43" t="s">
        <v>38</v>
      </c>
      <c r="DX43">
        <v>100</v>
      </c>
      <c r="EE43">
        <v>55471785</v>
      </c>
      <c r="EF43">
        <v>6</v>
      </c>
      <c r="EG43" t="s">
        <v>26</v>
      </c>
      <c r="EH43">
        <v>11</v>
      </c>
      <c r="EI43" t="s">
        <v>27</v>
      </c>
      <c r="EJ43">
        <v>1</v>
      </c>
      <c r="EK43">
        <v>57001</v>
      </c>
      <c r="EL43" t="s">
        <v>27</v>
      </c>
      <c r="EM43" t="s">
        <v>28</v>
      </c>
      <c r="EQ43">
        <v>0</v>
      </c>
      <c r="ER43">
        <v>23.2</v>
      </c>
      <c r="ES43">
        <v>0</v>
      </c>
      <c r="ET43">
        <v>0</v>
      </c>
      <c r="EU43">
        <v>0</v>
      </c>
      <c r="EV43">
        <v>23.2</v>
      </c>
      <c r="EW43">
        <v>2.72</v>
      </c>
      <c r="EX43">
        <v>0</v>
      </c>
      <c r="EY43">
        <v>0</v>
      </c>
      <c r="FQ43">
        <v>0</v>
      </c>
      <c r="FR43">
        <f t="shared" si="47"/>
        <v>0</v>
      </c>
      <c r="FS43">
        <v>0</v>
      </c>
      <c r="FX43">
        <v>89</v>
      </c>
      <c r="FY43">
        <v>49</v>
      </c>
      <c r="GD43">
        <v>1</v>
      </c>
      <c r="GF43">
        <v>-919010778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48"/>
        <v>0</v>
      </c>
      <c r="GM43">
        <f t="shared" si="49"/>
        <v>-7797.04</v>
      </c>
      <c r="GN43">
        <f t="shared" si="50"/>
        <v>-7797.04</v>
      </c>
      <c r="GO43">
        <f t="shared" si="51"/>
        <v>0</v>
      </c>
      <c r="GP43">
        <f t="shared" si="52"/>
        <v>0</v>
      </c>
      <c r="GR43">
        <v>0</v>
      </c>
      <c r="GS43">
        <v>0</v>
      </c>
      <c r="GT43">
        <v>0</v>
      </c>
      <c r="GV43">
        <f t="shared" si="53"/>
        <v>0</v>
      </c>
      <c r="GW43">
        <v>1</v>
      </c>
      <c r="GX43">
        <f t="shared" si="54"/>
        <v>0</v>
      </c>
      <c r="HA43">
        <v>0</v>
      </c>
      <c r="HB43">
        <v>0</v>
      </c>
      <c r="HC43">
        <f t="shared" si="55"/>
        <v>0</v>
      </c>
      <c r="HI43">
        <f t="shared" si="56"/>
        <v>0</v>
      </c>
      <c r="HJ43">
        <f t="shared" si="57"/>
        <v>-119478.27</v>
      </c>
      <c r="HK43">
        <f t="shared" si="58"/>
        <v>-106335.66</v>
      </c>
      <c r="HL43">
        <f t="shared" si="59"/>
        <v>-58544.35</v>
      </c>
      <c r="HN43" t="s">
        <v>29</v>
      </c>
      <c r="HO43" t="s">
        <v>30</v>
      </c>
      <c r="HP43" t="s">
        <v>27</v>
      </c>
      <c r="HQ43" t="s">
        <v>27</v>
      </c>
      <c r="IK43">
        <v>0</v>
      </c>
    </row>
    <row r="44" spans="1:255" ht="12.75">
      <c r="A44" s="2">
        <v>18</v>
      </c>
      <c r="B44" s="2">
        <v>1</v>
      </c>
      <c r="C44" s="2">
        <v>46</v>
      </c>
      <c r="D44" s="2"/>
      <c r="E44" s="2" t="s">
        <v>68</v>
      </c>
      <c r="F44" s="2" t="s">
        <v>32</v>
      </c>
      <c r="G44" s="2" t="s">
        <v>33</v>
      </c>
      <c r="H44" s="2" t="s">
        <v>34</v>
      </c>
      <c r="I44" s="2">
        <f>I42*J44</f>
        <v>-155.331</v>
      </c>
      <c r="J44" s="2">
        <v>-29.699999999999996</v>
      </c>
      <c r="K44" s="2">
        <v>1.1</v>
      </c>
      <c r="L44" s="2"/>
      <c r="M44" s="2"/>
      <c r="N44" s="2"/>
      <c r="O44" s="2">
        <f t="shared" si="21"/>
        <v>0</v>
      </c>
      <c r="P44" s="2">
        <f t="shared" si="22"/>
        <v>0</v>
      </c>
      <c r="Q44" s="2">
        <f t="shared" si="23"/>
        <v>0</v>
      </c>
      <c r="R44" s="2">
        <f t="shared" si="24"/>
        <v>0</v>
      </c>
      <c r="S44" s="2">
        <f t="shared" si="25"/>
        <v>0</v>
      </c>
      <c r="T44" s="2">
        <f t="shared" si="26"/>
        <v>0</v>
      </c>
      <c r="U44" s="2">
        <f t="shared" si="27"/>
        <v>0</v>
      </c>
      <c r="V44" s="2">
        <f t="shared" si="28"/>
        <v>0</v>
      </c>
      <c r="W44" s="2">
        <f t="shared" si="29"/>
        <v>0</v>
      </c>
      <c r="X44" s="2">
        <f t="shared" si="30"/>
        <v>0</v>
      </c>
      <c r="Y44" s="2">
        <f t="shared" si="31"/>
        <v>0</v>
      </c>
      <c r="Z44" s="2"/>
      <c r="AA44" s="2">
        <v>55454918</v>
      </c>
      <c r="AB44" s="2">
        <f t="shared" si="32"/>
        <v>0</v>
      </c>
      <c r="AC44" s="2">
        <f aca="true" t="shared" si="65" ref="AC44:AC53">ROUND((ES44),2)</f>
        <v>0</v>
      </c>
      <c r="AD44" s="2">
        <f>ROUND((((ET44)-(EU44))+AE44),2)</f>
        <v>0</v>
      </c>
      <c r="AE44" s="2">
        <f>ROUND((EU44),2)</f>
        <v>0</v>
      </c>
      <c r="AF44" s="2">
        <f>ROUND((EV44),2)</f>
        <v>0</v>
      </c>
      <c r="AG44" s="2">
        <f t="shared" si="34"/>
        <v>0</v>
      </c>
      <c r="AH44" s="2">
        <f>(EW44)</f>
        <v>0</v>
      </c>
      <c r="AI44" s="2">
        <f>(EX44)</f>
        <v>0</v>
      </c>
      <c r="AJ44" s="2">
        <f t="shared" si="36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89</v>
      </c>
      <c r="AU44" s="2">
        <v>49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57001</v>
      </c>
      <c r="BN44" s="2">
        <v>0</v>
      </c>
      <c r="BO44" s="2" t="s">
        <v>3</v>
      </c>
      <c r="BP44" s="2">
        <v>0</v>
      </c>
      <c r="BQ44" s="2">
        <v>6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89</v>
      </c>
      <c r="CA44" s="2">
        <v>49</v>
      </c>
      <c r="CB44" s="2" t="s">
        <v>3</v>
      </c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7"/>
        <v>0</v>
      </c>
      <c r="CQ44" s="2">
        <f t="shared" si="38"/>
        <v>0</v>
      </c>
      <c r="CR44" s="2">
        <f>(((ET44)*BB44-(EU44))+AE44)</f>
        <v>0</v>
      </c>
      <c r="CS44" s="2">
        <f t="shared" si="39"/>
        <v>0</v>
      </c>
      <c r="CT44" s="2">
        <f t="shared" si="40"/>
        <v>0</v>
      </c>
      <c r="CU44" s="2">
        <f t="shared" si="41"/>
        <v>0</v>
      </c>
      <c r="CV44" s="2">
        <f t="shared" si="42"/>
        <v>0</v>
      </c>
      <c r="CW44" s="2">
        <f t="shared" si="43"/>
        <v>0</v>
      </c>
      <c r="CX44" s="2">
        <f t="shared" si="44"/>
        <v>0</v>
      </c>
      <c r="CY44" s="2">
        <f t="shared" si="45"/>
        <v>0</v>
      </c>
      <c r="CZ44" s="2">
        <f t="shared" si="46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34</v>
      </c>
      <c r="DW44" s="2" t="s">
        <v>34</v>
      </c>
      <c r="DX44" s="2">
        <v>1000</v>
      </c>
      <c r="DY44" s="2"/>
      <c r="DZ44" s="2" t="s">
        <v>3</v>
      </c>
      <c r="EA44" s="2" t="s">
        <v>3</v>
      </c>
      <c r="EB44" s="2" t="s">
        <v>3</v>
      </c>
      <c r="EC44" s="2" t="s">
        <v>3</v>
      </c>
      <c r="ED44" s="2"/>
      <c r="EE44" s="2">
        <v>55471785</v>
      </c>
      <c r="EF44" s="2">
        <v>6</v>
      </c>
      <c r="EG44" s="2" t="s">
        <v>26</v>
      </c>
      <c r="EH44" s="2">
        <v>11</v>
      </c>
      <c r="EI44" s="2" t="s">
        <v>27</v>
      </c>
      <c r="EJ44" s="2">
        <v>1</v>
      </c>
      <c r="EK44" s="2">
        <v>57001</v>
      </c>
      <c r="EL44" s="2" t="s">
        <v>27</v>
      </c>
      <c r="EM44" s="2" t="s">
        <v>28</v>
      </c>
      <c r="EN44" s="2"/>
      <c r="EO44" s="2" t="s">
        <v>3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7"/>
        <v>0</v>
      </c>
      <c r="FS44" s="2">
        <v>0</v>
      </c>
      <c r="FT44" s="2"/>
      <c r="FU44" s="2"/>
      <c r="FV44" s="2"/>
      <c r="FW44" s="2"/>
      <c r="FX44" s="2">
        <v>89</v>
      </c>
      <c r="FY44" s="2">
        <v>49</v>
      </c>
      <c r="FZ44" s="2"/>
      <c r="GA44" s="2" t="s">
        <v>3</v>
      </c>
      <c r="GB44" s="2"/>
      <c r="GC44" s="2"/>
      <c r="GD44" s="2">
        <v>1</v>
      </c>
      <c r="GE44" s="2"/>
      <c r="GF44" s="2">
        <v>2102561428</v>
      </c>
      <c r="GG44" s="2">
        <v>2</v>
      </c>
      <c r="GH44" s="2">
        <v>1</v>
      </c>
      <c r="GI44" s="2">
        <v>-2</v>
      </c>
      <c r="GJ44" s="2">
        <v>0</v>
      </c>
      <c r="GK44" s="2">
        <v>0</v>
      </c>
      <c r="GL44" s="2">
        <f t="shared" si="48"/>
        <v>0</v>
      </c>
      <c r="GM44" s="2">
        <f t="shared" si="49"/>
        <v>0</v>
      </c>
      <c r="GN44" s="2">
        <f t="shared" si="50"/>
        <v>0</v>
      </c>
      <c r="GO44" s="2">
        <f t="shared" si="51"/>
        <v>0</v>
      </c>
      <c r="GP44" s="2">
        <f t="shared" si="52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3"/>
        <v>0</v>
      </c>
      <c r="GW44" s="2">
        <v>1</v>
      </c>
      <c r="GX44" s="2">
        <f t="shared" si="54"/>
        <v>0</v>
      </c>
      <c r="GY44" s="2"/>
      <c r="GZ44" s="2"/>
      <c r="HA44" s="2">
        <v>0</v>
      </c>
      <c r="HB44" s="2">
        <v>0</v>
      </c>
      <c r="HC44" s="2">
        <f t="shared" si="55"/>
        <v>0</v>
      </c>
      <c r="HD44" s="2"/>
      <c r="HE44" s="2" t="s">
        <v>3</v>
      </c>
      <c r="HF44" s="2" t="s">
        <v>3</v>
      </c>
      <c r="HG44" s="2"/>
      <c r="HH44" s="2"/>
      <c r="HI44" s="2">
        <f t="shared" si="56"/>
        <v>0</v>
      </c>
      <c r="HJ44" s="2">
        <f t="shared" si="57"/>
        <v>0</v>
      </c>
      <c r="HK44" s="2">
        <f t="shared" si="58"/>
        <v>0</v>
      </c>
      <c r="HL44" s="2">
        <f t="shared" si="59"/>
        <v>0</v>
      </c>
      <c r="HM44" s="2" t="s">
        <v>67</v>
      </c>
      <c r="HN44" s="2" t="s">
        <v>29</v>
      </c>
      <c r="HO44" s="2" t="s">
        <v>30</v>
      </c>
      <c r="HP44" s="2" t="s">
        <v>27</v>
      </c>
      <c r="HQ44" s="2" t="s">
        <v>27</v>
      </c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45" ht="12.75">
      <c r="A45">
        <v>18</v>
      </c>
      <c r="B45">
        <v>1</v>
      </c>
      <c r="C45">
        <v>48</v>
      </c>
      <c r="E45" t="s">
        <v>68</v>
      </c>
      <c r="F45" t="s">
        <v>32</v>
      </c>
      <c r="G45" t="s">
        <v>33</v>
      </c>
      <c r="H45" t="s">
        <v>34</v>
      </c>
      <c r="I45">
        <f>I43*J45</f>
        <v>-155.331</v>
      </c>
      <c r="J45">
        <v>-29.699999999999996</v>
      </c>
      <c r="K45">
        <v>1.1</v>
      </c>
      <c r="O45">
        <f t="shared" si="21"/>
        <v>0</v>
      </c>
      <c r="P45">
        <f t="shared" si="22"/>
        <v>0</v>
      </c>
      <c r="Q45">
        <f t="shared" si="23"/>
        <v>0</v>
      </c>
      <c r="R45">
        <f t="shared" si="24"/>
        <v>0</v>
      </c>
      <c r="S45">
        <f t="shared" si="25"/>
        <v>0</v>
      </c>
      <c r="T45">
        <f t="shared" si="26"/>
        <v>0</v>
      </c>
      <c r="U45">
        <f t="shared" si="27"/>
        <v>0</v>
      </c>
      <c r="V45">
        <f t="shared" si="28"/>
        <v>0</v>
      </c>
      <c r="W45">
        <f t="shared" si="29"/>
        <v>0</v>
      </c>
      <c r="X45">
        <f t="shared" si="30"/>
        <v>0</v>
      </c>
      <c r="Y45">
        <f t="shared" si="31"/>
        <v>0</v>
      </c>
      <c r="AA45">
        <v>55454919</v>
      </c>
      <c r="AB45">
        <f t="shared" si="32"/>
        <v>0</v>
      </c>
      <c r="AC45">
        <f t="shared" si="65"/>
        <v>0</v>
      </c>
      <c r="AD45">
        <f>ROUND((((ET45)-(EU45))+AE45),2)</f>
        <v>0</v>
      </c>
      <c r="AE45">
        <f>ROUND((EU45),2)</f>
        <v>0</v>
      </c>
      <c r="AF45">
        <f>ROUND((EV45),2)</f>
        <v>0</v>
      </c>
      <c r="AG45">
        <f t="shared" si="34"/>
        <v>0</v>
      </c>
      <c r="AH45">
        <f>(EW45)</f>
        <v>0</v>
      </c>
      <c r="AI45">
        <f>(EX45)</f>
        <v>0</v>
      </c>
      <c r="AJ45">
        <f t="shared" si="36"/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89</v>
      </c>
      <c r="AU45">
        <v>49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H45">
        <v>3</v>
      </c>
      <c r="BI45">
        <v>1</v>
      </c>
      <c r="BM45">
        <v>57001</v>
      </c>
      <c r="BN45">
        <v>0</v>
      </c>
      <c r="BP45">
        <v>0</v>
      </c>
      <c r="BQ45">
        <v>6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89</v>
      </c>
      <c r="CA45">
        <v>49</v>
      </c>
      <c r="CE45">
        <v>0</v>
      </c>
      <c r="CF45">
        <v>0</v>
      </c>
      <c r="CG45">
        <v>0</v>
      </c>
      <c r="CM45">
        <v>0</v>
      </c>
      <c r="CO45">
        <v>0</v>
      </c>
      <c r="CP45">
        <f t="shared" si="37"/>
        <v>0</v>
      </c>
      <c r="CQ45">
        <f t="shared" si="38"/>
        <v>0</v>
      </c>
      <c r="CR45">
        <f>(((ET45)*BB45-(EU45))+AE45)</f>
        <v>0</v>
      </c>
      <c r="CS45">
        <f t="shared" si="39"/>
        <v>0</v>
      </c>
      <c r="CT45">
        <f t="shared" si="40"/>
        <v>0</v>
      </c>
      <c r="CU45">
        <f t="shared" si="41"/>
        <v>0</v>
      </c>
      <c r="CV45">
        <f t="shared" si="42"/>
        <v>0</v>
      </c>
      <c r="CW45">
        <f t="shared" si="43"/>
        <v>0</v>
      </c>
      <c r="CX45">
        <f t="shared" si="44"/>
        <v>0</v>
      </c>
      <c r="CY45">
        <f t="shared" si="45"/>
        <v>0</v>
      </c>
      <c r="CZ45">
        <f t="shared" si="46"/>
        <v>0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34</v>
      </c>
      <c r="DW45" t="s">
        <v>34</v>
      </c>
      <c r="DX45">
        <v>1000</v>
      </c>
      <c r="EE45">
        <v>55471785</v>
      </c>
      <c r="EF45">
        <v>6</v>
      </c>
      <c r="EG45" t="s">
        <v>26</v>
      </c>
      <c r="EH45">
        <v>11</v>
      </c>
      <c r="EI45" t="s">
        <v>27</v>
      </c>
      <c r="EJ45">
        <v>1</v>
      </c>
      <c r="EK45">
        <v>57001</v>
      </c>
      <c r="EL45" t="s">
        <v>27</v>
      </c>
      <c r="EM45" t="s">
        <v>28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7"/>
        <v>0</v>
      </c>
      <c r="FS45">
        <v>0</v>
      </c>
      <c r="FX45">
        <v>89</v>
      </c>
      <c r="FY45">
        <v>49</v>
      </c>
      <c r="GD45">
        <v>1</v>
      </c>
      <c r="GF45">
        <v>2102561428</v>
      </c>
      <c r="GG45">
        <v>2</v>
      </c>
      <c r="GH45">
        <v>1</v>
      </c>
      <c r="GI45">
        <v>4</v>
      </c>
      <c r="GJ45">
        <v>0</v>
      </c>
      <c r="GK45">
        <v>0</v>
      </c>
      <c r="GL45">
        <f t="shared" si="48"/>
        <v>0</v>
      </c>
      <c r="GM45">
        <f t="shared" si="49"/>
        <v>0</v>
      </c>
      <c r="GN45">
        <f t="shared" si="50"/>
        <v>0</v>
      </c>
      <c r="GO45">
        <f t="shared" si="51"/>
        <v>0</v>
      </c>
      <c r="GP45">
        <f t="shared" si="52"/>
        <v>0</v>
      </c>
      <c r="GR45">
        <v>0</v>
      </c>
      <c r="GS45">
        <v>0</v>
      </c>
      <c r="GT45">
        <v>0</v>
      </c>
      <c r="GV45">
        <f t="shared" si="53"/>
        <v>0</v>
      </c>
      <c r="GW45">
        <v>1</v>
      </c>
      <c r="GX45">
        <f t="shared" si="54"/>
        <v>0</v>
      </c>
      <c r="HA45">
        <v>0</v>
      </c>
      <c r="HB45">
        <v>0</v>
      </c>
      <c r="HC45">
        <f t="shared" si="55"/>
        <v>0</v>
      </c>
      <c r="HI45">
        <f t="shared" si="56"/>
        <v>0</v>
      </c>
      <c r="HJ45">
        <f t="shared" si="57"/>
        <v>0</v>
      </c>
      <c r="HK45">
        <f t="shared" si="58"/>
        <v>0</v>
      </c>
      <c r="HL45">
        <f t="shared" si="59"/>
        <v>0</v>
      </c>
      <c r="HM45" t="s">
        <v>67</v>
      </c>
      <c r="HN45" t="s">
        <v>29</v>
      </c>
      <c r="HO45" t="s">
        <v>30</v>
      </c>
      <c r="HP45" t="s">
        <v>27</v>
      </c>
      <c r="HQ45" t="s">
        <v>27</v>
      </c>
      <c r="IK45">
        <v>0</v>
      </c>
    </row>
    <row r="46" spans="1:255" ht="12.75">
      <c r="A46" s="2">
        <v>17</v>
      </c>
      <c r="B46" s="2">
        <v>1</v>
      </c>
      <c r="C46" s="2">
        <f>ROW(SmtRes!A58)</f>
        <v>58</v>
      </c>
      <c r="D46" s="2">
        <f>ROW(EtalonRes!A59)</f>
        <v>59</v>
      </c>
      <c r="E46" s="2" t="s">
        <v>69</v>
      </c>
      <c r="F46" s="2" t="s">
        <v>70</v>
      </c>
      <c r="G46" s="2" t="s">
        <v>71</v>
      </c>
      <c r="H46" s="2" t="s">
        <v>38</v>
      </c>
      <c r="I46" s="2">
        <f>ROUND(ROUND(523/100,2),7)</f>
        <v>5.23</v>
      </c>
      <c r="J46" s="2">
        <v>0</v>
      </c>
      <c r="K46" s="2">
        <f>ROUND(ROUND(523/100,2),7)</f>
        <v>5.23</v>
      </c>
      <c r="L46" s="2"/>
      <c r="M46" s="2"/>
      <c r="N46" s="2"/>
      <c r="O46" s="2">
        <f t="shared" si="21"/>
        <v>1526.04</v>
      </c>
      <c r="P46" s="2">
        <f t="shared" si="22"/>
        <v>103.5</v>
      </c>
      <c r="Q46" s="2">
        <f t="shared" si="23"/>
        <v>81.46</v>
      </c>
      <c r="R46" s="2">
        <f t="shared" si="24"/>
        <v>6.8</v>
      </c>
      <c r="S46" s="2">
        <f t="shared" si="25"/>
        <v>1341.08</v>
      </c>
      <c r="T46" s="2">
        <f t="shared" si="26"/>
        <v>0</v>
      </c>
      <c r="U46" s="2">
        <f t="shared" si="27"/>
        <v>157.21903</v>
      </c>
      <c r="V46" s="2">
        <f t="shared" si="28"/>
        <v>0.588375</v>
      </c>
      <c r="W46" s="2">
        <f t="shared" si="29"/>
        <v>0</v>
      </c>
      <c r="X46" s="2">
        <f t="shared" si="30"/>
        <v>1358.66</v>
      </c>
      <c r="Y46" s="2">
        <f t="shared" si="31"/>
        <v>744.7</v>
      </c>
      <c r="Z46" s="2"/>
      <c r="AA46" s="2">
        <v>55454918</v>
      </c>
      <c r="AB46" s="2">
        <f t="shared" si="32"/>
        <v>291.79</v>
      </c>
      <c r="AC46" s="2">
        <f t="shared" si="65"/>
        <v>19.79</v>
      </c>
      <c r="AD46" s="2">
        <f>ROUND(((((ET46*ROUND(1.25,7)))-((EU46*ROUND(1.25,7))))+AE46),2)</f>
        <v>15.58</v>
      </c>
      <c r="AE46" s="2">
        <f>ROUND(((EU46*ROUND(1.25,7))),2)</f>
        <v>1.3</v>
      </c>
      <c r="AF46" s="2">
        <f>ROUND(((EV46*ROUND(1.15,7))),2)</f>
        <v>256.42</v>
      </c>
      <c r="AG46" s="2">
        <f t="shared" si="34"/>
        <v>0</v>
      </c>
      <c r="AH46" s="2">
        <f>((EW46*ROUND(1.15,7)))</f>
        <v>30.061</v>
      </c>
      <c r="AI46" s="2">
        <f>((EX46*ROUND(1.25,7)))</f>
        <v>0.11249999999999999</v>
      </c>
      <c r="AJ46" s="2">
        <f t="shared" si="36"/>
        <v>0</v>
      </c>
      <c r="AK46" s="2">
        <v>255.22</v>
      </c>
      <c r="AL46" s="2">
        <v>19.79</v>
      </c>
      <c r="AM46" s="2">
        <v>12.46</v>
      </c>
      <c r="AN46" s="2">
        <v>1.04</v>
      </c>
      <c r="AO46" s="2">
        <v>222.97</v>
      </c>
      <c r="AP46" s="2">
        <v>0</v>
      </c>
      <c r="AQ46" s="2">
        <v>26.14</v>
      </c>
      <c r="AR46" s="2">
        <v>0.09</v>
      </c>
      <c r="AS46" s="2">
        <v>0</v>
      </c>
      <c r="AT46" s="2">
        <v>100.8</v>
      </c>
      <c r="AU46" s="2">
        <v>55.25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72</v>
      </c>
      <c r="BK46" s="2"/>
      <c r="BL46" s="2"/>
      <c r="BM46" s="2">
        <v>11001</v>
      </c>
      <c r="BN46" s="2">
        <v>0</v>
      </c>
      <c r="BO46" s="2" t="s">
        <v>3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112</v>
      </c>
      <c r="CA46" s="2">
        <v>65</v>
      </c>
      <c r="CB46" s="2" t="s">
        <v>3</v>
      </c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409</v>
      </c>
      <c r="CO46" s="2">
        <v>0</v>
      </c>
      <c r="CP46" s="2">
        <f t="shared" si="37"/>
        <v>1526.04</v>
      </c>
      <c r="CQ46" s="2">
        <f t="shared" si="38"/>
        <v>19.79</v>
      </c>
      <c r="CR46" s="2">
        <f>((((ET46*ROUND(1.25,7)))*BB46-((EU46*ROUND(1.25,7))))+AE46)</f>
        <v>15.575000000000001</v>
      </c>
      <c r="CS46" s="2">
        <f t="shared" si="39"/>
        <v>1.3</v>
      </c>
      <c r="CT46" s="2">
        <f t="shared" si="40"/>
        <v>256.42</v>
      </c>
      <c r="CU46" s="2">
        <f t="shared" si="41"/>
        <v>0</v>
      </c>
      <c r="CV46" s="2">
        <f t="shared" si="42"/>
        <v>30.061</v>
      </c>
      <c r="CW46" s="2">
        <f t="shared" si="43"/>
        <v>0.11249999999999999</v>
      </c>
      <c r="CX46" s="2">
        <f t="shared" si="44"/>
        <v>0</v>
      </c>
      <c r="CY46" s="2">
        <f t="shared" si="45"/>
        <v>1358.6630399999997</v>
      </c>
      <c r="CZ46" s="2">
        <f t="shared" si="46"/>
        <v>744.7036999999999</v>
      </c>
      <c r="DA46" s="2"/>
      <c r="DB46" s="2"/>
      <c r="DC46" s="2" t="s">
        <v>3</v>
      </c>
      <c r="DD46" s="2" t="s">
        <v>3</v>
      </c>
      <c r="DE46" s="2" t="s">
        <v>73</v>
      </c>
      <c r="DF46" s="2" t="s">
        <v>73</v>
      </c>
      <c r="DG46" s="2" t="s">
        <v>74</v>
      </c>
      <c r="DH46" s="2" t="s">
        <v>3</v>
      </c>
      <c r="DI46" s="2" t="s">
        <v>74</v>
      </c>
      <c r="DJ46" s="2" t="s">
        <v>73</v>
      </c>
      <c r="DK46" s="2" t="s">
        <v>3</v>
      </c>
      <c r="DL46" s="2" t="s">
        <v>75</v>
      </c>
      <c r="DM46" s="2" t="s">
        <v>76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38</v>
      </c>
      <c r="DW46" s="2" t="s">
        <v>38</v>
      </c>
      <c r="DX46" s="2">
        <v>100</v>
      </c>
      <c r="DY46" s="2"/>
      <c r="DZ46" s="2" t="s">
        <v>3</v>
      </c>
      <c r="EA46" s="2" t="s">
        <v>3</v>
      </c>
      <c r="EB46" s="2" t="s">
        <v>3</v>
      </c>
      <c r="EC46" s="2" t="s">
        <v>3</v>
      </c>
      <c r="ED46" s="2"/>
      <c r="EE46" s="2">
        <v>55471663</v>
      </c>
      <c r="EF46" s="2">
        <v>2</v>
      </c>
      <c r="EG46" s="2" t="s">
        <v>43</v>
      </c>
      <c r="EH46" s="2">
        <v>11</v>
      </c>
      <c r="EI46" s="2" t="s">
        <v>27</v>
      </c>
      <c r="EJ46" s="2">
        <v>1</v>
      </c>
      <c r="EK46" s="2">
        <v>11001</v>
      </c>
      <c r="EL46" s="2" t="s">
        <v>27</v>
      </c>
      <c r="EM46" s="2" t="s">
        <v>44</v>
      </c>
      <c r="EN46" s="2"/>
      <c r="EO46" s="2" t="s">
        <v>77</v>
      </c>
      <c r="EP46" s="2"/>
      <c r="EQ46" s="2">
        <v>0</v>
      </c>
      <c r="ER46" s="2">
        <v>255.22</v>
      </c>
      <c r="ES46" s="2">
        <v>19.79</v>
      </c>
      <c r="ET46" s="2">
        <v>12.46</v>
      </c>
      <c r="EU46" s="2">
        <v>1.04</v>
      </c>
      <c r="EV46" s="2">
        <v>222.97</v>
      </c>
      <c r="EW46" s="2">
        <v>26.14</v>
      </c>
      <c r="EX46" s="2">
        <v>0.09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7"/>
        <v>0</v>
      </c>
      <c r="FS46" s="2">
        <v>0</v>
      </c>
      <c r="FT46" s="2"/>
      <c r="FU46" s="2"/>
      <c r="FV46" s="2"/>
      <c r="FW46" s="2"/>
      <c r="FX46" s="2">
        <v>100.8</v>
      </c>
      <c r="FY46" s="2">
        <v>55.25</v>
      </c>
      <c r="FZ46" s="2"/>
      <c r="GA46" s="2" t="s">
        <v>3</v>
      </c>
      <c r="GB46" s="2"/>
      <c r="GC46" s="2"/>
      <c r="GD46" s="2">
        <v>1</v>
      </c>
      <c r="GE46" s="2"/>
      <c r="GF46" s="2">
        <v>-680673110</v>
      </c>
      <c r="GG46" s="2">
        <v>2</v>
      </c>
      <c r="GH46" s="2">
        <v>1</v>
      </c>
      <c r="GI46" s="2">
        <v>-2</v>
      </c>
      <c r="GJ46" s="2">
        <v>0</v>
      </c>
      <c r="GK46" s="2">
        <v>0</v>
      </c>
      <c r="GL46" s="2">
        <f t="shared" si="48"/>
        <v>0</v>
      </c>
      <c r="GM46" s="2">
        <f t="shared" si="49"/>
        <v>3629.4</v>
      </c>
      <c r="GN46" s="2">
        <f t="shared" si="50"/>
        <v>3629.4</v>
      </c>
      <c r="GO46" s="2">
        <f t="shared" si="51"/>
        <v>0</v>
      </c>
      <c r="GP46" s="2">
        <f t="shared" si="52"/>
        <v>0</v>
      </c>
      <c r="GQ46" s="2"/>
      <c r="GR46" s="2">
        <v>0</v>
      </c>
      <c r="GS46" s="2">
        <v>0</v>
      </c>
      <c r="GT46" s="2">
        <v>0</v>
      </c>
      <c r="GU46" s="2" t="s">
        <v>3</v>
      </c>
      <c r="GV46" s="2">
        <f t="shared" si="53"/>
        <v>0</v>
      </c>
      <c r="GW46" s="2">
        <v>1</v>
      </c>
      <c r="GX46" s="2">
        <f t="shared" si="54"/>
        <v>0</v>
      </c>
      <c r="GY46" s="2"/>
      <c r="GZ46" s="2"/>
      <c r="HA46" s="2">
        <v>0</v>
      </c>
      <c r="HB46" s="2">
        <v>0</v>
      </c>
      <c r="HC46" s="2">
        <f t="shared" si="55"/>
        <v>0</v>
      </c>
      <c r="HD46" s="2"/>
      <c r="HE46" s="2" t="s">
        <v>3</v>
      </c>
      <c r="HF46" s="2" t="s">
        <v>3</v>
      </c>
      <c r="HG46" s="2"/>
      <c r="HH46" s="2"/>
      <c r="HI46" s="2">
        <f t="shared" si="56"/>
        <v>6.8</v>
      </c>
      <c r="HJ46" s="2">
        <f t="shared" si="57"/>
        <v>1341.08</v>
      </c>
      <c r="HK46" s="2">
        <f t="shared" si="58"/>
        <v>1358.66</v>
      </c>
      <c r="HL46" s="2">
        <f t="shared" si="59"/>
        <v>744.7</v>
      </c>
      <c r="HM46" s="2" t="s">
        <v>3</v>
      </c>
      <c r="HN46" s="2" t="s">
        <v>46</v>
      </c>
      <c r="HO46" s="2" t="s">
        <v>47</v>
      </c>
      <c r="HP46" s="2" t="s">
        <v>27</v>
      </c>
      <c r="HQ46" s="2" t="s">
        <v>27</v>
      </c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45" ht="12.75">
      <c r="A47">
        <v>17</v>
      </c>
      <c r="B47">
        <v>1</v>
      </c>
      <c r="C47">
        <f>ROW(SmtRes!A68)</f>
        <v>68</v>
      </c>
      <c r="D47">
        <f>ROW(EtalonRes!A68)</f>
        <v>68</v>
      </c>
      <c r="E47" t="s">
        <v>69</v>
      </c>
      <c r="F47" t="s">
        <v>70</v>
      </c>
      <c r="G47" t="s">
        <v>71</v>
      </c>
      <c r="H47" t="s">
        <v>38</v>
      </c>
      <c r="I47">
        <f>ROUND(ROUND(523/100,2),7)</f>
        <v>5.23</v>
      </c>
      <c r="J47">
        <v>0</v>
      </c>
      <c r="K47">
        <f>ROUND(ROUND(523/100,2),7)</f>
        <v>5.23</v>
      </c>
      <c r="O47">
        <f t="shared" si="21"/>
        <v>1526.04</v>
      </c>
      <c r="P47">
        <f t="shared" si="22"/>
        <v>103.5</v>
      </c>
      <c r="Q47">
        <f t="shared" si="23"/>
        <v>81.46</v>
      </c>
      <c r="R47">
        <f t="shared" si="24"/>
        <v>6.8</v>
      </c>
      <c r="S47">
        <f t="shared" si="25"/>
        <v>1341.08</v>
      </c>
      <c r="T47">
        <f t="shared" si="26"/>
        <v>0</v>
      </c>
      <c r="U47">
        <f t="shared" si="27"/>
        <v>157.21903</v>
      </c>
      <c r="V47">
        <f t="shared" si="28"/>
        <v>0.588375</v>
      </c>
      <c r="W47">
        <f t="shared" si="29"/>
        <v>0</v>
      </c>
      <c r="X47">
        <f t="shared" si="30"/>
        <v>1358.66</v>
      </c>
      <c r="Y47">
        <f t="shared" si="31"/>
        <v>744.7</v>
      </c>
      <c r="AA47">
        <v>55454919</v>
      </c>
      <c r="AB47">
        <f t="shared" si="32"/>
        <v>291.79</v>
      </c>
      <c r="AC47">
        <f t="shared" si="65"/>
        <v>19.79</v>
      </c>
      <c r="AD47">
        <f>ROUND(((((ET47*ROUND(1.25,7)))-((EU47*ROUND(1.25,7))))+AE47),2)</f>
        <v>15.58</v>
      </c>
      <c r="AE47">
        <f>ROUND(((EU47*ROUND(1.25,7))),2)</f>
        <v>1.3</v>
      </c>
      <c r="AF47">
        <f>ROUND(((EV47*ROUND(1.15,7))),2)</f>
        <v>256.42</v>
      </c>
      <c r="AG47">
        <f t="shared" si="34"/>
        <v>0</v>
      </c>
      <c r="AH47">
        <f>((EW47*ROUND(1.15,7)))</f>
        <v>30.061</v>
      </c>
      <c r="AI47">
        <f>((EX47*ROUND(1.25,7)))</f>
        <v>0.11249999999999999</v>
      </c>
      <c r="AJ47">
        <f t="shared" si="36"/>
        <v>0</v>
      </c>
      <c r="AK47">
        <v>255.22</v>
      </c>
      <c r="AL47">
        <v>19.79</v>
      </c>
      <c r="AM47">
        <v>12.46</v>
      </c>
      <c r="AN47">
        <v>1.04</v>
      </c>
      <c r="AO47">
        <v>222.97</v>
      </c>
      <c r="AP47">
        <v>0</v>
      </c>
      <c r="AQ47">
        <v>26.14</v>
      </c>
      <c r="AR47">
        <v>0.09</v>
      </c>
      <c r="AS47">
        <v>0</v>
      </c>
      <c r="AT47">
        <v>100.8</v>
      </c>
      <c r="AU47">
        <v>55.25</v>
      </c>
      <c r="AV47">
        <v>1</v>
      </c>
      <c r="AW47">
        <v>1</v>
      </c>
      <c r="AZ47">
        <v>1</v>
      </c>
      <c r="BA47">
        <v>36.47</v>
      </c>
      <c r="BB47">
        <v>1</v>
      </c>
      <c r="BC47">
        <v>1</v>
      </c>
      <c r="BH47">
        <v>0</v>
      </c>
      <c r="BI47">
        <v>1</v>
      </c>
      <c r="BJ47" t="s">
        <v>72</v>
      </c>
      <c r="BM47">
        <v>11001</v>
      </c>
      <c r="BN47">
        <v>0</v>
      </c>
      <c r="BP47">
        <v>0</v>
      </c>
      <c r="BQ47">
        <v>2</v>
      </c>
      <c r="BR47">
        <v>0</v>
      </c>
      <c r="BS47">
        <v>36.47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112</v>
      </c>
      <c r="CA47">
        <v>65</v>
      </c>
      <c r="CE47">
        <v>0</v>
      </c>
      <c r="CF47">
        <v>0</v>
      </c>
      <c r="CG47">
        <v>0</v>
      </c>
      <c r="CM47">
        <v>0</v>
      </c>
      <c r="CN47" t="s">
        <v>409</v>
      </c>
      <c r="CO47">
        <v>0</v>
      </c>
      <c r="CP47">
        <f t="shared" si="37"/>
        <v>1526.04</v>
      </c>
      <c r="CQ47">
        <f t="shared" si="38"/>
        <v>19.79</v>
      </c>
      <c r="CR47">
        <f>((((ET47*ROUND(1.25,7)))*BB47-((EU47*ROUND(1.25,7))))+AE47)</f>
        <v>15.575000000000001</v>
      </c>
      <c r="CS47">
        <f t="shared" si="39"/>
        <v>1.3</v>
      </c>
      <c r="CT47">
        <f t="shared" si="40"/>
        <v>256.42</v>
      </c>
      <c r="CU47">
        <f t="shared" si="41"/>
        <v>0</v>
      </c>
      <c r="CV47">
        <f t="shared" si="42"/>
        <v>30.061</v>
      </c>
      <c r="CW47">
        <f t="shared" si="43"/>
        <v>0.11249999999999999</v>
      </c>
      <c r="CX47">
        <f t="shared" si="44"/>
        <v>0</v>
      </c>
      <c r="CY47">
        <f t="shared" si="45"/>
        <v>1358.6630399999997</v>
      </c>
      <c r="CZ47">
        <f t="shared" si="46"/>
        <v>744.7036999999999</v>
      </c>
      <c r="DE47" t="s">
        <v>73</v>
      </c>
      <c r="DF47" t="s">
        <v>73</v>
      </c>
      <c r="DG47" t="s">
        <v>74</v>
      </c>
      <c r="DI47" t="s">
        <v>74</v>
      </c>
      <c r="DJ47" t="s">
        <v>73</v>
      </c>
      <c r="DL47" t="s">
        <v>75</v>
      </c>
      <c r="DM47" t="s">
        <v>76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38</v>
      </c>
      <c r="DW47" t="s">
        <v>38</v>
      </c>
      <c r="DX47">
        <v>100</v>
      </c>
      <c r="EE47">
        <v>55471663</v>
      </c>
      <c r="EF47">
        <v>2</v>
      </c>
      <c r="EG47" t="s">
        <v>43</v>
      </c>
      <c r="EH47">
        <v>11</v>
      </c>
      <c r="EI47" t="s">
        <v>27</v>
      </c>
      <c r="EJ47">
        <v>1</v>
      </c>
      <c r="EK47">
        <v>11001</v>
      </c>
      <c r="EL47" t="s">
        <v>27</v>
      </c>
      <c r="EM47" t="s">
        <v>44</v>
      </c>
      <c r="EO47" t="s">
        <v>77</v>
      </c>
      <c r="EQ47">
        <v>0</v>
      </c>
      <c r="ER47">
        <v>255.22</v>
      </c>
      <c r="ES47">
        <v>19.79</v>
      </c>
      <c r="ET47">
        <v>12.46</v>
      </c>
      <c r="EU47">
        <v>1.04</v>
      </c>
      <c r="EV47">
        <v>222.97</v>
      </c>
      <c r="EW47">
        <v>26.14</v>
      </c>
      <c r="EX47">
        <v>0.09</v>
      </c>
      <c r="EY47">
        <v>0</v>
      </c>
      <c r="FQ47">
        <v>0</v>
      </c>
      <c r="FR47">
        <f t="shared" si="47"/>
        <v>0</v>
      </c>
      <c r="FS47">
        <v>0</v>
      </c>
      <c r="FX47">
        <v>100.8</v>
      </c>
      <c r="FY47">
        <v>55.25</v>
      </c>
      <c r="GD47">
        <v>1</v>
      </c>
      <c r="GF47">
        <v>-680673110</v>
      </c>
      <c r="GG47">
        <v>2</v>
      </c>
      <c r="GH47">
        <v>1</v>
      </c>
      <c r="GI47">
        <v>4</v>
      </c>
      <c r="GJ47">
        <v>0</v>
      </c>
      <c r="GK47">
        <v>0</v>
      </c>
      <c r="GL47">
        <f t="shared" si="48"/>
        <v>0</v>
      </c>
      <c r="GM47">
        <f t="shared" si="49"/>
        <v>3629.4</v>
      </c>
      <c r="GN47">
        <f t="shared" si="50"/>
        <v>3629.4</v>
      </c>
      <c r="GO47">
        <f t="shared" si="51"/>
        <v>0</v>
      </c>
      <c r="GP47">
        <f t="shared" si="52"/>
        <v>0</v>
      </c>
      <c r="GR47">
        <v>0</v>
      </c>
      <c r="GS47">
        <v>0</v>
      </c>
      <c r="GT47">
        <v>0</v>
      </c>
      <c r="GV47">
        <f t="shared" si="53"/>
        <v>0</v>
      </c>
      <c r="GW47">
        <v>1</v>
      </c>
      <c r="GX47">
        <f t="shared" si="54"/>
        <v>0</v>
      </c>
      <c r="HA47">
        <v>0</v>
      </c>
      <c r="HB47">
        <v>0</v>
      </c>
      <c r="HC47">
        <f t="shared" si="55"/>
        <v>0</v>
      </c>
      <c r="HI47">
        <f t="shared" si="56"/>
        <v>248</v>
      </c>
      <c r="HJ47">
        <f t="shared" si="57"/>
        <v>48909.19</v>
      </c>
      <c r="HK47">
        <f t="shared" si="58"/>
        <v>49550.45</v>
      </c>
      <c r="HL47">
        <f t="shared" si="59"/>
        <v>27159.35</v>
      </c>
      <c r="HN47" t="s">
        <v>46</v>
      </c>
      <c r="HO47" t="s">
        <v>47</v>
      </c>
      <c r="HP47" t="s">
        <v>27</v>
      </c>
      <c r="HQ47" t="s">
        <v>27</v>
      </c>
      <c r="IK47">
        <v>0</v>
      </c>
    </row>
    <row r="48" spans="1:255" ht="12.75">
      <c r="A48" s="2">
        <v>18</v>
      </c>
      <c r="B48" s="2">
        <v>1</v>
      </c>
      <c r="C48" s="2">
        <v>56</v>
      </c>
      <c r="D48" s="2"/>
      <c r="E48" s="2" t="s">
        <v>78</v>
      </c>
      <c r="F48" s="2" t="s">
        <v>79</v>
      </c>
      <c r="G48" s="2" t="s">
        <v>80</v>
      </c>
      <c r="H48" s="2" t="s">
        <v>34</v>
      </c>
      <c r="I48" s="2">
        <f>I46*J48</f>
        <v>2.358453</v>
      </c>
      <c r="J48" s="2">
        <v>0.45094703632887184</v>
      </c>
      <c r="K48" s="2">
        <v>0.450947</v>
      </c>
      <c r="L48" s="2"/>
      <c r="M48" s="2"/>
      <c r="N48" s="2"/>
      <c r="O48" s="2">
        <f t="shared" si="21"/>
        <v>6326.76</v>
      </c>
      <c r="P48" s="2">
        <f t="shared" si="22"/>
        <v>6326.76</v>
      </c>
      <c r="Q48" s="2">
        <f t="shared" si="23"/>
        <v>0</v>
      </c>
      <c r="R48" s="2">
        <f t="shared" si="24"/>
        <v>0</v>
      </c>
      <c r="S48" s="2">
        <f t="shared" si="25"/>
        <v>0</v>
      </c>
      <c r="T48" s="2">
        <f t="shared" si="26"/>
        <v>0</v>
      </c>
      <c r="U48" s="2">
        <f t="shared" si="27"/>
        <v>0</v>
      </c>
      <c r="V48" s="2">
        <f t="shared" si="28"/>
        <v>0</v>
      </c>
      <c r="W48" s="2">
        <f t="shared" si="29"/>
        <v>0</v>
      </c>
      <c r="X48" s="2">
        <f t="shared" si="30"/>
        <v>0</v>
      </c>
      <c r="Y48" s="2">
        <f t="shared" si="31"/>
        <v>0</v>
      </c>
      <c r="Z48" s="2"/>
      <c r="AA48" s="2">
        <v>55454918</v>
      </c>
      <c r="AB48" s="2">
        <f t="shared" si="32"/>
        <v>2682.59</v>
      </c>
      <c r="AC48" s="2">
        <f t="shared" si="65"/>
        <v>2682.59</v>
      </c>
      <c r="AD48" s="2">
        <f aca="true" t="shared" si="66" ref="AD48:AD53">ROUND((((ET48)-(EU48))+AE48),2)</f>
        <v>0</v>
      </c>
      <c r="AE48" s="2">
        <f aca="true" t="shared" si="67" ref="AE48:AF53">ROUND((EU48),2)</f>
        <v>0</v>
      </c>
      <c r="AF48" s="2">
        <f t="shared" si="67"/>
        <v>0</v>
      </c>
      <c r="AG48" s="2">
        <f t="shared" si="34"/>
        <v>0</v>
      </c>
      <c r="AH48" s="2">
        <f aca="true" t="shared" si="68" ref="AH48:AI53">(EW48)</f>
        <v>0</v>
      </c>
      <c r="AI48" s="2">
        <f t="shared" si="68"/>
        <v>0</v>
      </c>
      <c r="AJ48" s="2">
        <f t="shared" si="36"/>
        <v>0</v>
      </c>
      <c r="AK48" s="2">
        <v>2682.59</v>
      </c>
      <c r="AL48" s="2">
        <v>2682.59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112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81</v>
      </c>
      <c r="BK48" s="2"/>
      <c r="BL48" s="2"/>
      <c r="BM48" s="2">
        <v>11001</v>
      </c>
      <c r="BN48" s="2">
        <v>0</v>
      </c>
      <c r="BO48" s="2" t="s">
        <v>3</v>
      </c>
      <c r="BP48" s="2">
        <v>0</v>
      </c>
      <c r="BQ48" s="2">
        <v>2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112</v>
      </c>
      <c r="CA48" s="2">
        <v>65</v>
      </c>
      <c r="CB48" s="2" t="s">
        <v>3</v>
      </c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7"/>
        <v>6326.76</v>
      </c>
      <c r="CQ48" s="2">
        <f t="shared" si="38"/>
        <v>2682.59</v>
      </c>
      <c r="CR48" s="2">
        <f aca="true" t="shared" si="69" ref="CR48:CR53">(((ET48)*BB48-(EU48))+AE48)</f>
        <v>0</v>
      </c>
      <c r="CS48" s="2">
        <f t="shared" si="39"/>
        <v>0</v>
      </c>
      <c r="CT48" s="2">
        <f t="shared" si="40"/>
        <v>0</v>
      </c>
      <c r="CU48" s="2">
        <f t="shared" si="41"/>
        <v>0</v>
      </c>
      <c r="CV48" s="2">
        <f t="shared" si="42"/>
        <v>0</v>
      </c>
      <c r="CW48" s="2">
        <f t="shared" si="43"/>
        <v>0</v>
      </c>
      <c r="CX48" s="2">
        <f t="shared" si="44"/>
        <v>0</v>
      </c>
      <c r="CY48" s="2">
        <f t="shared" si="45"/>
        <v>0</v>
      </c>
      <c r="CZ48" s="2">
        <f t="shared" si="46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34</v>
      </c>
      <c r="DW48" s="2" t="s">
        <v>34</v>
      </c>
      <c r="DX48" s="2">
        <v>1000</v>
      </c>
      <c r="DY48" s="2"/>
      <c r="DZ48" s="2" t="s">
        <v>3</v>
      </c>
      <c r="EA48" s="2" t="s">
        <v>3</v>
      </c>
      <c r="EB48" s="2" t="s">
        <v>3</v>
      </c>
      <c r="EC48" s="2" t="s">
        <v>3</v>
      </c>
      <c r="ED48" s="2"/>
      <c r="EE48" s="2">
        <v>55471663</v>
      </c>
      <c r="EF48" s="2">
        <v>2</v>
      </c>
      <c r="EG48" s="2" t="s">
        <v>43</v>
      </c>
      <c r="EH48" s="2">
        <v>11</v>
      </c>
      <c r="EI48" s="2" t="s">
        <v>27</v>
      </c>
      <c r="EJ48" s="2">
        <v>1</v>
      </c>
      <c r="EK48" s="2">
        <v>11001</v>
      </c>
      <c r="EL48" s="2" t="s">
        <v>27</v>
      </c>
      <c r="EM48" s="2" t="s">
        <v>44</v>
      </c>
      <c r="EN48" s="2"/>
      <c r="EO48" s="2" t="s">
        <v>3</v>
      </c>
      <c r="EP48" s="2"/>
      <c r="EQ48" s="2">
        <v>0</v>
      </c>
      <c r="ER48" s="2">
        <v>2682.59</v>
      </c>
      <c r="ES48" s="2">
        <v>2682.59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7"/>
        <v>0</v>
      </c>
      <c r="FS48" s="2">
        <v>0</v>
      </c>
      <c r="FT48" s="2"/>
      <c r="FU48" s="2"/>
      <c r="FV48" s="2"/>
      <c r="FW48" s="2"/>
      <c r="FX48" s="2">
        <v>112</v>
      </c>
      <c r="FY48" s="2">
        <v>65</v>
      </c>
      <c r="FZ48" s="2"/>
      <c r="GA48" s="2" t="s">
        <v>3</v>
      </c>
      <c r="GB48" s="2"/>
      <c r="GC48" s="2"/>
      <c r="GD48" s="2">
        <v>1</v>
      </c>
      <c r="GE48" s="2"/>
      <c r="GF48" s="2">
        <v>-224352410</v>
      </c>
      <c r="GG48" s="2">
        <v>2</v>
      </c>
      <c r="GH48" s="2">
        <v>1</v>
      </c>
      <c r="GI48" s="2">
        <v>-2</v>
      </c>
      <c r="GJ48" s="2">
        <v>0</v>
      </c>
      <c r="GK48" s="2">
        <v>0</v>
      </c>
      <c r="GL48" s="2">
        <f t="shared" si="48"/>
        <v>0</v>
      </c>
      <c r="GM48" s="2">
        <f t="shared" si="49"/>
        <v>6326.76</v>
      </c>
      <c r="GN48" s="2">
        <f t="shared" si="50"/>
        <v>6326.76</v>
      </c>
      <c r="GO48" s="2">
        <f t="shared" si="51"/>
        <v>0</v>
      </c>
      <c r="GP48" s="2">
        <f t="shared" si="52"/>
        <v>0</v>
      </c>
      <c r="GQ48" s="2"/>
      <c r="GR48" s="2">
        <v>0</v>
      </c>
      <c r="GS48" s="2">
        <v>0</v>
      </c>
      <c r="GT48" s="2">
        <v>0</v>
      </c>
      <c r="GU48" s="2" t="s">
        <v>3</v>
      </c>
      <c r="GV48" s="2">
        <f t="shared" si="53"/>
        <v>0</v>
      </c>
      <c r="GW48" s="2">
        <v>1</v>
      </c>
      <c r="GX48" s="2">
        <f t="shared" si="54"/>
        <v>0</v>
      </c>
      <c r="GY48" s="2"/>
      <c r="GZ48" s="2"/>
      <c r="HA48" s="2">
        <v>0</v>
      </c>
      <c r="HB48" s="2">
        <v>0</v>
      </c>
      <c r="HC48" s="2">
        <f t="shared" si="55"/>
        <v>0</v>
      </c>
      <c r="HD48" s="2"/>
      <c r="HE48" s="2" t="s">
        <v>3</v>
      </c>
      <c r="HF48" s="2" t="s">
        <v>3</v>
      </c>
      <c r="HG48" s="2"/>
      <c r="HH48" s="2"/>
      <c r="HI48" s="2">
        <f t="shared" si="56"/>
        <v>0</v>
      </c>
      <c r="HJ48" s="2">
        <f t="shared" si="57"/>
        <v>0</v>
      </c>
      <c r="HK48" s="2">
        <f t="shared" si="58"/>
        <v>0</v>
      </c>
      <c r="HL48" s="2">
        <f t="shared" si="59"/>
        <v>0</v>
      </c>
      <c r="HM48" s="2" t="s">
        <v>3</v>
      </c>
      <c r="HN48" s="2" t="s">
        <v>46</v>
      </c>
      <c r="HO48" s="2" t="s">
        <v>47</v>
      </c>
      <c r="HP48" s="2" t="s">
        <v>27</v>
      </c>
      <c r="HQ48" s="2" t="s">
        <v>27</v>
      </c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45" ht="12.75">
      <c r="A49">
        <v>18</v>
      </c>
      <c r="B49">
        <v>1</v>
      </c>
      <c r="C49">
        <v>66</v>
      </c>
      <c r="E49" t="s">
        <v>78</v>
      </c>
      <c r="F49" t="s">
        <v>79</v>
      </c>
      <c r="G49" t="s">
        <v>80</v>
      </c>
      <c r="H49" t="s">
        <v>34</v>
      </c>
      <c r="I49">
        <f>I47*J49</f>
        <v>2.358453</v>
      </c>
      <c r="J49">
        <v>0.45094703632887184</v>
      </c>
      <c r="K49">
        <v>0.450947</v>
      </c>
      <c r="O49">
        <f t="shared" si="21"/>
        <v>6326.76</v>
      </c>
      <c r="P49">
        <f t="shared" si="22"/>
        <v>6326.76</v>
      </c>
      <c r="Q49">
        <f t="shared" si="23"/>
        <v>0</v>
      </c>
      <c r="R49">
        <f t="shared" si="24"/>
        <v>0</v>
      </c>
      <c r="S49">
        <f t="shared" si="25"/>
        <v>0</v>
      </c>
      <c r="T49">
        <f t="shared" si="26"/>
        <v>0</v>
      </c>
      <c r="U49">
        <f t="shared" si="27"/>
        <v>0</v>
      </c>
      <c r="V49">
        <f t="shared" si="28"/>
        <v>0</v>
      </c>
      <c r="W49">
        <f t="shared" si="29"/>
        <v>0</v>
      </c>
      <c r="X49">
        <f t="shared" si="30"/>
        <v>0</v>
      </c>
      <c r="Y49">
        <f t="shared" si="31"/>
        <v>0</v>
      </c>
      <c r="AA49">
        <v>55454919</v>
      </c>
      <c r="AB49">
        <f t="shared" si="32"/>
        <v>2682.59</v>
      </c>
      <c r="AC49">
        <f t="shared" si="65"/>
        <v>2682.59</v>
      </c>
      <c r="AD49">
        <f t="shared" si="66"/>
        <v>0</v>
      </c>
      <c r="AE49">
        <f t="shared" si="67"/>
        <v>0</v>
      </c>
      <c r="AF49">
        <f t="shared" si="67"/>
        <v>0</v>
      </c>
      <c r="AG49">
        <f t="shared" si="34"/>
        <v>0</v>
      </c>
      <c r="AH49">
        <f t="shared" si="68"/>
        <v>0</v>
      </c>
      <c r="AI49">
        <f t="shared" si="68"/>
        <v>0</v>
      </c>
      <c r="AJ49">
        <f t="shared" si="36"/>
        <v>0</v>
      </c>
      <c r="AK49">
        <v>2682.59</v>
      </c>
      <c r="AL49">
        <v>2682.59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112</v>
      </c>
      <c r="AU49">
        <v>65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H49">
        <v>3</v>
      </c>
      <c r="BI49">
        <v>1</v>
      </c>
      <c r="BJ49" t="s">
        <v>81</v>
      </c>
      <c r="BM49">
        <v>11001</v>
      </c>
      <c r="BN49">
        <v>0</v>
      </c>
      <c r="BP49">
        <v>0</v>
      </c>
      <c r="BQ49">
        <v>2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112</v>
      </c>
      <c r="CA49">
        <v>65</v>
      </c>
      <c r="CE49">
        <v>0</v>
      </c>
      <c r="CF49">
        <v>0</v>
      </c>
      <c r="CG49">
        <v>0</v>
      </c>
      <c r="CM49">
        <v>0</v>
      </c>
      <c r="CO49">
        <v>0</v>
      </c>
      <c r="CP49">
        <f t="shared" si="37"/>
        <v>6326.76</v>
      </c>
      <c r="CQ49">
        <f t="shared" si="38"/>
        <v>2682.59</v>
      </c>
      <c r="CR49">
        <f t="shared" si="69"/>
        <v>0</v>
      </c>
      <c r="CS49">
        <f t="shared" si="39"/>
        <v>0</v>
      </c>
      <c r="CT49">
        <f t="shared" si="40"/>
        <v>0</v>
      </c>
      <c r="CU49">
        <f t="shared" si="41"/>
        <v>0</v>
      </c>
      <c r="CV49">
        <f t="shared" si="42"/>
        <v>0</v>
      </c>
      <c r="CW49">
        <f t="shared" si="43"/>
        <v>0</v>
      </c>
      <c r="CX49">
        <f t="shared" si="44"/>
        <v>0</v>
      </c>
      <c r="CY49">
        <f t="shared" si="45"/>
        <v>0</v>
      </c>
      <c r="CZ49">
        <f t="shared" si="46"/>
        <v>0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34</v>
      </c>
      <c r="DW49" t="s">
        <v>34</v>
      </c>
      <c r="DX49">
        <v>1000</v>
      </c>
      <c r="EE49">
        <v>55471663</v>
      </c>
      <c r="EF49">
        <v>2</v>
      </c>
      <c r="EG49" t="s">
        <v>43</v>
      </c>
      <c r="EH49">
        <v>11</v>
      </c>
      <c r="EI49" t="s">
        <v>27</v>
      </c>
      <c r="EJ49">
        <v>1</v>
      </c>
      <c r="EK49">
        <v>11001</v>
      </c>
      <c r="EL49" t="s">
        <v>27</v>
      </c>
      <c r="EM49" t="s">
        <v>44</v>
      </c>
      <c r="EQ49">
        <v>0</v>
      </c>
      <c r="ER49">
        <v>2682.59</v>
      </c>
      <c r="ES49">
        <v>2682.59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7"/>
        <v>0</v>
      </c>
      <c r="FS49">
        <v>0</v>
      </c>
      <c r="FX49">
        <v>112</v>
      </c>
      <c r="FY49">
        <v>65</v>
      </c>
      <c r="GD49">
        <v>1</v>
      </c>
      <c r="GF49">
        <v>-224352410</v>
      </c>
      <c r="GG49">
        <v>2</v>
      </c>
      <c r="GH49">
        <v>1</v>
      </c>
      <c r="GI49">
        <v>4</v>
      </c>
      <c r="GJ49">
        <v>0</v>
      </c>
      <c r="GK49">
        <v>0</v>
      </c>
      <c r="GL49">
        <f t="shared" si="48"/>
        <v>0</v>
      </c>
      <c r="GM49">
        <f t="shared" si="49"/>
        <v>6326.76</v>
      </c>
      <c r="GN49">
        <f t="shared" si="50"/>
        <v>6326.76</v>
      </c>
      <c r="GO49">
        <f t="shared" si="51"/>
        <v>0</v>
      </c>
      <c r="GP49">
        <f t="shared" si="52"/>
        <v>0</v>
      </c>
      <c r="GR49">
        <v>0</v>
      </c>
      <c r="GS49">
        <v>0</v>
      </c>
      <c r="GT49">
        <v>0</v>
      </c>
      <c r="GV49">
        <f t="shared" si="53"/>
        <v>0</v>
      </c>
      <c r="GW49">
        <v>1</v>
      </c>
      <c r="GX49">
        <f t="shared" si="54"/>
        <v>0</v>
      </c>
      <c r="HA49">
        <v>0</v>
      </c>
      <c r="HB49">
        <v>0</v>
      </c>
      <c r="HC49">
        <f t="shared" si="55"/>
        <v>0</v>
      </c>
      <c r="HI49">
        <f t="shared" si="56"/>
        <v>0</v>
      </c>
      <c r="HJ49">
        <f t="shared" si="57"/>
        <v>0</v>
      </c>
      <c r="HK49">
        <f t="shared" si="58"/>
        <v>0</v>
      </c>
      <c r="HL49">
        <f t="shared" si="59"/>
        <v>0</v>
      </c>
      <c r="HN49" t="s">
        <v>46</v>
      </c>
      <c r="HO49" t="s">
        <v>47</v>
      </c>
      <c r="HP49" t="s">
        <v>27</v>
      </c>
      <c r="HQ49" t="s">
        <v>27</v>
      </c>
      <c r="IK49">
        <v>0</v>
      </c>
    </row>
    <row r="50" spans="1:255" ht="12.75">
      <c r="A50" s="2">
        <v>18</v>
      </c>
      <c r="B50" s="2">
        <v>1</v>
      </c>
      <c r="C50" s="2">
        <v>57</v>
      </c>
      <c r="D50" s="2"/>
      <c r="E50" s="2" t="s">
        <v>82</v>
      </c>
      <c r="F50" s="2" t="s">
        <v>83</v>
      </c>
      <c r="G50" s="2" t="s">
        <v>84</v>
      </c>
      <c r="H50" s="2" t="s">
        <v>85</v>
      </c>
      <c r="I50" s="2">
        <f>I46*J50</f>
        <v>52.209981</v>
      </c>
      <c r="J50" s="2">
        <v>9.982787954110897</v>
      </c>
      <c r="K50" s="2">
        <v>9.982788</v>
      </c>
      <c r="L50" s="2"/>
      <c r="M50" s="2"/>
      <c r="N50" s="2"/>
      <c r="O50" s="2">
        <f t="shared" si="21"/>
        <v>830.14</v>
      </c>
      <c r="P50" s="2">
        <f t="shared" si="22"/>
        <v>830.14</v>
      </c>
      <c r="Q50" s="2">
        <f t="shared" si="23"/>
        <v>0</v>
      </c>
      <c r="R50" s="2">
        <f t="shared" si="24"/>
        <v>0</v>
      </c>
      <c r="S50" s="2">
        <f t="shared" si="25"/>
        <v>0</v>
      </c>
      <c r="T50" s="2">
        <f t="shared" si="26"/>
        <v>0</v>
      </c>
      <c r="U50" s="2">
        <f t="shared" si="27"/>
        <v>0</v>
      </c>
      <c r="V50" s="2">
        <f t="shared" si="28"/>
        <v>0</v>
      </c>
      <c r="W50" s="2">
        <f t="shared" si="29"/>
        <v>0</v>
      </c>
      <c r="X50" s="2">
        <f t="shared" si="30"/>
        <v>0</v>
      </c>
      <c r="Y50" s="2">
        <f t="shared" si="31"/>
        <v>0</v>
      </c>
      <c r="Z50" s="2"/>
      <c r="AA50" s="2">
        <v>55454918</v>
      </c>
      <c r="AB50" s="2">
        <f t="shared" si="32"/>
        <v>15.9</v>
      </c>
      <c r="AC50" s="2">
        <f t="shared" si="65"/>
        <v>15.9</v>
      </c>
      <c r="AD50" s="2">
        <f t="shared" si="66"/>
        <v>0</v>
      </c>
      <c r="AE50" s="2">
        <f t="shared" si="67"/>
        <v>0</v>
      </c>
      <c r="AF50" s="2">
        <f t="shared" si="67"/>
        <v>0</v>
      </c>
      <c r="AG50" s="2">
        <f t="shared" si="34"/>
        <v>0</v>
      </c>
      <c r="AH50" s="2">
        <f t="shared" si="68"/>
        <v>0</v>
      </c>
      <c r="AI50" s="2">
        <f t="shared" si="68"/>
        <v>0</v>
      </c>
      <c r="AJ50" s="2">
        <f t="shared" si="36"/>
        <v>0</v>
      </c>
      <c r="AK50" s="2">
        <v>15.9</v>
      </c>
      <c r="AL50" s="2">
        <v>15.9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112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86</v>
      </c>
      <c r="BK50" s="2"/>
      <c r="BL50" s="2"/>
      <c r="BM50" s="2">
        <v>11001</v>
      </c>
      <c r="BN50" s="2">
        <v>0</v>
      </c>
      <c r="BO50" s="2" t="s">
        <v>3</v>
      </c>
      <c r="BP50" s="2">
        <v>0</v>
      </c>
      <c r="BQ50" s="2">
        <v>2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112</v>
      </c>
      <c r="CA50" s="2">
        <v>65</v>
      </c>
      <c r="CB50" s="2" t="s">
        <v>3</v>
      </c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7"/>
        <v>830.14</v>
      </c>
      <c r="CQ50" s="2">
        <f t="shared" si="38"/>
        <v>15.9</v>
      </c>
      <c r="CR50" s="2">
        <f t="shared" si="69"/>
        <v>0</v>
      </c>
      <c r="CS50" s="2">
        <f t="shared" si="39"/>
        <v>0</v>
      </c>
      <c r="CT50" s="2">
        <f t="shared" si="40"/>
        <v>0</v>
      </c>
      <c r="CU50" s="2">
        <f t="shared" si="41"/>
        <v>0</v>
      </c>
      <c r="CV50" s="2">
        <f t="shared" si="42"/>
        <v>0</v>
      </c>
      <c r="CW50" s="2">
        <f t="shared" si="43"/>
        <v>0</v>
      </c>
      <c r="CX50" s="2">
        <f t="shared" si="44"/>
        <v>0</v>
      </c>
      <c r="CY50" s="2">
        <f t="shared" si="45"/>
        <v>0</v>
      </c>
      <c r="CZ50" s="2">
        <f t="shared" si="46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85</v>
      </c>
      <c r="DW50" s="2" t="s">
        <v>85</v>
      </c>
      <c r="DX50" s="2">
        <v>1</v>
      </c>
      <c r="DY50" s="2"/>
      <c r="DZ50" s="2" t="s">
        <v>3</v>
      </c>
      <c r="EA50" s="2" t="s">
        <v>3</v>
      </c>
      <c r="EB50" s="2" t="s">
        <v>3</v>
      </c>
      <c r="EC50" s="2" t="s">
        <v>3</v>
      </c>
      <c r="ED50" s="2"/>
      <c r="EE50" s="2">
        <v>55471663</v>
      </c>
      <c r="EF50" s="2">
        <v>2</v>
      </c>
      <c r="EG50" s="2" t="s">
        <v>43</v>
      </c>
      <c r="EH50" s="2">
        <v>11</v>
      </c>
      <c r="EI50" s="2" t="s">
        <v>27</v>
      </c>
      <c r="EJ50" s="2">
        <v>1</v>
      </c>
      <c r="EK50" s="2">
        <v>11001</v>
      </c>
      <c r="EL50" s="2" t="s">
        <v>27</v>
      </c>
      <c r="EM50" s="2" t="s">
        <v>44</v>
      </c>
      <c r="EN50" s="2"/>
      <c r="EO50" s="2" t="s">
        <v>3</v>
      </c>
      <c r="EP50" s="2"/>
      <c r="EQ50" s="2">
        <v>0</v>
      </c>
      <c r="ER50" s="2">
        <v>15.9</v>
      </c>
      <c r="ES50" s="2">
        <v>15.9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7"/>
        <v>0</v>
      </c>
      <c r="FS50" s="2">
        <v>0</v>
      </c>
      <c r="FT50" s="2"/>
      <c r="FU50" s="2"/>
      <c r="FV50" s="2"/>
      <c r="FW50" s="2"/>
      <c r="FX50" s="2">
        <v>112</v>
      </c>
      <c r="FY50" s="2">
        <v>65</v>
      </c>
      <c r="FZ50" s="2"/>
      <c r="GA50" s="2" t="s">
        <v>3</v>
      </c>
      <c r="GB50" s="2"/>
      <c r="GC50" s="2"/>
      <c r="GD50" s="2">
        <v>1</v>
      </c>
      <c r="GE50" s="2"/>
      <c r="GF50" s="2">
        <v>991060895</v>
      </c>
      <c r="GG50" s="2">
        <v>2</v>
      </c>
      <c r="GH50" s="2">
        <v>1</v>
      </c>
      <c r="GI50" s="2">
        <v>-2</v>
      </c>
      <c r="GJ50" s="2">
        <v>0</v>
      </c>
      <c r="GK50" s="2">
        <v>0</v>
      </c>
      <c r="GL50" s="2">
        <f t="shared" si="48"/>
        <v>0</v>
      </c>
      <c r="GM50" s="2">
        <f t="shared" si="49"/>
        <v>830.14</v>
      </c>
      <c r="GN50" s="2">
        <f t="shared" si="50"/>
        <v>830.14</v>
      </c>
      <c r="GO50" s="2">
        <f t="shared" si="51"/>
        <v>0</v>
      </c>
      <c r="GP50" s="2">
        <f t="shared" si="52"/>
        <v>0</v>
      </c>
      <c r="GQ50" s="2"/>
      <c r="GR50" s="2">
        <v>0</v>
      </c>
      <c r="GS50" s="2">
        <v>0</v>
      </c>
      <c r="GT50" s="2">
        <v>0</v>
      </c>
      <c r="GU50" s="2" t="s">
        <v>3</v>
      </c>
      <c r="GV50" s="2">
        <f t="shared" si="53"/>
        <v>0</v>
      </c>
      <c r="GW50" s="2">
        <v>1</v>
      </c>
      <c r="GX50" s="2">
        <f t="shared" si="54"/>
        <v>0</v>
      </c>
      <c r="GY50" s="2"/>
      <c r="GZ50" s="2"/>
      <c r="HA50" s="2">
        <v>0</v>
      </c>
      <c r="HB50" s="2">
        <v>0</v>
      </c>
      <c r="HC50" s="2">
        <f t="shared" si="55"/>
        <v>0</v>
      </c>
      <c r="HD50" s="2"/>
      <c r="HE50" s="2" t="s">
        <v>3</v>
      </c>
      <c r="HF50" s="2" t="s">
        <v>3</v>
      </c>
      <c r="HG50" s="2"/>
      <c r="HH50" s="2"/>
      <c r="HI50" s="2">
        <f t="shared" si="56"/>
        <v>0</v>
      </c>
      <c r="HJ50" s="2">
        <f t="shared" si="57"/>
        <v>0</v>
      </c>
      <c r="HK50" s="2">
        <f t="shared" si="58"/>
        <v>0</v>
      </c>
      <c r="HL50" s="2">
        <f t="shared" si="59"/>
        <v>0</v>
      </c>
      <c r="HM50" s="2" t="s">
        <v>3</v>
      </c>
      <c r="HN50" s="2" t="s">
        <v>46</v>
      </c>
      <c r="HO50" s="2" t="s">
        <v>47</v>
      </c>
      <c r="HP50" s="2" t="s">
        <v>27</v>
      </c>
      <c r="HQ50" s="2" t="s">
        <v>27</v>
      </c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45" ht="12.75">
      <c r="A51">
        <v>18</v>
      </c>
      <c r="B51">
        <v>1</v>
      </c>
      <c r="C51">
        <v>67</v>
      </c>
      <c r="E51" t="s">
        <v>82</v>
      </c>
      <c r="F51" t="s">
        <v>83</v>
      </c>
      <c r="G51" t="s">
        <v>84</v>
      </c>
      <c r="H51" t="s">
        <v>85</v>
      </c>
      <c r="I51">
        <f>I47*J51</f>
        <v>52.209981</v>
      </c>
      <c r="J51">
        <v>9.982787954110897</v>
      </c>
      <c r="K51">
        <v>9.982788</v>
      </c>
      <c r="O51">
        <f t="shared" si="21"/>
        <v>830.14</v>
      </c>
      <c r="P51">
        <f t="shared" si="22"/>
        <v>830.14</v>
      </c>
      <c r="Q51">
        <f t="shared" si="23"/>
        <v>0</v>
      </c>
      <c r="R51">
        <f t="shared" si="24"/>
        <v>0</v>
      </c>
      <c r="S51">
        <f t="shared" si="25"/>
        <v>0</v>
      </c>
      <c r="T51">
        <f t="shared" si="26"/>
        <v>0</v>
      </c>
      <c r="U51">
        <f t="shared" si="27"/>
        <v>0</v>
      </c>
      <c r="V51">
        <f t="shared" si="28"/>
        <v>0</v>
      </c>
      <c r="W51">
        <f t="shared" si="29"/>
        <v>0</v>
      </c>
      <c r="X51">
        <f t="shared" si="30"/>
        <v>0</v>
      </c>
      <c r="Y51">
        <f t="shared" si="31"/>
        <v>0</v>
      </c>
      <c r="AA51">
        <v>55454919</v>
      </c>
      <c r="AB51">
        <f t="shared" si="32"/>
        <v>15.9</v>
      </c>
      <c r="AC51">
        <f t="shared" si="65"/>
        <v>15.9</v>
      </c>
      <c r="AD51">
        <f t="shared" si="66"/>
        <v>0</v>
      </c>
      <c r="AE51">
        <f t="shared" si="67"/>
        <v>0</v>
      </c>
      <c r="AF51">
        <f t="shared" si="67"/>
        <v>0</v>
      </c>
      <c r="AG51">
        <f t="shared" si="34"/>
        <v>0</v>
      </c>
      <c r="AH51">
        <f t="shared" si="68"/>
        <v>0</v>
      </c>
      <c r="AI51">
        <f t="shared" si="68"/>
        <v>0</v>
      </c>
      <c r="AJ51">
        <f t="shared" si="36"/>
        <v>0</v>
      </c>
      <c r="AK51">
        <v>15.9</v>
      </c>
      <c r="AL51">
        <v>15.9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112</v>
      </c>
      <c r="AU51">
        <v>65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H51">
        <v>3</v>
      </c>
      <c r="BI51">
        <v>1</v>
      </c>
      <c r="BJ51" t="s">
        <v>86</v>
      </c>
      <c r="BM51">
        <v>11001</v>
      </c>
      <c r="BN51">
        <v>0</v>
      </c>
      <c r="BP51">
        <v>0</v>
      </c>
      <c r="BQ51">
        <v>2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112</v>
      </c>
      <c r="CA51">
        <v>65</v>
      </c>
      <c r="CE51">
        <v>0</v>
      </c>
      <c r="CF51">
        <v>0</v>
      </c>
      <c r="CG51">
        <v>0</v>
      </c>
      <c r="CM51">
        <v>0</v>
      </c>
      <c r="CO51">
        <v>0</v>
      </c>
      <c r="CP51">
        <f t="shared" si="37"/>
        <v>830.14</v>
      </c>
      <c r="CQ51">
        <f t="shared" si="38"/>
        <v>15.9</v>
      </c>
      <c r="CR51">
        <f t="shared" si="69"/>
        <v>0</v>
      </c>
      <c r="CS51">
        <f t="shared" si="39"/>
        <v>0</v>
      </c>
      <c r="CT51">
        <f t="shared" si="40"/>
        <v>0</v>
      </c>
      <c r="CU51">
        <f t="shared" si="41"/>
        <v>0</v>
      </c>
      <c r="CV51">
        <f t="shared" si="42"/>
        <v>0</v>
      </c>
      <c r="CW51">
        <f t="shared" si="43"/>
        <v>0</v>
      </c>
      <c r="CX51">
        <f t="shared" si="44"/>
        <v>0</v>
      </c>
      <c r="CY51">
        <f t="shared" si="45"/>
        <v>0</v>
      </c>
      <c r="CZ51">
        <f t="shared" si="46"/>
        <v>0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85</v>
      </c>
      <c r="DW51" t="s">
        <v>85</v>
      </c>
      <c r="DX51">
        <v>1</v>
      </c>
      <c r="EE51">
        <v>55471663</v>
      </c>
      <c r="EF51">
        <v>2</v>
      </c>
      <c r="EG51" t="s">
        <v>43</v>
      </c>
      <c r="EH51">
        <v>11</v>
      </c>
      <c r="EI51" t="s">
        <v>27</v>
      </c>
      <c r="EJ51">
        <v>1</v>
      </c>
      <c r="EK51">
        <v>11001</v>
      </c>
      <c r="EL51" t="s">
        <v>27</v>
      </c>
      <c r="EM51" t="s">
        <v>44</v>
      </c>
      <c r="EQ51">
        <v>0</v>
      </c>
      <c r="ER51">
        <v>15.9</v>
      </c>
      <c r="ES51">
        <v>15.9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7"/>
        <v>0</v>
      </c>
      <c r="FS51">
        <v>0</v>
      </c>
      <c r="FX51">
        <v>112</v>
      </c>
      <c r="FY51">
        <v>65</v>
      </c>
      <c r="GD51">
        <v>1</v>
      </c>
      <c r="GF51">
        <v>991060895</v>
      </c>
      <c r="GG51">
        <v>2</v>
      </c>
      <c r="GH51">
        <v>1</v>
      </c>
      <c r="GI51">
        <v>4</v>
      </c>
      <c r="GJ51">
        <v>0</v>
      </c>
      <c r="GK51">
        <v>0</v>
      </c>
      <c r="GL51">
        <f t="shared" si="48"/>
        <v>0</v>
      </c>
      <c r="GM51">
        <f t="shared" si="49"/>
        <v>830.14</v>
      </c>
      <c r="GN51">
        <f t="shared" si="50"/>
        <v>830.14</v>
      </c>
      <c r="GO51">
        <f t="shared" si="51"/>
        <v>0</v>
      </c>
      <c r="GP51">
        <f t="shared" si="52"/>
        <v>0</v>
      </c>
      <c r="GR51">
        <v>0</v>
      </c>
      <c r="GS51">
        <v>0</v>
      </c>
      <c r="GT51">
        <v>0</v>
      </c>
      <c r="GV51">
        <f t="shared" si="53"/>
        <v>0</v>
      </c>
      <c r="GW51">
        <v>1</v>
      </c>
      <c r="GX51">
        <f t="shared" si="54"/>
        <v>0</v>
      </c>
      <c r="HA51">
        <v>0</v>
      </c>
      <c r="HB51">
        <v>0</v>
      </c>
      <c r="HC51">
        <f t="shared" si="55"/>
        <v>0</v>
      </c>
      <c r="HI51">
        <f t="shared" si="56"/>
        <v>0</v>
      </c>
      <c r="HJ51">
        <f t="shared" si="57"/>
        <v>0</v>
      </c>
      <c r="HK51">
        <f t="shared" si="58"/>
        <v>0</v>
      </c>
      <c r="HL51">
        <f t="shared" si="59"/>
        <v>0</v>
      </c>
      <c r="HN51" t="s">
        <v>46</v>
      </c>
      <c r="HO51" t="s">
        <v>47</v>
      </c>
      <c r="HP51" t="s">
        <v>27</v>
      </c>
      <c r="HQ51" t="s">
        <v>27</v>
      </c>
      <c r="IK51">
        <v>0</v>
      </c>
    </row>
    <row r="52" spans="1:255" ht="12.75">
      <c r="A52" s="2">
        <v>18</v>
      </c>
      <c r="B52" s="2">
        <v>1</v>
      </c>
      <c r="C52" s="2">
        <v>58</v>
      </c>
      <c r="D52" s="2"/>
      <c r="E52" s="2" t="s">
        <v>87</v>
      </c>
      <c r="F52" s="2" t="s">
        <v>88</v>
      </c>
      <c r="G52" s="2" t="s">
        <v>89</v>
      </c>
      <c r="H52" s="2" t="s">
        <v>85</v>
      </c>
      <c r="I52" s="2">
        <f>I46*J52</f>
        <v>104.6</v>
      </c>
      <c r="J52" s="2">
        <v>19.999999999999996</v>
      </c>
      <c r="K52" s="2">
        <v>20</v>
      </c>
      <c r="L52" s="2"/>
      <c r="M52" s="2"/>
      <c r="N52" s="2"/>
      <c r="O52" s="2">
        <f t="shared" si="21"/>
        <v>1368.17</v>
      </c>
      <c r="P52" s="2">
        <f t="shared" si="22"/>
        <v>1368.17</v>
      </c>
      <c r="Q52" s="2">
        <f t="shared" si="23"/>
        <v>0</v>
      </c>
      <c r="R52" s="2">
        <f t="shared" si="24"/>
        <v>0</v>
      </c>
      <c r="S52" s="2">
        <f t="shared" si="25"/>
        <v>0</v>
      </c>
      <c r="T52" s="2">
        <f t="shared" si="26"/>
        <v>0</v>
      </c>
      <c r="U52" s="2">
        <f t="shared" si="27"/>
        <v>0</v>
      </c>
      <c r="V52" s="2">
        <f t="shared" si="28"/>
        <v>0</v>
      </c>
      <c r="W52" s="2">
        <f t="shared" si="29"/>
        <v>0</v>
      </c>
      <c r="X52" s="2">
        <f t="shared" si="30"/>
        <v>0</v>
      </c>
      <c r="Y52" s="2">
        <f t="shared" si="31"/>
        <v>0</v>
      </c>
      <c r="Z52" s="2"/>
      <c r="AA52" s="2">
        <v>55454918</v>
      </c>
      <c r="AB52" s="2">
        <f t="shared" si="32"/>
        <v>13.08</v>
      </c>
      <c r="AC52" s="2">
        <f t="shared" si="65"/>
        <v>13.08</v>
      </c>
      <c r="AD52" s="2">
        <f t="shared" si="66"/>
        <v>0</v>
      </c>
      <c r="AE52" s="2">
        <f t="shared" si="67"/>
        <v>0</v>
      </c>
      <c r="AF52" s="2">
        <f t="shared" si="67"/>
        <v>0</v>
      </c>
      <c r="AG52" s="2">
        <f t="shared" si="34"/>
        <v>0</v>
      </c>
      <c r="AH52" s="2">
        <f t="shared" si="68"/>
        <v>0</v>
      </c>
      <c r="AI52" s="2">
        <f t="shared" si="68"/>
        <v>0</v>
      </c>
      <c r="AJ52" s="2">
        <f t="shared" si="36"/>
        <v>0</v>
      </c>
      <c r="AK52" s="2">
        <v>13.08</v>
      </c>
      <c r="AL52" s="2">
        <v>13.08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112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90</v>
      </c>
      <c r="BK52" s="2"/>
      <c r="BL52" s="2"/>
      <c r="BM52" s="2">
        <v>11001</v>
      </c>
      <c r="BN52" s="2">
        <v>0</v>
      </c>
      <c r="BO52" s="2" t="s">
        <v>3</v>
      </c>
      <c r="BP52" s="2">
        <v>0</v>
      </c>
      <c r="BQ52" s="2">
        <v>2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112</v>
      </c>
      <c r="CA52" s="2">
        <v>65</v>
      </c>
      <c r="CB52" s="2" t="s">
        <v>3</v>
      </c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7"/>
        <v>1368.17</v>
      </c>
      <c r="CQ52" s="2">
        <f t="shared" si="38"/>
        <v>13.08</v>
      </c>
      <c r="CR52" s="2">
        <f t="shared" si="69"/>
        <v>0</v>
      </c>
      <c r="CS52" s="2">
        <f t="shared" si="39"/>
        <v>0</v>
      </c>
      <c r="CT52" s="2">
        <f t="shared" si="40"/>
        <v>0</v>
      </c>
      <c r="CU52" s="2">
        <f t="shared" si="41"/>
        <v>0</v>
      </c>
      <c r="CV52" s="2">
        <f t="shared" si="42"/>
        <v>0</v>
      </c>
      <c r="CW52" s="2">
        <f t="shared" si="43"/>
        <v>0</v>
      </c>
      <c r="CX52" s="2">
        <f t="shared" si="44"/>
        <v>0</v>
      </c>
      <c r="CY52" s="2">
        <f t="shared" si="45"/>
        <v>0</v>
      </c>
      <c r="CZ52" s="2">
        <f t="shared" si="46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85</v>
      </c>
      <c r="DW52" s="2" t="s">
        <v>85</v>
      </c>
      <c r="DX52" s="2">
        <v>1</v>
      </c>
      <c r="DY52" s="2"/>
      <c r="DZ52" s="2" t="s">
        <v>3</v>
      </c>
      <c r="EA52" s="2" t="s">
        <v>3</v>
      </c>
      <c r="EB52" s="2" t="s">
        <v>3</v>
      </c>
      <c r="EC52" s="2" t="s">
        <v>3</v>
      </c>
      <c r="ED52" s="2"/>
      <c r="EE52" s="2">
        <v>55471663</v>
      </c>
      <c r="EF52" s="2">
        <v>2</v>
      </c>
      <c r="EG52" s="2" t="s">
        <v>43</v>
      </c>
      <c r="EH52" s="2">
        <v>11</v>
      </c>
      <c r="EI52" s="2" t="s">
        <v>27</v>
      </c>
      <c r="EJ52" s="2">
        <v>1</v>
      </c>
      <c r="EK52" s="2">
        <v>11001</v>
      </c>
      <c r="EL52" s="2" t="s">
        <v>27</v>
      </c>
      <c r="EM52" s="2" t="s">
        <v>44</v>
      </c>
      <c r="EN52" s="2"/>
      <c r="EO52" s="2" t="s">
        <v>3</v>
      </c>
      <c r="EP52" s="2"/>
      <c r="EQ52" s="2">
        <v>0</v>
      </c>
      <c r="ER52" s="2">
        <v>13.08</v>
      </c>
      <c r="ES52" s="2">
        <v>13.08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7"/>
        <v>0</v>
      </c>
      <c r="FS52" s="2">
        <v>0</v>
      </c>
      <c r="FT52" s="2"/>
      <c r="FU52" s="2"/>
      <c r="FV52" s="2"/>
      <c r="FW52" s="2"/>
      <c r="FX52" s="2">
        <v>112</v>
      </c>
      <c r="FY52" s="2">
        <v>65</v>
      </c>
      <c r="FZ52" s="2"/>
      <c r="GA52" s="2" t="s">
        <v>3</v>
      </c>
      <c r="GB52" s="2"/>
      <c r="GC52" s="2"/>
      <c r="GD52" s="2">
        <v>1</v>
      </c>
      <c r="GE52" s="2"/>
      <c r="GF52" s="2">
        <v>-1209026283</v>
      </c>
      <c r="GG52" s="2">
        <v>2</v>
      </c>
      <c r="GH52" s="2">
        <v>1</v>
      </c>
      <c r="GI52" s="2">
        <v>-2</v>
      </c>
      <c r="GJ52" s="2">
        <v>0</v>
      </c>
      <c r="GK52" s="2">
        <v>0</v>
      </c>
      <c r="GL52" s="2">
        <f t="shared" si="48"/>
        <v>0</v>
      </c>
      <c r="GM52" s="2">
        <f t="shared" si="49"/>
        <v>1368.17</v>
      </c>
      <c r="GN52" s="2">
        <f t="shared" si="50"/>
        <v>1368.17</v>
      </c>
      <c r="GO52" s="2">
        <f t="shared" si="51"/>
        <v>0</v>
      </c>
      <c r="GP52" s="2">
        <f t="shared" si="52"/>
        <v>0</v>
      </c>
      <c r="GQ52" s="2"/>
      <c r="GR52" s="2">
        <v>0</v>
      </c>
      <c r="GS52" s="2">
        <v>0</v>
      </c>
      <c r="GT52" s="2">
        <v>0</v>
      </c>
      <c r="GU52" s="2" t="s">
        <v>3</v>
      </c>
      <c r="GV52" s="2">
        <f t="shared" si="53"/>
        <v>0</v>
      </c>
      <c r="GW52" s="2">
        <v>1</v>
      </c>
      <c r="GX52" s="2">
        <f t="shared" si="54"/>
        <v>0</v>
      </c>
      <c r="GY52" s="2"/>
      <c r="GZ52" s="2"/>
      <c r="HA52" s="2">
        <v>0</v>
      </c>
      <c r="HB52" s="2">
        <v>0</v>
      </c>
      <c r="HC52" s="2">
        <f t="shared" si="55"/>
        <v>0</v>
      </c>
      <c r="HD52" s="2"/>
      <c r="HE52" s="2" t="s">
        <v>3</v>
      </c>
      <c r="HF52" s="2" t="s">
        <v>3</v>
      </c>
      <c r="HG52" s="2"/>
      <c r="HH52" s="2"/>
      <c r="HI52" s="2">
        <f t="shared" si="56"/>
        <v>0</v>
      </c>
      <c r="HJ52" s="2">
        <f t="shared" si="57"/>
        <v>0</v>
      </c>
      <c r="HK52" s="2">
        <f t="shared" si="58"/>
        <v>0</v>
      </c>
      <c r="HL52" s="2">
        <f t="shared" si="59"/>
        <v>0</v>
      </c>
      <c r="HM52" s="2" t="s">
        <v>3</v>
      </c>
      <c r="HN52" s="2" t="s">
        <v>46</v>
      </c>
      <c r="HO52" s="2" t="s">
        <v>47</v>
      </c>
      <c r="HP52" s="2" t="s">
        <v>27</v>
      </c>
      <c r="HQ52" s="2" t="s">
        <v>27</v>
      </c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45" ht="12.75">
      <c r="A53">
        <v>18</v>
      </c>
      <c r="B53">
        <v>1</v>
      </c>
      <c r="C53">
        <v>68</v>
      </c>
      <c r="E53" t="s">
        <v>87</v>
      </c>
      <c r="F53" t="s">
        <v>88</v>
      </c>
      <c r="G53" t="s">
        <v>89</v>
      </c>
      <c r="H53" t="s">
        <v>85</v>
      </c>
      <c r="I53">
        <f>I47*J53</f>
        <v>104.6</v>
      </c>
      <c r="J53">
        <v>19.999999999999996</v>
      </c>
      <c r="K53">
        <v>20</v>
      </c>
      <c r="O53">
        <f t="shared" si="21"/>
        <v>1368.17</v>
      </c>
      <c r="P53">
        <f t="shared" si="22"/>
        <v>1368.17</v>
      </c>
      <c r="Q53">
        <f t="shared" si="23"/>
        <v>0</v>
      </c>
      <c r="R53">
        <f t="shared" si="24"/>
        <v>0</v>
      </c>
      <c r="S53">
        <f t="shared" si="25"/>
        <v>0</v>
      </c>
      <c r="T53">
        <f t="shared" si="26"/>
        <v>0</v>
      </c>
      <c r="U53">
        <f t="shared" si="27"/>
        <v>0</v>
      </c>
      <c r="V53">
        <f t="shared" si="28"/>
        <v>0</v>
      </c>
      <c r="W53">
        <f t="shared" si="29"/>
        <v>0</v>
      </c>
      <c r="X53">
        <f t="shared" si="30"/>
        <v>0</v>
      </c>
      <c r="Y53">
        <f t="shared" si="31"/>
        <v>0</v>
      </c>
      <c r="AA53">
        <v>55454919</v>
      </c>
      <c r="AB53">
        <f t="shared" si="32"/>
        <v>13.08</v>
      </c>
      <c r="AC53">
        <f t="shared" si="65"/>
        <v>13.08</v>
      </c>
      <c r="AD53">
        <f t="shared" si="66"/>
        <v>0</v>
      </c>
      <c r="AE53">
        <f t="shared" si="67"/>
        <v>0</v>
      </c>
      <c r="AF53">
        <f t="shared" si="67"/>
        <v>0</v>
      </c>
      <c r="AG53">
        <f t="shared" si="34"/>
        <v>0</v>
      </c>
      <c r="AH53">
        <f t="shared" si="68"/>
        <v>0</v>
      </c>
      <c r="AI53">
        <f t="shared" si="68"/>
        <v>0</v>
      </c>
      <c r="AJ53">
        <f t="shared" si="36"/>
        <v>0</v>
      </c>
      <c r="AK53">
        <v>13.08</v>
      </c>
      <c r="AL53">
        <v>13.08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112</v>
      </c>
      <c r="AU53">
        <v>65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1</v>
      </c>
      <c r="BH53">
        <v>3</v>
      </c>
      <c r="BI53">
        <v>1</v>
      </c>
      <c r="BJ53" t="s">
        <v>90</v>
      </c>
      <c r="BM53">
        <v>11001</v>
      </c>
      <c r="BN53">
        <v>0</v>
      </c>
      <c r="BP53">
        <v>0</v>
      </c>
      <c r="BQ53">
        <v>2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112</v>
      </c>
      <c r="CA53">
        <v>65</v>
      </c>
      <c r="CE53">
        <v>0</v>
      </c>
      <c r="CF53">
        <v>0</v>
      </c>
      <c r="CG53">
        <v>0</v>
      </c>
      <c r="CM53">
        <v>0</v>
      </c>
      <c r="CO53">
        <v>0</v>
      </c>
      <c r="CP53">
        <f t="shared" si="37"/>
        <v>1368.17</v>
      </c>
      <c r="CQ53">
        <f t="shared" si="38"/>
        <v>13.08</v>
      </c>
      <c r="CR53">
        <f t="shared" si="69"/>
        <v>0</v>
      </c>
      <c r="CS53">
        <f t="shared" si="39"/>
        <v>0</v>
      </c>
      <c r="CT53">
        <f t="shared" si="40"/>
        <v>0</v>
      </c>
      <c r="CU53">
        <f t="shared" si="41"/>
        <v>0</v>
      </c>
      <c r="CV53">
        <f t="shared" si="42"/>
        <v>0</v>
      </c>
      <c r="CW53">
        <f t="shared" si="43"/>
        <v>0</v>
      </c>
      <c r="CX53">
        <f t="shared" si="44"/>
        <v>0</v>
      </c>
      <c r="CY53">
        <f t="shared" si="45"/>
        <v>0</v>
      </c>
      <c r="CZ53">
        <f t="shared" si="46"/>
        <v>0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85</v>
      </c>
      <c r="DW53" t="s">
        <v>85</v>
      </c>
      <c r="DX53">
        <v>1</v>
      </c>
      <c r="EE53">
        <v>55471663</v>
      </c>
      <c r="EF53">
        <v>2</v>
      </c>
      <c r="EG53" t="s">
        <v>43</v>
      </c>
      <c r="EH53">
        <v>11</v>
      </c>
      <c r="EI53" t="s">
        <v>27</v>
      </c>
      <c r="EJ53">
        <v>1</v>
      </c>
      <c r="EK53">
        <v>11001</v>
      </c>
      <c r="EL53" t="s">
        <v>27</v>
      </c>
      <c r="EM53" t="s">
        <v>44</v>
      </c>
      <c r="EQ53">
        <v>0</v>
      </c>
      <c r="ER53">
        <v>13.08</v>
      </c>
      <c r="ES53">
        <v>13.08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7"/>
        <v>0</v>
      </c>
      <c r="FS53">
        <v>0</v>
      </c>
      <c r="FX53">
        <v>112</v>
      </c>
      <c r="FY53">
        <v>65</v>
      </c>
      <c r="GD53">
        <v>1</v>
      </c>
      <c r="GF53">
        <v>-1209026283</v>
      </c>
      <c r="GG53">
        <v>2</v>
      </c>
      <c r="GH53">
        <v>1</v>
      </c>
      <c r="GI53">
        <v>4</v>
      </c>
      <c r="GJ53">
        <v>0</v>
      </c>
      <c r="GK53">
        <v>0</v>
      </c>
      <c r="GL53">
        <f t="shared" si="48"/>
        <v>0</v>
      </c>
      <c r="GM53">
        <f t="shared" si="49"/>
        <v>1368.17</v>
      </c>
      <c r="GN53">
        <f t="shared" si="50"/>
        <v>1368.17</v>
      </c>
      <c r="GO53">
        <f t="shared" si="51"/>
        <v>0</v>
      </c>
      <c r="GP53">
        <f t="shared" si="52"/>
        <v>0</v>
      </c>
      <c r="GR53">
        <v>0</v>
      </c>
      <c r="GS53">
        <v>0</v>
      </c>
      <c r="GT53">
        <v>0</v>
      </c>
      <c r="GV53">
        <f t="shared" si="53"/>
        <v>0</v>
      </c>
      <c r="GW53">
        <v>1</v>
      </c>
      <c r="GX53">
        <f t="shared" si="54"/>
        <v>0</v>
      </c>
      <c r="HA53">
        <v>0</v>
      </c>
      <c r="HB53">
        <v>0</v>
      </c>
      <c r="HC53">
        <f t="shared" si="55"/>
        <v>0</v>
      </c>
      <c r="HI53">
        <f t="shared" si="56"/>
        <v>0</v>
      </c>
      <c r="HJ53">
        <f t="shared" si="57"/>
        <v>0</v>
      </c>
      <c r="HK53">
        <f t="shared" si="58"/>
        <v>0</v>
      </c>
      <c r="HL53">
        <f t="shared" si="59"/>
        <v>0</v>
      </c>
      <c r="HN53" t="s">
        <v>46</v>
      </c>
      <c r="HO53" t="s">
        <v>47</v>
      </c>
      <c r="HP53" t="s">
        <v>27</v>
      </c>
      <c r="HQ53" t="s">
        <v>27</v>
      </c>
      <c r="IK53">
        <v>0</v>
      </c>
    </row>
    <row r="54" spans="1:255" ht="12.75">
      <c r="A54" s="2">
        <v>17</v>
      </c>
      <c r="B54" s="2">
        <v>1</v>
      </c>
      <c r="C54" s="2">
        <f>ROW(SmtRes!A74)</f>
        <v>74</v>
      </c>
      <c r="D54" s="2">
        <f>ROW(EtalonRes!A74)</f>
        <v>74</v>
      </c>
      <c r="E54" s="2" t="s">
        <v>91</v>
      </c>
      <c r="F54" s="2" t="s">
        <v>92</v>
      </c>
      <c r="G54" s="2" t="s">
        <v>93</v>
      </c>
      <c r="H54" s="2" t="s">
        <v>38</v>
      </c>
      <c r="I54" s="2">
        <f>ROUND(ROUND(523/100,2),7)</f>
        <v>5.23</v>
      </c>
      <c r="J54" s="2">
        <v>0</v>
      </c>
      <c r="K54" s="2">
        <f>ROUND(ROUND(523/100,2),7)</f>
        <v>5.23</v>
      </c>
      <c r="L54" s="2"/>
      <c r="M54" s="2"/>
      <c r="N54" s="2"/>
      <c r="O54" s="2">
        <f t="shared" si="21"/>
        <v>882.31</v>
      </c>
      <c r="P54" s="2">
        <f t="shared" si="22"/>
        <v>3.66</v>
      </c>
      <c r="Q54" s="2">
        <f t="shared" si="23"/>
        <v>42.11</v>
      </c>
      <c r="R54" s="2">
        <f t="shared" si="24"/>
        <v>13.28</v>
      </c>
      <c r="S54" s="2">
        <f t="shared" si="25"/>
        <v>836.54</v>
      </c>
      <c r="T54" s="2">
        <f t="shared" si="26"/>
        <v>0</v>
      </c>
      <c r="U54" s="2">
        <f t="shared" si="27"/>
        <v>98.09649500000002</v>
      </c>
      <c r="V54" s="2">
        <f t="shared" si="28"/>
        <v>1.372875</v>
      </c>
      <c r="W54" s="2">
        <f t="shared" si="29"/>
        <v>0</v>
      </c>
      <c r="X54" s="2">
        <f t="shared" si="30"/>
        <v>856.62</v>
      </c>
      <c r="Y54" s="2">
        <f t="shared" si="31"/>
        <v>469.53</v>
      </c>
      <c r="Z54" s="2"/>
      <c r="AA54" s="2">
        <v>55454918</v>
      </c>
      <c r="AB54" s="2">
        <f t="shared" si="32"/>
        <v>168.7</v>
      </c>
      <c r="AC54" s="2">
        <f>ROUND(((ES54*ROUND(7,7))),2)</f>
        <v>0.7</v>
      </c>
      <c r="AD54" s="2">
        <f>ROUND(((((ET54*ROUND((1.25*7),7)))-((EU54*ROUND((1.25*7),7))))+AE54),2)</f>
        <v>8.05</v>
      </c>
      <c r="AE54" s="2">
        <f>ROUND(((EU54*ROUND((1.25*7),7))),2)</f>
        <v>2.54</v>
      </c>
      <c r="AF54" s="2">
        <f>ROUND(((EV54*ROUND((1.15*7),7))),2)</f>
        <v>159.95</v>
      </c>
      <c r="AG54" s="2">
        <f t="shared" si="34"/>
        <v>0</v>
      </c>
      <c r="AH54" s="2">
        <f>((EW54*ROUND((1.15*7),7)))</f>
        <v>18.756500000000003</v>
      </c>
      <c r="AI54" s="2">
        <f>((EX54*ROUND((1.25*7),7)))</f>
        <v>0.2625</v>
      </c>
      <c r="AJ54" s="2">
        <f t="shared" si="36"/>
        <v>0</v>
      </c>
      <c r="AK54" s="2">
        <v>20.89</v>
      </c>
      <c r="AL54" s="2">
        <v>0.1</v>
      </c>
      <c r="AM54" s="2">
        <v>0.92</v>
      </c>
      <c r="AN54" s="2">
        <v>0.29</v>
      </c>
      <c r="AO54" s="2">
        <v>19.87</v>
      </c>
      <c r="AP54" s="2">
        <v>0</v>
      </c>
      <c r="AQ54" s="2">
        <v>2.33</v>
      </c>
      <c r="AR54" s="2">
        <v>0.03</v>
      </c>
      <c r="AS54" s="2">
        <v>0</v>
      </c>
      <c r="AT54" s="2">
        <v>100.8</v>
      </c>
      <c r="AU54" s="2">
        <v>55.25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11001</v>
      </c>
      <c r="BN54" s="2">
        <v>0</v>
      </c>
      <c r="BO54" s="2" t="s">
        <v>3</v>
      </c>
      <c r="BP54" s="2">
        <v>0</v>
      </c>
      <c r="BQ54" s="2">
        <v>2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112</v>
      </c>
      <c r="CA54" s="2">
        <v>65</v>
      </c>
      <c r="CB54" s="2" t="s">
        <v>3</v>
      </c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409</v>
      </c>
      <c r="CO54" s="2">
        <v>0</v>
      </c>
      <c r="CP54" s="2">
        <f t="shared" si="37"/>
        <v>882.31</v>
      </c>
      <c r="CQ54" s="2">
        <f t="shared" si="38"/>
        <v>0.7</v>
      </c>
      <c r="CR54" s="2">
        <f>((((ET54*ROUND((1.25*7),7)))*BB54-((EU54*ROUND((1.25*7),7))))+AE54)</f>
        <v>8.052500000000002</v>
      </c>
      <c r="CS54" s="2">
        <f t="shared" si="39"/>
        <v>2.54</v>
      </c>
      <c r="CT54" s="2">
        <f t="shared" si="40"/>
        <v>159.95</v>
      </c>
      <c r="CU54" s="2">
        <f t="shared" si="41"/>
        <v>0</v>
      </c>
      <c r="CV54" s="2">
        <f t="shared" si="42"/>
        <v>18.756500000000003</v>
      </c>
      <c r="CW54" s="2">
        <f t="shared" si="43"/>
        <v>0.2625</v>
      </c>
      <c r="CX54" s="2">
        <f t="shared" si="44"/>
        <v>0</v>
      </c>
      <c r="CY54" s="2">
        <f t="shared" si="45"/>
        <v>856.6185599999999</v>
      </c>
      <c r="CZ54" s="2">
        <f t="shared" si="46"/>
        <v>469.52554999999995</v>
      </c>
      <c r="DA54" s="2"/>
      <c r="DB54" s="2"/>
      <c r="DC54" s="2" t="s">
        <v>3</v>
      </c>
      <c r="DD54" s="2" t="s">
        <v>95</v>
      </c>
      <c r="DE54" s="2" t="s">
        <v>96</v>
      </c>
      <c r="DF54" s="2" t="s">
        <v>96</v>
      </c>
      <c r="DG54" s="2" t="s">
        <v>97</v>
      </c>
      <c r="DH54" s="2" t="s">
        <v>3</v>
      </c>
      <c r="DI54" s="2" t="s">
        <v>97</v>
      </c>
      <c r="DJ54" s="2" t="s">
        <v>96</v>
      </c>
      <c r="DK54" s="2" t="s">
        <v>3</v>
      </c>
      <c r="DL54" s="2" t="s">
        <v>75</v>
      </c>
      <c r="DM54" s="2" t="s">
        <v>76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38</v>
      </c>
      <c r="DW54" s="2" t="s">
        <v>38</v>
      </c>
      <c r="DX54" s="2">
        <v>100</v>
      </c>
      <c r="DY54" s="2"/>
      <c r="DZ54" s="2" t="s">
        <v>3</v>
      </c>
      <c r="EA54" s="2" t="s">
        <v>3</v>
      </c>
      <c r="EB54" s="2" t="s">
        <v>3</v>
      </c>
      <c r="EC54" s="2" t="s">
        <v>3</v>
      </c>
      <c r="ED54" s="2"/>
      <c r="EE54" s="2">
        <v>55471663</v>
      </c>
      <c r="EF54" s="2">
        <v>2</v>
      </c>
      <c r="EG54" s="2" t="s">
        <v>43</v>
      </c>
      <c r="EH54" s="2">
        <v>11</v>
      </c>
      <c r="EI54" s="2" t="s">
        <v>27</v>
      </c>
      <c r="EJ54" s="2">
        <v>1</v>
      </c>
      <c r="EK54" s="2">
        <v>11001</v>
      </c>
      <c r="EL54" s="2" t="s">
        <v>27</v>
      </c>
      <c r="EM54" s="2" t="s">
        <v>44</v>
      </c>
      <c r="EN54" s="2"/>
      <c r="EO54" s="2" t="s">
        <v>77</v>
      </c>
      <c r="EP54" s="2"/>
      <c r="EQ54" s="2">
        <v>0</v>
      </c>
      <c r="ER54" s="2">
        <v>20.89</v>
      </c>
      <c r="ES54" s="2">
        <v>0.1</v>
      </c>
      <c r="ET54" s="2">
        <v>0.92</v>
      </c>
      <c r="EU54" s="2">
        <v>0.29</v>
      </c>
      <c r="EV54" s="2">
        <v>19.87</v>
      </c>
      <c r="EW54" s="2">
        <v>2.33</v>
      </c>
      <c r="EX54" s="2">
        <v>0.03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7"/>
        <v>0</v>
      </c>
      <c r="FS54" s="2">
        <v>0</v>
      </c>
      <c r="FT54" s="2"/>
      <c r="FU54" s="2"/>
      <c r="FV54" s="2"/>
      <c r="FW54" s="2"/>
      <c r="FX54" s="2">
        <v>100.8</v>
      </c>
      <c r="FY54" s="2">
        <v>55.25</v>
      </c>
      <c r="FZ54" s="2"/>
      <c r="GA54" s="2" t="s">
        <v>3</v>
      </c>
      <c r="GB54" s="2"/>
      <c r="GC54" s="2"/>
      <c r="GD54" s="2">
        <v>1</v>
      </c>
      <c r="GE54" s="2"/>
      <c r="GF54" s="2">
        <v>659955106</v>
      </c>
      <c r="GG54" s="2">
        <v>2</v>
      </c>
      <c r="GH54" s="2">
        <v>1</v>
      </c>
      <c r="GI54" s="2">
        <v>-2</v>
      </c>
      <c r="GJ54" s="2">
        <v>0</v>
      </c>
      <c r="GK54" s="2">
        <v>0</v>
      </c>
      <c r="GL54" s="2">
        <f t="shared" si="48"/>
        <v>0</v>
      </c>
      <c r="GM54" s="2">
        <f t="shared" si="49"/>
        <v>2208.46</v>
      </c>
      <c r="GN54" s="2">
        <f t="shared" si="50"/>
        <v>2208.46</v>
      </c>
      <c r="GO54" s="2">
        <f t="shared" si="51"/>
        <v>0</v>
      </c>
      <c r="GP54" s="2">
        <f t="shared" si="52"/>
        <v>0</v>
      </c>
      <c r="GQ54" s="2"/>
      <c r="GR54" s="2">
        <v>0</v>
      </c>
      <c r="GS54" s="2">
        <v>0</v>
      </c>
      <c r="GT54" s="2">
        <v>0</v>
      </c>
      <c r="GU54" s="2" t="s">
        <v>3</v>
      </c>
      <c r="GV54" s="2">
        <f t="shared" si="53"/>
        <v>0</v>
      </c>
      <c r="GW54" s="2">
        <v>1</v>
      </c>
      <c r="GX54" s="2">
        <f t="shared" si="54"/>
        <v>0</v>
      </c>
      <c r="GY54" s="2"/>
      <c r="GZ54" s="2"/>
      <c r="HA54" s="2">
        <v>0</v>
      </c>
      <c r="HB54" s="2">
        <v>0</v>
      </c>
      <c r="HC54" s="2">
        <f t="shared" si="55"/>
        <v>0</v>
      </c>
      <c r="HD54" s="2"/>
      <c r="HE54" s="2" t="s">
        <v>3</v>
      </c>
      <c r="HF54" s="2" t="s">
        <v>3</v>
      </c>
      <c r="HG54" s="2"/>
      <c r="HH54" s="2"/>
      <c r="HI54" s="2">
        <f t="shared" si="56"/>
        <v>13.28</v>
      </c>
      <c r="HJ54" s="2">
        <f t="shared" si="57"/>
        <v>836.54</v>
      </c>
      <c r="HK54" s="2">
        <f t="shared" si="58"/>
        <v>856.62</v>
      </c>
      <c r="HL54" s="2">
        <f t="shared" si="59"/>
        <v>469.53</v>
      </c>
      <c r="HM54" s="2" t="s">
        <v>3</v>
      </c>
      <c r="HN54" s="2" t="s">
        <v>46</v>
      </c>
      <c r="HO54" s="2" t="s">
        <v>47</v>
      </c>
      <c r="HP54" s="2" t="s">
        <v>27</v>
      </c>
      <c r="HQ54" s="2" t="s">
        <v>27</v>
      </c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45" ht="12.75">
      <c r="A55">
        <v>17</v>
      </c>
      <c r="B55">
        <v>1</v>
      </c>
      <c r="C55">
        <f>ROW(SmtRes!A80)</f>
        <v>80</v>
      </c>
      <c r="D55">
        <f>ROW(EtalonRes!A80)</f>
        <v>80</v>
      </c>
      <c r="E55" t="s">
        <v>91</v>
      </c>
      <c r="F55" t="s">
        <v>92</v>
      </c>
      <c r="G55" t="s">
        <v>93</v>
      </c>
      <c r="H55" t="s">
        <v>38</v>
      </c>
      <c r="I55">
        <f>ROUND(ROUND(523/100,2),7)</f>
        <v>5.23</v>
      </c>
      <c r="J55">
        <v>0</v>
      </c>
      <c r="K55">
        <f>ROUND(ROUND(523/100,2),7)</f>
        <v>5.23</v>
      </c>
      <c r="O55">
        <f t="shared" si="21"/>
        <v>882.31</v>
      </c>
      <c r="P55">
        <f t="shared" si="22"/>
        <v>3.66</v>
      </c>
      <c r="Q55">
        <f t="shared" si="23"/>
        <v>42.11</v>
      </c>
      <c r="R55">
        <f t="shared" si="24"/>
        <v>13.28</v>
      </c>
      <c r="S55">
        <f t="shared" si="25"/>
        <v>836.54</v>
      </c>
      <c r="T55">
        <f t="shared" si="26"/>
        <v>0</v>
      </c>
      <c r="U55">
        <f t="shared" si="27"/>
        <v>98.09649500000002</v>
      </c>
      <c r="V55">
        <f t="shared" si="28"/>
        <v>1.372875</v>
      </c>
      <c r="W55">
        <f t="shared" si="29"/>
        <v>0</v>
      </c>
      <c r="X55">
        <f t="shared" si="30"/>
        <v>856.62</v>
      </c>
      <c r="Y55">
        <f t="shared" si="31"/>
        <v>469.53</v>
      </c>
      <c r="AA55">
        <v>55454919</v>
      </c>
      <c r="AB55">
        <f t="shared" si="32"/>
        <v>168.7</v>
      </c>
      <c r="AC55">
        <f>ROUND(((ES55*ROUND(7,7))),2)</f>
        <v>0.7</v>
      </c>
      <c r="AD55">
        <f>ROUND(((((ET55*ROUND((1.25*7),7)))-((EU55*ROUND((1.25*7),7))))+AE55),2)</f>
        <v>8.05</v>
      </c>
      <c r="AE55">
        <f>ROUND(((EU55*ROUND((1.25*7),7))),2)</f>
        <v>2.54</v>
      </c>
      <c r="AF55">
        <f>ROUND(((EV55*ROUND((1.15*7),7))),2)</f>
        <v>159.95</v>
      </c>
      <c r="AG55">
        <f t="shared" si="34"/>
        <v>0</v>
      </c>
      <c r="AH55">
        <f>((EW55*ROUND((1.15*7),7)))</f>
        <v>18.756500000000003</v>
      </c>
      <c r="AI55">
        <f>((EX55*ROUND((1.25*7),7)))</f>
        <v>0.2625</v>
      </c>
      <c r="AJ55">
        <f t="shared" si="36"/>
        <v>0</v>
      </c>
      <c r="AK55">
        <v>20.89</v>
      </c>
      <c r="AL55">
        <v>0.1</v>
      </c>
      <c r="AM55">
        <v>0.92</v>
      </c>
      <c r="AN55">
        <v>0.29</v>
      </c>
      <c r="AO55">
        <v>19.87</v>
      </c>
      <c r="AP55">
        <v>0</v>
      </c>
      <c r="AQ55">
        <v>2.33</v>
      </c>
      <c r="AR55">
        <v>0.03</v>
      </c>
      <c r="AS55">
        <v>0</v>
      </c>
      <c r="AT55">
        <v>100.8</v>
      </c>
      <c r="AU55">
        <v>55.25</v>
      </c>
      <c r="AV55">
        <v>1</v>
      </c>
      <c r="AW55">
        <v>1</v>
      </c>
      <c r="AZ55">
        <v>1</v>
      </c>
      <c r="BA55">
        <v>36.47</v>
      </c>
      <c r="BB55">
        <v>1</v>
      </c>
      <c r="BC55">
        <v>1</v>
      </c>
      <c r="BH55">
        <v>0</v>
      </c>
      <c r="BI55">
        <v>1</v>
      </c>
      <c r="BJ55" t="s">
        <v>94</v>
      </c>
      <c r="BM55">
        <v>11001</v>
      </c>
      <c r="BN55">
        <v>0</v>
      </c>
      <c r="BP55">
        <v>0</v>
      </c>
      <c r="BQ55">
        <v>2</v>
      </c>
      <c r="BR55">
        <v>0</v>
      </c>
      <c r="BS55">
        <v>36.47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112</v>
      </c>
      <c r="CA55">
        <v>65</v>
      </c>
      <c r="CE55">
        <v>0</v>
      </c>
      <c r="CF55">
        <v>0</v>
      </c>
      <c r="CG55">
        <v>0</v>
      </c>
      <c r="CM55">
        <v>0</v>
      </c>
      <c r="CN55" t="s">
        <v>409</v>
      </c>
      <c r="CO55">
        <v>0</v>
      </c>
      <c r="CP55">
        <f t="shared" si="37"/>
        <v>882.31</v>
      </c>
      <c r="CQ55">
        <f t="shared" si="38"/>
        <v>0.7</v>
      </c>
      <c r="CR55">
        <f>((((ET55*ROUND((1.25*7),7)))*BB55-((EU55*ROUND((1.25*7),7))))+AE55)</f>
        <v>8.052500000000002</v>
      </c>
      <c r="CS55">
        <f t="shared" si="39"/>
        <v>2.54</v>
      </c>
      <c r="CT55">
        <f t="shared" si="40"/>
        <v>159.95</v>
      </c>
      <c r="CU55">
        <f t="shared" si="41"/>
        <v>0</v>
      </c>
      <c r="CV55">
        <f t="shared" si="42"/>
        <v>18.756500000000003</v>
      </c>
      <c r="CW55">
        <f t="shared" si="43"/>
        <v>0.2625</v>
      </c>
      <c r="CX55">
        <f t="shared" si="44"/>
        <v>0</v>
      </c>
      <c r="CY55">
        <f t="shared" si="45"/>
        <v>856.6185599999999</v>
      </c>
      <c r="CZ55">
        <f t="shared" si="46"/>
        <v>469.52554999999995</v>
      </c>
      <c r="DD55" t="s">
        <v>95</v>
      </c>
      <c r="DE55" t="s">
        <v>96</v>
      </c>
      <c r="DF55" t="s">
        <v>96</v>
      </c>
      <c r="DG55" t="s">
        <v>97</v>
      </c>
      <c r="DI55" t="s">
        <v>97</v>
      </c>
      <c r="DJ55" t="s">
        <v>96</v>
      </c>
      <c r="DL55" t="s">
        <v>75</v>
      </c>
      <c r="DM55" t="s">
        <v>76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38</v>
      </c>
      <c r="DW55" t="s">
        <v>38</v>
      </c>
      <c r="DX55">
        <v>100</v>
      </c>
      <c r="EE55">
        <v>55471663</v>
      </c>
      <c r="EF55">
        <v>2</v>
      </c>
      <c r="EG55" t="s">
        <v>43</v>
      </c>
      <c r="EH55">
        <v>11</v>
      </c>
      <c r="EI55" t="s">
        <v>27</v>
      </c>
      <c r="EJ55">
        <v>1</v>
      </c>
      <c r="EK55">
        <v>11001</v>
      </c>
      <c r="EL55" t="s">
        <v>27</v>
      </c>
      <c r="EM55" t="s">
        <v>44</v>
      </c>
      <c r="EO55" t="s">
        <v>77</v>
      </c>
      <c r="EQ55">
        <v>0</v>
      </c>
      <c r="ER55">
        <v>20.89</v>
      </c>
      <c r="ES55">
        <v>0.1</v>
      </c>
      <c r="ET55">
        <v>0.92</v>
      </c>
      <c r="EU55">
        <v>0.29</v>
      </c>
      <c r="EV55">
        <v>19.87</v>
      </c>
      <c r="EW55">
        <v>2.33</v>
      </c>
      <c r="EX55">
        <v>0.03</v>
      </c>
      <c r="EY55">
        <v>0</v>
      </c>
      <c r="FQ55">
        <v>0</v>
      </c>
      <c r="FR55">
        <f t="shared" si="47"/>
        <v>0</v>
      </c>
      <c r="FS55">
        <v>0</v>
      </c>
      <c r="FX55">
        <v>100.8</v>
      </c>
      <c r="FY55">
        <v>55.25</v>
      </c>
      <c r="GD55">
        <v>1</v>
      </c>
      <c r="GF55">
        <v>659955106</v>
      </c>
      <c r="GG55">
        <v>2</v>
      </c>
      <c r="GH55">
        <v>1</v>
      </c>
      <c r="GI55">
        <v>4</v>
      </c>
      <c r="GJ55">
        <v>0</v>
      </c>
      <c r="GK55">
        <v>0</v>
      </c>
      <c r="GL55">
        <f t="shared" si="48"/>
        <v>0</v>
      </c>
      <c r="GM55">
        <f t="shared" si="49"/>
        <v>2208.46</v>
      </c>
      <c r="GN55">
        <f t="shared" si="50"/>
        <v>2208.46</v>
      </c>
      <c r="GO55">
        <f t="shared" si="51"/>
        <v>0</v>
      </c>
      <c r="GP55">
        <f t="shared" si="52"/>
        <v>0</v>
      </c>
      <c r="GR55">
        <v>0</v>
      </c>
      <c r="GS55">
        <v>0</v>
      </c>
      <c r="GT55">
        <v>0</v>
      </c>
      <c r="GV55">
        <f t="shared" si="53"/>
        <v>0</v>
      </c>
      <c r="GW55">
        <v>1</v>
      </c>
      <c r="GX55">
        <f t="shared" si="54"/>
        <v>0</v>
      </c>
      <c r="HA55">
        <v>0</v>
      </c>
      <c r="HB55">
        <v>0</v>
      </c>
      <c r="HC55">
        <f t="shared" si="55"/>
        <v>0</v>
      </c>
      <c r="HI55">
        <f t="shared" si="56"/>
        <v>484.32</v>
      </c>
      <c r="HJ55">
        <f t="shared" si="57"/>
        <v>30508.61</v>
      </c>
      <c r="HK55">
        <f t="shared" si="58"/>
        <v>31240.87</v>
      </c>
      <c r="HL55">
        <f t="shared" si="59"/>
        <v>17123.59</v>
      </c>
      <c r="HN55" t="s">
        <v>46</v>
      </c>
      <c r="HO55" t="s">
        <v>47</v>
      </c>
      <c r="HP55" t="s">
        <v>27</v>
      </c>
      <c r="HQ55" t="s">
        <v>27</v>
      </c>
      <c r="IK55">
        <v>0</v>
      </c>
    </row>
    <row r="56" spans="1:255" ht="12.75">
      <c r="A56" s="2">
        <v>18</v>
      </c>
      <c r="B56" s="2">
        <v>1</v>
      </c>
      <c r="C56" s="2">
        <v>74</v>
      </c>
      <c r="D56" s="2"/>
      <c r="E56" s="2" t="s">
        <v>98</v>
      </c>
      <c r="F56" s="2" t="s">
        <v>79</v>
      </c>
      <c r="G56" s="2" t="s">
        <v>80</v>
      </c>
      <c r="H56" s="2" t="s">
        <v>34</v>
      </c>
      <c r="I56" s="2">
        <f>I54*J56</f>
        <v>5.491050000000001</v>
      </c>
      <c r="J56" s="2">
        <v>1.0499139579349905</v>
      </c>
      <c r="K56" s="2">
        <v>1.049914</v>
      </c>
      <c r="L56" s="2"/>
      <c r="M56" s="2"/>
      <c r="N56" s="2"/>
      <c r="O56" s="2">
        <f t="shared" si="21"/>
        <v>14730.24</v>
      </c>
      <c r="P56" s="2">
        <f t="shared" si="22"/>
        <v>14730.24</v>
      </c>
      <c r="Q56" s="2">
        <f t="shared" si="23"/>
        <v>0</v>
      </c>
      <c r="R56" s="2">
        <f t="shared" si="24"/>
        <v>0</v>
      </c>
      <c r="S56" s="2">
        <f t="shared" si="25"/>
        <v>0</v>
      </c>
      <c r="T56" s="2">
        <f t="shared" si="26"/>
        <v>0</v>
      </c>
      <c r="U56" s="2">
        <f t="shared" si="27"/>
        <v>0</v>
      </c>
      <c r="V56" s="2">
        <f t="shared" si="28"/>
        <v>0</v>
      </c>
      <c r="W56" s="2">
        <f t="shared" si="29"/>
        <v>0</v>
      </c>
      <c r="X56" s="2">
        <f t="shared" si="30"/>
        <v>0</v>
      </c>
      <c r="Y56" s="2">
        <f t="shared" si="31"/>
        <v>0</v>
      </c>
      <c r="Z56" s="2"/>
      <c r="AA56" s="2">
        <v>55454918</v>
      </c>
      <c r="AB56" s="2">
        <f t="shared" si="32"/>
        <v>2682.59</v>
      </c>
      <c r="AC56" s="2">
        <f aca="true" t="shared" si="70" ref="AC56:AC81">ROUND((ES56),2)</f>
        <v>2682.59</v>
      </c>
      <c r="AD56" s="2">
        <f>ROUND((((ET56)-(EU56))+AE56),2)</f>
        <v>0</v>
      </c>
      <c r="AE56" s="2">
        <f>ROUND((EU56),2)</f>
        <v>0</v>
      </c>
      <c r="AF56" s="2">
        <f>ROUND((EV56),2)</f>
        <v>0</v>
      </c>
      <c r="AG56" s="2">
        <f t="shared" si="34"/>
        <v>0</v>
      </c>
      <c r="AH56" s="2">
        <f>(EW56)</f>
        <v>0</v>
      </c>
      <c r="AI56" s="2">
        <f>(EX56)</f>
        <v>0</v>
      </c>
      <c r="AJ56" s="2">
        <f t="shared" si="36"/>
        <v>0</v>
      </c>
      <c r="AK56" s="2">
        <v>2682.59</v>
      </c>
      <c r="AL56" s="2">
        <v>2682.59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112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81</v>
      </c>
      <c r="BK56" s="2"/>
      <c r="BL56" s="2"/>
      <c r="BM56" s="2">
        <v>11001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112</v>
      </c>
      <c r="CA56" s="2">
        <v>65</v>
      </c>
      <c r="CB56" s="2" t="s">
        <v>3</v>
      </c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7"/>
        <v>14730.24</v>
      </c>
      <c r="CQ56" s="2">
        <f t="shared" si="38"/>
        <v>2682.59</v>
      </c>
      <c r="CR56" s="2">
        <f>(((ET56)*BB56-(EU56))+AE56)</f>
        <v>0</v>
      </c>
      <c r="CS56" s="2">
        <f t="shared" si="39"/>
        <v>0</v>
      </c>
      <c r="CT56" s="2">
        <f t="shared" si="40"/>
        <v>0</v>
      </c>
      <c r="CU56" s="2">
        <f t="shared" si="41"/>
        <v>0</v>
      </c>
      <c r="CV56" s="2">
        <f t="shared" si="42"/>
        <v>0</v>
      </c>
      <c r="CW56" s="2">
        <f t="shared" si="43"/>
        <v>0</v>
      </c>
      <c r="CX56" s="2">
        <f t="shared" si="44"/>
        <v>0</v>
      </c>
      <c r="CY56" s="2">
        <f t="shared" si="45"/>
        <v>0</v>
      </c>
      <c r="CZ56" s="2">
        <f t="shared" si="46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34</v>
      </c>
      <c r="DW56" s="2" t="s">
        <v>34</v>
      </c>
      <c r="DX56" s="2">
        <v>1000</v>
      </c>
      <c r="DY56" s="2"/>
      <c r="DZ56" s="2" t="s">
        <v>3</v>
      </c>
      <c r="EA56" s="2" t="s">
        <v>3</v>
      </c>
      <c r="EB56" s="2" t="s">
        <v>3</v>
      </c>
      <c r="EC56" s="2" t="s">
        <v>3</v>
      </c>
      <c r="ED56" s="2"/>
      <c r="EE56" s="2">
        <v>55471663</v>
      </c>
      <c r="EF56" s="2">
        <v>2</v>
      </c>
      <c r="EG56" s="2" t="s">
        <v>43</v>
      </c>
      <c r="EH56" s="2">
        <v>11</v>
      </c>
      <c r="EI56" s="2" t="s">
        <v>27</v>
      </c>
      <c r="EJ56" s="2">
        <v>1</v>
      </c>
      <c r="EK56" s="2">
        <v>11001</v>
      </c>
      <c r="EL56" s="2" t="s">
        <v>27</v>
      </c>
      <c r="EM56" s="2" t="s">
        <v>44</v>
      </c>
      <c r="EN56" s="2"/>
      <c r="EO56" s="2" t="s">
        <v>3</v>
      </c>
      <c r="EP56" s="2"/>
      <c r="EQ56" s="2">
        <v>0</v>
      </c>
      <c r="ER56" s="2">
        <v>2682.59</v>
      </c>
      <c r="ES56" s="2">
        <v>2682.59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7"/>
        <v>0</v>
      </c>
      <c r="FS56" s="2">
        <v>0</v>
      </c>
      <c r="FT56" s="2"/>
      <c r="FU56" s="2"/>
      <c r="FV56" s="2"/>
      <c r="FW56" s="2"/>
      <c r="FX56" s="2">
        <v>112</v>
      </c>
      <c r="FY56" s="2">
        <v>65</v>
      </c>
      <c r="FZ56" s="2"/>
      <c r="GA56" s="2" t="s">
        <v>3</v>
      </c>
      <c r="GB56" s="2"/>
      <c r="GC56" s="2"/>
      <c r="GD56" s="2">
        <v>1</v>
      </c>
      <c r="GE56" s="2"/>
      <c r="GF56" s="2">
        <v>-224352410</v>
      </c>
      <c r="GG56" s="2">
        <v>2</v>
      </c>
      <c r="GH56" s="2">
        <v>1</v>
      </c>
      <c r="GI56" s="2">
        <v>-2</v>
      </c>
      <c r="GJ56" s="2">
        <v>0</v>
      </c>
      <c r="GK56" s="2">
        <v>0</v>
      </c>
      <c r="GL56" s="2">
        <f t="shared" si="48"/>
        <v>0</v>
      </c>
      <c r="GM56" s="2">
        <f t="shared" si="49"/>
        <v>14730.24</v>
      </c>
      <c r="GN56" s="2">
        <f t="shared" si="50"/>
        <v>14730.24</v>
      </c>
      <c r="GO56" s="2">
        <f t="shared" si="51"/>
        <v>0</v>
      </c>
      <c r="GP56" s="2">
        <f t="shared" si="52"/>
        <v>0</v>
      </c>
      <c r="GQ56" s="2"/>
      <c r="GR56" s="2">
        <v>0</v>
      </c>
      <c r="GS56" s="2">
        <v>0</v>
      </c>
      <c r="GT56" s="2">
        <v>0</v>
      </c>
      <c r="GU56" s="2" t="s">
        <v>3</v>
      </c>
      <c r="GV56" s="2">
        <f t="shared" si="53"/>
        <v>0</v>
      </c>
      <c r="GW56" s="2">
        <v>1</v>
      </c>
      <c r="GX56" s="2">
        <f t="shared" si="54"/>
        <v>0</v>
      </c>
      <c r="GY56" s="2"/>
      <c r="GZ56" s="2"/>
      <c r="HA56" s="2">
        <v>0</v>
      </c>
      <c r="HB56" s="2">
        <v>0</v>
      </c>
      <c r="HC56" s="2">
        <f t="shared" si="55"/>
        <v>0</v>
      </c>
      <c r="HD56" s="2"/>
      <c r="HE56" s="2" t="s">
        <v>3</v>
      </c>
      <c r="HF56" s="2" t="s">
        <v>3</v>
      </c>
      <c r="HG56" s="2"/>
      <c r="HH56" s="2"/>
      <c r="HI56" s="2">
        <f t="shared" si="56"/>
        <v>0</v>
      </c>
      <c r="HJ56" s="2">
        <f t="shared" si="57"/>
        <v>0</v>
      </c>
      <c r="HK56" s="2">
        <f t="shared" si="58"/>
        <v>0</v>
      </c>
      <c r="HL56" s="2">
        <f t="shared" si="59"/>
        <v>0</v>
      </c>
      <c r="HM56" s="2" t="s">
        <v>3</v>
      </c>
      <c r="HN56" s="2" t="s">
        <v>46</v>
      </c>
      <c r="HO56" s="2" t="s">
        <v>47</v>
      </c>
      <c r="HP56" s="2" t="s">
        <v>27</v>
      </c>
      <c r="HQ56" s="2" t="s">
        <v>27</v>
      </c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45" ht="12.75">
      <c r="A57">
        <v>18</v>
      </c>
      <c r="B57">
        <v>1</v>
      </c>
      <c r="C57">
        <v>80</v>
      </c>
      <c r="E57" t="s">
        <v>98</v>
      </c>
      <c r="F57" t="s">
        <v>79</v>
      </c>
      <c r="G57" t="s">
        <v>80</v>
      </c>
      <c r="H57" t="s">
        <v>34</v>
      </c>
      <c r="I57">
        <f>I55*J57</f>
        <v>5.491050000000001</v>
      </c>
      <c r="J57">
        <v>1.0499139579349905</v>
      </c>
      <c r="K57">
        <v>1.049914</v>
      </c>
      <c r="O57">
        <f t="shared" si="21"/>
        <v>14730.24</v>
      </c>
      <c r="P57">
        <f t="shared" si="22"/>
        <v>14730.24</v>
      </c>
      <c r="Q57">
        <f t="shared" si="23"/>
        <v>0</v>
      </c>
      <c r="R57">
        <f t="shared" si="24"/>
        <v>0</v>
      </c>
      <c r="S57">
        <f t="shared" si="25"/>
        <v>0</v>
      </c>
      <c r="T57">
        <f t="shared" si="26"/>
        <v>0</v>
      </c>
      <c r="U57">
        <f t="shared" si="27"/>
        <v>0</v>
      </c>
      <c r="V57">
        <f t="shared" si="28"/>
        <v>0</v>
      </c>
      <c r="W57">
        <f t="shared" si="29"/>
        <v>0</v>
      </c>
      <c r="X57">
        <f t="shared" si="30"/>
        <v>0</v>
      </c>
      <c r="Y57">
        <f t="shared" si="31"/>
        <v>0</v>
      </c>
      <c r="AA57">
        <v>55454919</v>
      </c>
      <c r="AB57">
        <f t="shared" si="32"/>
        <v>2682.59</v>
      </c>
      <c r="AC57">
        <f t="shared" si="70"/>
        <v>2682.59</v>
      </c>
      <c r="AD57">
        <f>ROUND((((ET57)-(EU57))+AE57),2)</f>
        <v>0</v>
      </c>
      <c r="AE57">
        <f>ROUND((EU57),2)</f>
        <v>0</v>
      </c>
      <c r="AF57">
        <f>ROUND((EV57),2)</f>
        <v>0</v>
      </c>
      <c r="AG57">
        <f t="shared" si="34"/>
        <v>0</v>
      </c>
      <c r="AH57">
        <f>(EW57)</f>
        <v>0</v>
      </c>
      <c r="AI57">
        <f>(EX57)</f>
        <v>0</v>
      </c>
      <c r="AJ57">
        <f t="shared" si="36"/>
        <v>0</v>
      </c>
      <c r="AK57">
        <v>2682.59</v>
      </c>
      <c r="AL57">
        <v>2682.59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112</v>
      </c>
      <c r="AU57">
        <v>65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1</v>
      </c>
      <c r="BH57">
        <v>3</v>
      </c>
      <c r="BI57">
        <v>1</v>
      </c>
      <c r="BJ57" t="s">
        <v>81</v>
      </c>
      <c r="BM57">
        <v>11001</v>
      </c>
      <c r="BN57">
        <v>0</v>
      </c>
      <c r="BP57">
        <v>0</v>
      </c>
      <c r="BQ57">
        <v>2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112</v>
      </c>
      <c r="CA57">
        <v>65</v>
      </c>
      <c r="CE57">
        <v>0</v>
      </c>
      <c r="CF57">
        <v>0</v>
      </c>
      <c r="CG57">
        <v>0</v>
      </c>
      <c r="CM57">
        <v>0</v>
      </c>
      <c r="CO57">
        <v>0</v>
      </c>
      <c r="CP57">
        <f t="shared" si="37"/>
        <v>14730.24</v>
      </c>
      <c r="CQ57">
        <f t="shared" si="38"/>
        <v>2682.59</v>
      </c>
      <c r="CR57">
        <f>(((ET57)*BB57-(EU57))+AE57)</f>
        <v>0</v>
      </c>
      <c r="CS57">
        <f t="shared" si="39"/>
        <v>0</v>
      </c>
      <c r="CT57">
        <f t="shared" si="40"/>
        <v>0</v>
      </c>
      <c r="CU57">
        <f t="shared" si="41"/>
        <v>0</v>
      </c>
      <c r="CV57">
        <f t="shared" si="42"/>
        <v>0</v>
      </c>
      <c r="CW57">
        <f t="shared" si="43"/>
        <v>0</v>
      </c>
      <c r="CX57">
        <f t="shared" si="44"/>
        <v>0</v>
      </c>
      <c r="CY57">
        <f t="shared" si="45"/>
        <v>0</v>
      </c>
      <c r="CZ57">
        <f t="shared" si="46"/>
        <v>0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34</v>
      </c>
      <c r="DW57" t="s">
        <v>34</v>
      </c>
      <c r="DX57">
        <v>1000</v>
      </c>
      <c r="EE57">
        <v>55471663</v>
      </c>
      <c r="EF57">
        <v>2</v>
      </c>
      <c r="EG57" t="s">
        <v>43</v>
      </c>
      <c r="EH57">
        <v>11</v>
      </c>
      <c r="EI57" t="s">
        <v>27</v>
      </c>
      <c r="EJ57">
        <v>1</v>
      </c>
      <c r="EK57">
        <v>11001</v>
      </c>
      <c r="EL57" t="s">
        <v>27</v>
      </c>
      <c r="EM57" t="s">
        <v>44</v>
      </c>
      <c r="EQ57">
        <v>0</v>
      </c>
      <c r="ER57">
        <v>2682.59</v>
      </c>
      <c r="ES57">
        <v>2682.59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47"/>
        <v>0</v>
      </c>
      <c r="FS57">
        <v>0</v>
      </c>
      <c r="FX57">
        <v>112</v>
      </c>
      <c r="FY57">
        <v>65</v>
      </c>
      <c r="GD57">
        <v>1</v>
      </c>
      <c r="GF57">
        <v>-224352410</v>
      </c>
      <c r="GG57">
        <v>2</v>
      </c>
      <c r="GH57">
        <v>1</v>
      </c>
      <c r="GI57">
        <v>4</v>
      </c>
      <c r="GJ57">
        <v>0</v>
      </c>
      <c r="GK57">
        <v>0</v>
      </c>
      <c r="GL57">
        <f t="shared" si="48"/>
        <v>0</v>
      </c>
      <c r="GM57">
        <f t="shared" si="49"/>
        <v>14730.24</v>
      </c>
      <c r="GN57">
        <f t="shared" si="50"/>
        <v>14730.24</v>
      </c>
      <c r="GO57">
        <f t="shared" si="51"/>
        <v>0</v>
      </c>
      <c r="GP57">
        <f t="shared" si="52"/>
        <v>0</v>
      </c>
      <c r="GR57">
        <v>0</v>
      </c>
      <c r="GS57">
        <v>0</v>
      </c>
      <c r="GT57">
        <v>0</v>
      </c>
      <c r="GV57">
        <f t="shared" si="53"/>
        <v>0</v>
      </c>
      <c r="GW57">
        <v>1</v>
      </c>
      <c r="GX57">
        <f t="shared" si="54"/>
        <v>0</v>
      </c>
      <c r="HA57">
        <v>0</v>
      </c>
      <c r="HB57">
        <v>0</v>
      </c>
      <c r="HC57">
        <f t="shared" si="55"/>
        <v>0</v>
      </c>
      <c r="HI57">
        <f t="shared" si="56"/>
        <v>0</v>
      </c>
      <c r="HJ57">
        <f t="shared" si="57"/>
        <v>0</v>
      </c>
      <c r="HK57">
        <f t="shared" si="58"/>
        <v>0</v>
      </c>
      <c r="HL57">
        <f t="shared" si="59"/>
        <v>0</v>
      </c>
      <c r="HN57" t="s">
        <v>46</v>
      </c>
      <c r="HO57" t="s">
        <v>47</v>
      </c>
      <c r="HP57" t="s">
        <v>27</v>
      </c>
      <c r="HQ57" t="s">
        <v>27</v>
      </c>
      <c r="IK57">
        <v>0</v>
      </c>
    </row>
    <row r="58" spans="1:255" ht="12.75">
      <c r="A58" s="2">
        <v>17</v>
      </c>
      <c r="B58" s="2">
        <v>1</v>
      </c>
      <c r="C58" s="2">
        <f>ROW(SmtRes!A92)</f>
        <v>92</v>
      </c>
      <c r="D58" s="2">
        <f>ROW(EtalonRes!A92)</f>
        <v>92</v>
      </c>
      <c r="E58" s="2" t="s">
        <v>99</v>
      </c>
      <c r="F58" s="2" t="s">
        <v>100</v>
      </c>
      <c r="G58" s="2" t="s">
        <v>101</v>
      </c>
      <c r="H58" s="2" t="s">
        <v>38</v>
      </c>
      <c r="I58" s="2">
        <f>ROUND(523/100,7)</f>
        <v>5.23</v>
      </c>
      <c r="J58" s="2">
        <v>0</v>
      </c>
      <c r="K58" s="2">
        <f>ROUND(523/100,7)</f>
        <v>5.23</v>
      </c>
      <c r="L58" s="2"/>
      <c r="M58" s="2"/>
      <c r="N58" s="2"/>
      <c r="O58" s="2">
        <f t="shared" si="21"/>
        <v>16925.81</v>
      </c>
      <c r="P58" s="2">
        <f t="shared" si="22"/>
        <v>448.42</v>
      </c>
      <c r="Q58" s="2">
        <f t="shared" si="23"/>
        <v>159.63</v>
      </c>
      <c r="R58" s="2">
        <f t="shared" si="24"/>
        <v>114.59</v>
      </c>
      <c r="S58" s="2">
        <f t="shared" si="25"/>
        <v>16317.76</v>
      </c>
      <c r="T58" s="2">
        <f t="shared" si="26"/>
        <v>0</v>
      </c>
      <c r="U58" s="2">
        <f t="shared" si="27"/>
        <v>1867.0210900000002</v>
      </c>
      <c r="V58" s="2">
        <f t="shared" si="28"/>
        <v>11.309875000000002</v>
      </c>
      <c r="W58" s="2">
        <f t="shared" si="29"/>
        <v>0</v>
      </c>
      <c r="X58" s="2">
        <f t="shared" si="30"/>
        <v>16563.81</v>
      </c>
      <c r="Y58" s="2">
        <f t="shared" si="31"/>
        <v>9078.87</v>
      </c>
      <c r="Z58" s="2"/>
      <c r="AA58" s="2">
        <v>55454918</v>
      </c>
      <c r="AB58" s="2">
        <f t="shared" si="32"/>
        <v>3236.29</v>
      </c>
      <c r="AC58" s="2">
        <f t="shared" si="70"/>
        <v>85.74</v>
      </c>
      <c r="AD58" s="2">
        <f>ROUND(((((ET58*ROUND(1.25,7)))-((EU58*ROUND(1.25,7))))+AE58),2)</f>
        <v>30.52</v>
      </c>
      <c r="AE58" s="2">
        <f>ROUND(((EU58*ROUND(1.25,7))),2)</f>
        <v>21.91</v>
      </c>
      <c r="AF58" s="2">
        <f>ROUND(((EV58*ROUND(1.15,7))),2)</f>
        <v>3120.03</v>
      </c>
      <c r="AG58" s="2">
        <f t="shared" si="34"/>
        <v>0</v>
      </c>
      <c r="AH58" s="2">
        <f>((EW58*ROUND(1.15,7)))</f>
        <v>356.983</v>
      </c>
      <c r="AI58" s="2">
        <f>((EX58*ROUND(1.25,7)))</f>
        <v>2.1625</v>
      </c>
      <c r="AJ58" s="2">
        <f t="shared" si="36"/>
        <v>0</v>
      </c>
      <c r="AK58" s="2">
        <v>2823.23</v>
      </c>
      <c r="AL58" s="2">
        <v>85.74</v>
      </c>
      <c r="AM58" s="2">
        <v>24.42</v>
      </c>
      <c r="AN58" s="2">
        <v>17.53</v>
      </c>
      <c r="AO58" s="2">
        <v>2713.07</v>
      </c>
      <c r="AP58" s="2">
        <v>0</v>
      </c>
      <c r="AQ58" s="2">
        <v>310.42</v>
      </c>
      <c r="AR58" s="2">
        <v>1.73</v>
      </c>
      <c r="AS58" s="2">
        <v>0</v>
      </c>
      <c r="AT58" s="2">
        <v>100.8</v>
      </c>
      <c r="AU58" s="2">
        <v>55.25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1</v>
      </c>
      <c r="BJ58" s="2" t="s">
        <v>102</v>
      </c>
      <c r="BK58" s="2"/>
      <c r="BL58" s="2"/>
      <c r="BM58" s="2">
        <v>11001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112</v>
      </c>
      <c r="CA58" s="2">
        <v>65</v>
      </c>
      <c r="CB58" s="2" t="s">
        <v>3</v>
      </c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409</v>
      </c>
      <c r="CO58" s="2">
        <v>0</v>
      </c>
      <c r="CP58" s="2">
        <f t="shared" si="37"/>
        <v>16925.81</v>
      </c>
      <c r="CQ58" s="2">
        <f t="shared" si="38"/>
        <v>85.74</v>
      </c>
      <c r="CR58" s="2">
        <f>((((ET58*ROUND(1.25,7)))*BB58-((EU58*ROUND(1.25,7))))+AE58)</f>
        <v>30.5225</v>
      </c>
      <c r="CS58" s="2">
        <f t="shared" si="39"/>
        <v>21.91</v>
      </c>
      <c r="CT58" s="2">
        <f t="shared" si="40"/>
        <v>3120.03</v>
      </c>
      <c r="CU58" s="2">
        <f t="shared" si="41"/>
        <v>0</v>
      </c>
      <c r="CV58" s="2">
        <f t="shared" si="42"/>
        <v>356.983</v>
      </c>
      <c r="CW58" s="2">
        <f t="shared" si="43"/>
        <v>2.1625</v>
      </c>
      <c r="CX58" s="2">
        <f t="shared" si="44"/>
        <v>0</v>
      </c>
      <c r="CY58" s="2">
        <f t="shared" si="45"/>
        <v>16563.8088</v>
      </c>
      <c r="CZ58" s="2">
        <f t="shared" si="46"/>
        <v>9078.873375</v>
      </c>
      <c r="DA58" s="2"/>
      <c r="DB58" s="2"/>
      <c r="DC58" s="2" t="s">
        <v>3</v>
      </c>
      <c r="DD58" s="2" t="s">
        <v>3</v>
      </c>
      <c r="DE58" s="2" t="s">
        <v>73</v>
      </c>
      <c r="DF58" s="2" t="s">
        <v>73</v>
      </c>
      <c r="DG58" s="2" t="s">
        <v>74</v>
      </c>
      <c r="DH58" s="2" t="s">
        <v>3</v>
      </c>
      <c r="DI58" s="2" t="s">
        <v>74</v>
      </c>
      <c r="DJ58" s="2" t="s">
        <v>73</v>
      </c>
      <c r="DK58" s="2" t="s">
        <v>3</v>
      </c>
      <c r="DL58" s="2" t="s">
        <v>75</v>
      </c>
      <c r="DM58" s="2" t="s">
        <v>76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1005</v>
      </c>
      <c r="DV58" s="2" t="s">
        <v>38</v>
      </c>
      <c r="DW58" s="2" t="s">
        <v>38</v>
      </c>
      <c r="DX58" s="2">
        <v>100</v>
      </c>
      <c r="DY58" s="2"/>
      <c r="DZ58" s="2" t="s">
        <v>3</v>
      </c>
      <c r="EA58" s="2" t="s">
        <v>3</v>
      </c>
      <c r="EB58" s="2" t="s">
        <v>3</v>
      </c>
      <c r="EC58" s="2" t="s">
        <v>3</v>
      </c>
      <c r="ED58" s="2"/>
      <c r="EE58" s="2">
        <v>55471663</v>
      </c>
      <c r="EF58" s="2">
        <v>2</v>
      </c>
      <c r="EG58" s="2" t="s">
        <v>43</v>
      </c>
      <c r="EH58" s="2">
        <v>11</v>
      </c>
      <c r="EI58" s="2" t="s">
        <v>27</v>
      </c>
      <c r="EJ58" s="2">
        <v>1</v>
      </c>
      <c r="EK58" s="2">
        <v>11001</v>
      </c>
      <c r="EL58" s="2" t="s">
        <v>27</v>
      </c>
      <c r="EM58" s="2" t="s">
        <v>44</v>
      </c>
      <c r="EN58" s="2"/>
      <c r="EO58" s="2" t="s">
        <v>77</v>
      </c>
      <c r="EP58" s="2"/>
      <c r="EQ58" s="2">
        <v>0</v>
      </c>
      <c r="ER58" s="2">
        <v>2823.23</v>
      </c>
      <c r="ES58" s="2">
        <v>85.74</v>
      </c>
      <c r="ET58" s="2">
        <v>24.42</v>
      </c>
      <c r="EU58" s="2">
        <v>17.53</v>
      </c>
      <c r="EV58" s="2">
        <v>2713.07</v>
      </c>
      <c r="EW58" s="2">
        <v>310.42</v>
      </c>
      <c r="EX58" s="2">
        <v>1.73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7"/>
        <v>0</v>
      </c>
      <c r="FS58" s="2">
        <v>0</v>
      </c>
      <c r="FT58" s="2"/>
      <c r="FU58" s="2"/>
      <c r="FV58" s="2"/>
      <c r="FW58" s="2"/>
      <c r="FX58" s="2">
        <v>100.8</v>
      </c>
      <c r="FY58" s="2">
        <v>55.25</v>
      </c>
      <c r="FZ58" s="2"/>
      <c r="GA58" s="2" t="s">
        <v>3</v>
      </c>
      <c r="GB58" s="2"/>
      <c r="GC58" s="2"/>
      <c r="GD58" s="2">
        <v>1</v>
      </c>
      <c r="GE58" s="2"/>
      <c r="GF58" s="2">
        <v>114759172</v>
      </c>
      <c r="GG58" s="2">
        <v>2</v>
      </c>
      <c r="GH58" s="2">
        <v>1</v>
      </c>
      <c r="GI58" s="2">
        <v>-2</v>
      </c>
      <c r="GJ58" s="2">
        <v>0</v>
      </c>
      <c r="GK58" s="2">
        <v>0</v>
      </c>
      <c r="GL58" s="2">
        <f t="shared" si="48"/>
        <v>0</v>
      </c>
      <c r="GM58" s="2">
        <f t="shared" si="49"/>
        <v>42568.49</v>
      </c>
      <c r="GN58" s="2">
        <f t="shared" si="50"/>
        <v>42568.49</v>
      </c>
      <c r="GO58" s="2">
        <f t="shared" si="51"/>
        <v>0</v>
      </c>
      <c r="GP58" s="2">
        <f t="shared" si="52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53"/>
        <v>0</v>
      </c>
      <c r="GW58" s="2">
        <v>1</v>
      </c>
      <c r="GX58" s="2">
        <f t="shared" si="54"/>
        <v>0</v>
      </c>
      <c r="GY58" s="2"/>
      <c r="GZ58" s="2"/>
      <c r="HA58" s="2">
        <v>0</v>
      </c>
      <c r="HB58" s="2">
        <v>0</v>
      </c>
      <c r="HC58" s="2">
        <f t="shared" si="55"/>
        <v>0</v>
      </c>
      <c r="HD58" s="2"/>
      <c r="HE58" s="2" t="s">
        <v>3</v>
      </c>
      <c r="HF58" s="2" t="s">
        <v>3</v>
      </c>
      <c r="HG58" s="2"/>
      <c r="HH58" s="2"/>
      <c r="HI58" s="2">
        <f t="shared" si="56"/>
        <v>114.59</v>
      </c>
      <c r="HJ58" s="2">
        <f t="shared" si="57"/>
        <v>16317.76</v>
      </c>
      <c r="HK58" s="2">
        <f t="shared" si="58"/>
        <v>16563.81</v>
      </c>
      <c r="HL58" s="2">
        <f t="shared" si="59"/>
        <v>9078.87</v>
      </c>
      <c r="HM58" s="2" t="s">
        <v>3</v>
      </c>
      <c r="HN58" s="2" t="s">
        <v>46</v>
      </c>
      <c r="HO58" s="2" t="s">
        <v>47</v>
      </c>
      <c r="HP58" s="2" t="s">
        <v>27</v>
      </c>
      <c r="HQ58" s="2" t="s">
        <v>27</v>
      </c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45" ht="12.75">
      <c r="A59">
        <v>17</v>
      </c>
      <c r="B59">
        <v>1</v>
      </c>
      <c r="C59">
        <f>ROW(SmtRes!A104)</f>
        <v>104</v>
      </c>
      <c r="D59">
        <f>ROW(EtalonRes!A104)</f>
        <v>104</v>
      </c>
      <c r="E59" t="s">
        <v>99</v>
      </c>
      <c r="F59" t="s">
        <v>100</v>
      </c>
      <c r="G59" t="s">
        <v>101</v>
      </c>
      <c r="H59" t="s">
        <v>38</v>
      </c>
      <c r="I59">
        <f>ROUND(523/100,7)</f>
        <v>5.23</v>
      </c>
      <c r="J59">
        <v>0</v>
      </c>
      <c r="K59">
        <f>ROUND(523/100,7)</f>
        <v>5.23</v>
      </c>
      <c r="O59">
        <f t="shared" si="21"/>
        <v>16925.81</v>
      </c>
      <c r="P59">
        <f t="shared" si="22"/>
        <v>448.42</v>
      </c>
      <c r="Q59">
        <f t="shared" si="23"/>
        <v>159.63</v>
      </c>
      <c r="R59">
        <f t="shared" si="24"/>
        <v>114.59</v>
      </c>
      <c r="S59">
        <f t="shared" si="25"/>
        <v>16317.76</v>
      </c>
      <c r="T59">
        <f t="shared" si="26"/>
        <v>0</v>
      </c>
      <c r="U59">
        <f t="shared" si="27"/>
        <v>1867.0210900000002</v>
      </c>
      <c r="V59">
        <f t="shared" si="28"/>
        <v>11.309875000000002</v>
      </c>
      <c r="W59">
        <f t="shared" si="29"/>
        <v>0</v>
      </c>
      <c r="X59">
        <f t="shared" si="30"/>
        <v>16563.81</v>
      </c>
      <c r="Y59">
        <f t="shared" si="31"/>
        <v>9078.87</v>
      </c>
      <c r="AA59">
        <v>55454919</v>
      </c>
      <c r="AB59">
        <f t="shared" si="32"/>
        <v>3236.29</v>
      </c>
      <c r="AC59">
        <f t="shared" si="70"/>
        <v>85.74</v>
      </c>
      <c r="AD59">
        <f>ROUND(((((ET59*ROUND(1.25,7)))-((EU59*ROUND(1.25,7))))+AE59),2)</f>
        <v>30.52</v>
      </c>
      <c r="AE59">
        <f>ROUND(((EU59*ROUND(1.25,7))),2)</f>
        <v>21.91</v>
      </c>
      <c r="AF59">
        <f>ROUND(((EV59*ROUND(1.15,7))),2)</f>
        <v>3120.03</v>
      </c>
      <c r="AG59">
        <f t="shared" si="34"/>
        <v>0</v>
      </c>
      <c r="AH59">
        <f>((EW59*ROUND(1.15,7)))</f>
        <v>356.983</v>
      </c>
      <c r="AI59">
        <f>((EX59*ROUND(1.25,7)))</f>
        <v>2.1625</v>
      </c>
      <c r="AJ59">
        <f t="shared" si="36"/>
        <v>0</v>
      </c>
      <c r="AK59">
        <v>2823.23</v>
      </c>
      <c r="AL59">
        <v>85.74</v>
      </c>
      <c r="AM59">
        <v>24.42</v>
      </c>
      <c r="AN59">
        <v>17.53</v>
      </c>
      <c r="AO59">
        <v>2713.07</v>
      </c>
      <c r="AP59">
        <v>0</v>
      </c>
      <c r="AQ59">
        <v>310.42</v>
      </c>
      <c r="AR59">
        <v>1.73</v>
      </c>
      <c r="AS59">
        <v>0</v>
      </c>
      <c r="AT59">
        <v>100.8</v>
      </c>
      <c r="AU59">
        <v>55.25</v>
      </c>
      <c r="AV59">
        <v>1</v>
      </c>
      <c r="AW59">
        <v>1</v>
      </c>
      <c r="AZ59">
        <v>1</v>
      </c>
      <c r="BA59">
        <v>36.47</v>
      </c>
      <c r="BB59">
        <v>1</v>
      </c>
      <c r="BC59">
        <v>1</v>
      </c>
      <c r="BH59">
        <v>0</v>
      </c>
      <c r="BI59">
        <v>1</v>
      </c>
      <c r="BJ59" t="s">
        <v>102</v>
      </c>
      <c r="BM59">
        <v>11001</v>
      </c>
      <c r="BN59">
        <v>0</v>
      </c>
      <c r="BP59">
        <v>0</v>
      </c>
      <c r="BQ59">
        <v>2</v>
      </c>
      <c r="BR59">
        <v>0</v>
      </c>
      <c r="BS59">
        <v>36.47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112</v>
      </c>
      <c r="CA59">
        <v>65</v>
      </c>
      <c r="CE59">
        <v>0</v>
      </c>
      <c r="CF59">
        <v>0</v>
      </c>
      <c r="CG59">
        <v>0</v>
      </c>
      <c r="CM59">
        <v>0</v>
      </c>
      <c r="CN59" t="s">
        <v>409</v>
      </c>
      <c r="CO59">
        <v>0</v>
      </c>
      <c r="CP59">
        <f t="shared" si="37"/>
        <v>16925.81</v>
      </c>
      <c r="CQ59">
        <f t="shared" si="38"/>
        <v>85.74</v>
      </c>
      <c r="CR59">
        <f>((((ET59*ROUND(1.25,7)))*BB59-((EU59*ROUND(1.25,7))))+AE59)</f>
        <v>30.5225</v>
      </c>
      <c r="CS59">
        <f t="shared" si="39"/>
        <v>21.91</v>
      </c>
      <c r="CT59">
        <f t="shared" si="40"/>
        <v>3120.03</v>
      </c>
      <c r="CU59">
        <f t="shared" si="41"/>
        <v>0</v>
      </c>
      <c r="CV59">
        <f t="shared" si="42"/>
        <v>356.983</v>
      </c>
      <c r="CW59">
        <f t="shared" si="43"/>
        <v>2.1625</v>
      </c>
      <c r="CX59">
        <f t="shared" si="44"/>
        <v>0</v>
      </c>
      <c r="CY59">
        <f t="shared" si="45"/>
        <v>16563.8088</v>
      </c>
      <c r="CZ59">
        <f t="shared" si="46"/>
        <v>9078.873375</v>
      </c>
      <c r="DE59" t="s">
        <v>73</v>
      </c>
      <c r="DF59" t="s">
        <v>73</v>
      </c>
      <c r="DG59" t="s">
        <v>74</v>
      </c>
      <c r="DI59" t="s">
        <v>74</v>
      </c>
      <c r="DJ59" t="s">
        <v>73</v>
      </c>
      <c r="DL59" t="s">
        <v>75</v>
      </c>
      <c r="DM59" t="s">
        <v>76</v>
      </c>
      <c r="DN59">
        <v>0</v>
      </c>
      <c r="DO59">
        <v>0</v>
      </c>
      <c r="DP59">
        <v>1</v>
      </c>
      <c r="DQ59">
        <v>1</v>
      </c>
      <c r="DU59">
        <v>1005</v>
      </c>
      <c r="DV59" t="s">
        <v>38</v>
      </c>
      <c r="DW59" t="s">
        <v>38</v>
      </c>
      <c r="DX59">
        <v>100</v>
      </c>
      <c r="EE59">
        <v>55471663</v>
      </c>
      <c r="EF59">
        <v>2</v>
      </c>
      <c r="EG59" t="s">
        <v>43</v>
      </c>
      <c r="EH59">
        <v>11</v>
      </c>
      <c r="EI59" t="s">
        <v>27</v>
      </c>
      <c r="EJ59">
        <v>1</v>
      </c>
      <c r="EK59">
        <v>11001</v>
      </c>
      <c r="EL59" t="s">
        <v>27</v>
      </c>
      <c r="EM59" t="s">
        <v>44</v>
      </c>
      <c r="EO59" t="s">
        <v>77</v>
      </c>
      <c r="EQ59">
        <v>0</v>
      </c>
      <c r="ER59">
        <v>2823.23</v>
      </c>
      <c r="ES59">
        <v>85.74</v>
      </c>
      <c r="ET59">
        <v>24.42</v>
      </c>
      <c r="EU59">
        <v>17.53</v>
      </c>
      <c r="EV59">
        <v>2713.07</v>
      </c>
      <c r="EW59">
        <v>310.42</v>
      </c>
      <c r="EX59">
        <v>1.73</v>
      </c>
      <c r="EY59">
        <v>0</v>
      </c>
      <c r="FQ59">
        <v>0</v>
      </c>
      <c r="FR59">
        <f t="shared" si="47"/>
        <v>0</v>
      </c>
      <c r="FS59">
        <v>0</v>
      </c>
      <c r="FX59">
        <v>100.8</v>
      </c>
      <c r="FY59">
        <v>55.25</v>
      </c>
      <c r="GD59">
        <v>1</v>
      </c>
      <c r="GF59">
        <v>114759172</v>
      </c>
      <c r="GG59">
        <v>2</v>
      </c>
      <c r="GH59">
        <v>1</v>
      </c>
      <c r="GI59">
        <v>4</v>
      </c>
      <c r="GJ59">
        <v>0</v>
      </c>
      <c r="GK59">
        <v>0</v>
      </c>
      <c r="GL59">
        <f t="shared" si="48"/>
        <v>0</v>
      </c>
      <c r="GM59">
        <f t="shared" si="49"/>
        <v>42568.49</v>
      </c>
      <c r="GN59">
        <f t="shared" si="50"/>
        <v>42568.49</v>
      </c>
      <c r="GO59">
        <f t="shared" si="51"/>
        <v>0</v>
      </c>
      <c r="GP59">
        <f t="shared" si="52"/>
        <v>0</v>
      </c>
      <c r="GR59">
        <v>0</v>
      </c>
      <c r="GS59">
        <v>3</v>
      </c>
      <c r="GT59">
        <v>0</v>
      </c>
      <c r="GV59">
        <f t="shared" si="53"/>
        <v>0</v>
      </c>
      <c r="GW59">
        <v>1</v>
      </c>
      <c r="GX59">
        <f t="shared" si="54"/>
        <v>0</v>
      </c>
      <c r="HA59">
        <v>0</v>
      </c>
      <c r="HB59">
        <v>0</v>
      </c>
      <c r="HC59">
        <f t="shared" si="55"/>
        <v>0</v>
      </c>
      <c r="HI59">
        <f t="shared" si="56"/>
        <v>4179.1</v>
      </c>
      <c r="HJ59">
        <f t="shared" si="57"/>
        <v>595108.71</v>
      </c>
      <c r="HK59">
        <f t="shared" si="58"/>
        <v>604082.11</v>
      </c>
      <c r="HL59">
        <f t="shared" si="59"/>
        <v>331106.52</v>
      </c>
      <c r="HN59" t="s">
        <v>46</v>
      </c>
      <c r="HO59" t="s">
        <v>47</v>
      </c>
      <c r="HP59" t="s">
        <v>27</v>
      </c>
      <c r="HQ59" t="s">
        <v>27</v>
      </c>
      <c r="IK59">
        <v>0</v>
      </c>
    </row>
    <row r="60" spans="1:255" ht="12.75">
      <c r="A60" s="2">
        <v>18</v>
      </c>
      <c r="B60" s="2">
        <v>1</v>
      </c>
      <c r="C60" s="2">
        <v>89</v>
      </c>
      <c r="D60" s="2"/>
      <c r="E60" s="2" t="s">
        <v>103</v>
      </c>
      <c r="F60" s="2" t="s">
        <v>104</v>
      </c>
      <c r="G60" s="2" t="s">
        <v>105</v>
      </c>
      <c r="H60" s="2" t="s">
        <v>106</v>
      </c>
      <c r="I60" s="2">
        <f>I58*J60</f>
        <v>533.46</v>
      </c>
      <c r="J60" s="2">
        <v>102</v>
      </c>
      <c r="K60" s="2">
        <v>102</v>
      </c>
      <c r="L60" s="2"/>
      <c r="M60" s="2"/>
      <c r="N60" s="2"/>
      <c r="O60" s="2">
        <f aca="true" t="shared" si="71" ref="O60:O81">ROUND(CP60,2)</f>
        <v>0</v>
      </c>
      <c r="P60" s="2">
        <f aca="true" t="shared" si="72" ref="P60:P81">ROUND(CQ60*I60,2)</f>
        <v>0</v>
      </c>
      <c r="Q60" s="2">
        <f aca="true" t="shared" si="73" ref="Q60:Q81">ROUND(CR60*I60,2)</f>
        <v>0</v>
      </c>
      <c r="R60" s="2">
        <f aca="true" t="shared" si="74" ref="R60:R81">ROUND(CS60*I60,2)</f>
        <v>0</v>
      </c>
      <c r="S60" s="2">
        <f aca="true" t="shared" si="75" ref="S60:S81">ROUND(CT60*I60,2)</f>
        <v>0</v>
      </c>
      <c r="T60" s="2">
        <f aca="true" t="shared" si="76" ref="T60:T81">ROUND(CU60*I60,2)</f>
        <v>0</v>
      </c>
      <c r="U60" s="2">
        <f aca="true" t="shared" si="77" ref="U60:U81">CV60*I60</f>
        <v>0</v>
      </c>
      <c r="V60" s="2">
        <f aca="true" t="shared" si="78" ref="V60:V81">CW60*I60</f>
        <v>0</v>
      </c>
      <c r="W60" s="2">
        <f aca="true" t="shared" si="79" ref="W60:W81">ROUND(CX60*I60,2)</f>
        <v>0</v>
      </c>
      <c r="X60" s="2">
        <f aca="true" t="shared" si="80" ref="X60:X81">ROUND(CY60,2)</f>
        <v>0</v>
      </c>
      <c r="Y60" s="2">
        <f aca="true" t="shared" si="81" ref="Y60:Y81">ROUND(CZ60,2)</f>
        <v>0</v>
      </c>
      <c r="Z60" s="2"/>
      <c r="AA60" s="2">
        <v>55454918</v>
      </c>
      <c r="AB60" s="2">
        <f aca="true" t="shared" si="82" ref="AB60:AB81">ROUND((AC60+AD60+AF60),2)</f>
        <v>0</v>
      </c>
      <c r="AC60" s="2">
        <f t="shared" si="70"/>
        <v>0</v>
      </c>
      <c r="AD60" s="2">
        <f aca="true" t="shared" si="83" ref="AD60:AD67">ROUND((((ET60)-(EU60))+AE60),2)</f>
        <v>0</v>
      </c>
      <c r="AE60" s="2">
        <f aca="true" t="shared" si="84" ref="AE60:AF67">ROUND((EU60),2)</f>
        <v>0</v>
      </c>
      <c r="AF60" s="2">
        <f t="shared" si="84"/>
        <v>0</v>
      </c>
      <c r="AG60" s="2">
        <f aca="true" t="shared" si="85" ref="AG60:AG81">ROUND((AP60),2)</f>
        <v>0</v>
      </c>
      <c r="AH60" s="2">
        <f aca="true" t="shared" si="86" ref="AH60:AI67">(EW60)</f>
        <v>0</v>
      </c>
      <c r="AI60" s="2">
        <f t="shared" si="86"/>
        <v>0</v>
      </c>
      <c r="AJ60" s="2">
        <f aca="true" t="shared" si="87" ref="AJ60:AJ81">(AS60)</f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112</v>
      </c>
      <c r="AU60" s="2">
        <v>65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11001</v>
      </c>
      <c r="BN60" s="2">
        <v>0</v>
      </c>
      <c r="BO60" s="2" t="s">
        <v>3</v>
      </c>
      <c r="BP60" s="2">
        <v>0</v>
      </c>
      <c r="BQ60" s="2">
        <v>2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112</v>
      </c>
      <c r="CA60" s="2">
        <v>65</v>
      </c>
      <c r="CB60" s="2" t="s">
        <v>3</v>
      </c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aca="true" t="shared" si="88" ref="CP60:CP81">(P60+Q60+S60)</f>
        <v>0</v>
      </c>
      <c r="CQ60" s="2">
        <f aca="true" t="shared" si="89" ref="CQ60:CQ81">AC60*BC60</f>
        <v>0</v>
      </c>
      <c r="CR60" s="2">
        <f aca="true" t="shared" si="90" ref="CR60:CR67">(((ET60)*BB60-(EU60))+AE60)</f>
        <v>0</v>
      </c>
      <c r="CS60" s="2">
        <f aca="true" t="shared" si="91" ref="CS60:CS81">AE60</f>
        <v>0</v>
      </c>
      <c r="CT60" s="2">
        <f aca="true" t="shared" si="92" ref="CT60:CT81">AF60</f>
        <v>0</v>
      </c>
      <c r="CU60" s="2">
        <f aca="true" t="shared" si="93" ref="CU60:CU81">AG60</f>
        <v>0</v>
      </c>
      <c r="CV60" s="2">
        <f aca="true" t="shared" si="94" ref="CV60:CV81">AH60</f>
        <v>0</v>
      </c>
      <c r="CW60" s="2">
        <f aca="true" t="shared" si="95" ref="CW60:CW81">AI60</f>
        <v>0</v>
      </c>
      <c r="CX60" s="2">
        <f aca="true" t="shared" si="96" ref="CX60:CX81">AJ60</f>
        <v>0</v>
      </c>
      <c r="CY60" s="2">
        <f aca="true" t="shared" si="97" ref="CY60:CY81">(((S60+R60)*AT60)/100)</f>
        <v>0</v>
      </c>
      <c r="CZ60" s="2">
        <f aca="true" t="shared" si="98" ref="CZ60:CZ81">(((S60+R60)*AU60)/100)</f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1005</v>
      </c>
      <c r="DV60" s="2" t="s">
        <v>106</v>
      </c>
      <c r="DW60" s="2" t="s">
        <v>106</v>
      </c>
      <c r="DX60" s="2">
        <v>1</v>
      </c>
      <c r="DY60" s="2"/>
      <c r="DZ60" s="2" t="s">
        <v>3</v>
      </c>
      <c r="EA60" s="2" t="s">
        <v>3</v>
      </c>
      <c r="EB60" s="2" t="s">
        <v>3</v>
      </c>
      <c r="EC60" s="2" t="s">
        <v>3</v>
      </c>
      <c r="ED60" s="2"/>
      <c r="EE60" s="2">
        <v>55471663</v>
      </c>
      <c r="EF60" s="2">
        <v>2</v>
      </c>
      <c r="EG60" s="2" t="s">
        <v>43</v>
      </c>
      <c r="EH60" s="2">
        <v>11</v>
      </c>
      <c r="EI60" s="2" t="s">
        <v>27</v>
      </c>
      <c r="EJ60" s="2">
        <v>1</v>
      </c>
      <c r="EK60" s="2">
        <v>11001</v>
      </c>
      <c r="EL60" s="2" t="s">
        <v>27</v>
      </c>
      <c r="EM60" s="2" t="s">
        <v>44</v>
      </c>
      <c r="EN60" s="2"/>
      <c r="EO60" s="2" t="s">
        <v>3</v>
      </c>
      <c r="EP60" s="2"/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aca="true" t="shared" si="99" ref="FR60:FR81">ROUND(IF(AND(BH60=3,BI60=3),P60,0),2)</f>
        <v>0</v>
      </c>
      <c r="FS60" s="2">
        <v>0</v>
      </c>
      <c r="FT60" s="2"/>
      <c r="FU60" s="2"/>
      <c r="FV60" s="2"/>
      <c r="FW60" s="2"/>
      <c r="FX60" s="2">
        <v>112</v>
      </c>
      <c r="FY60" s="2">
        <v>65</v>
      </c>
      <c r="FZ60" s="2"/>
      <c r="GA60" s="2" t="s">
        <v>3</v>
      </c>
      <c r="GB60" s="2"/>
      <c r="GC60" s="2"/>
      <c r="GD60" s="2">
        <v>1</v>
      </c>
      <c r="GE60" s="2"/>
      <c r="GF60" s="2">
        <v>-1032182075</v>
      </c>
      <c r="GG60" s="2">
        <v>2</v>
      </c>
      <c r="GH60" s="2">
        <v>1</v>
      </c>
      <c r="GI60" s="2">
        <v>-2</v>
      </c>
      <c r="GJ60" s="2">
        <v>0</v>
      </c>
      <c r="GK60" s="2">
        <v>0</v>
      </c>
      <c r="GL60" s="2">
        <f aca="true" t="shared" si="100" ref="GL60:GL81">ROUND(IF(AND(BH60=3,BI60=3,FS60&lt;&gt;0),P60,0),2)</f>
        <v>0</v>
      </c>
      <c r="GM60" s="2">
        <f aca="true" t="shared" si="101" ref="GM60:GM81">ROUND(O60+X60+Y60,2)+GX60</f>
        <v>0</v>
      </c>
      <c r="GN60" s="2">
        <f aca="true" t="shared" si="102" ref="GN60:GN81">IF(OR(BI60=0,BI60=1),ROUND(O60+X60+Y60,2),0)</f>
        <v>0</v>
      </c>
      <c r="GO60" s="2">
        <f aca="true" t="shared" si="103" ref="GO60:GO81">IF(BI60=2,ROUND(O60+X60+Y60,2),0)</f>
        <v>0</v>
      </c>
      <c r="GP60" s="2">
        <f aca="true" t="shared" si="104" ref="GP60:GP81">IF(BI60=4,ROUND(O60+X60+Y60,2)+GX60,0)</f>
        <v>0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aca="true" t="shared" si="105" ref="GV60:GV81">ROUND((GT60),2)</f>
        <v>0</v>
      </c>
      <c r="GW60" s="2">
        <v>1</v>
      </c>
      <c r="GX60" s="2">
        <f aca="true" t="shared" si="106" ref="GX60:GX81">ROUND(HC60*I60,2)</f>
        <v>0</v>
      </c>
      <c r="GY60" s="2"/>
      <c r="GZ60" s="2"/>
      <c r="HA60" s="2">
        <v>0</v>
      </c>
      <c r="HB60" s="2">
        <v>0</v>
      </c>
      <c r="HC60" s="2">
        <f aca="true" t="shared" si="107" ref="HC60:HC81">GV60*GW60</f>
        <v>0</v>
      </c>
      <c r="HD60" s="2"/>
      <c r="HE60" s="2" t="s">
        <v>3</v>
      </c>
      <c r="HF60" s="2" t="s">
        <v>3</v>
      </c>
      <c r="HG60" s="2"/>
      <c r="HH60" s="2"/>
      <c r="HI60" s="2">
        <f aca="true" t="shared" si="108" ref="HI60:HI81">ROUND(R60*BS60,2)</f>
        <v>0</v>
      </c>
      <c r="HJ60" s="2">
        <f aca="true" t="shared" si="109" ref="HJ60:HJ81">ROUND(S60*BA60,2)</f>
        <v>0</v>
      </c>
      <c r="HK60" s="2">
        <f aca="true" t="shared" si="110" ref="HK60:HK81">ROUND((((HJ60+HI60)*AT60)/100),2)</f>
        <v>0</v>
      </c>
      <c r="HL60" s="2">
        <f aca="true" t="shared" si="111" ref="HL60:HL81">ROUND((((HJ60+HI60)*AU60)/100),2)</f>
        <v>0</v>
      </c>
      <c r="HM60" s="2" t="s">
        <v>3</v>
      </c>
      <c r="HN60" s="2" t="s">
        <v>46</v>
      </c>
      <c r="HO60" s="2" t="s">
        <v>47</v>
      </c>
      <c r="HP60" s="2" t="s">
        <v>27</v>
      </c>
      <c r="HQ60" s="2" t="s">
        <v>27</v>
      </c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45" ht="12.75">
      <c r="A61">
        <v>18</v>
      </c>
      <c r="B61">
        <v>1</v>
      </c>
      <c r="C61">
        <v>101</v>
      </c>
      <c r="E61" t="s">
        <v>103</v>
      </c>
      <c r="F61" t="s">
        <v>104</v>
      </c>
      <c r="G61" t="s">
        <v>105</v>
      </c>
      <c r="H61" t="s">
        <v>106</v>
      </c>
      <c r="I61">
        <f>I59*J61</f>
        <v>533.46</v>
      </c>
      <c r="J61">
        <v>102</v>
      </c>
      <c r="K61">
        <v>102</v>
      </c>
      <c r="O61">
        <f t="shared" si="71"/>
        <v>0</v>
      </c>
      <c r="P61">
        <f t="shared" si="72"/>
        <v>0</v>
      </c>
      <c r="Q61">
        <f t="shared" si="73"/>
        <v>0</v>
      </c>
      <c r="R61">
        <f t="shared" si="74"/>
        <v>0</v>
      </c>
      <c r="S61">
        <f t="shared" si="75"/>
        <v>0</v>
      </c>
      <c r="T61">
        <f t="shared" si="76"/>
        <v>0</v>
      </c>
      <c r="U61">
        <f t="shared" si="77"/>
        <v>0</v>
      </c>
      <c r="V61">
        <f t="shared" si="78"/>
        <v>0</v>
      </c>
      <c r="W61">
        <f t="shared" si="79"/>
        <v>0</v>
      </c>
      <c r="X61">
        <f t="shared" si="80"/>
        <v>0</v>
      </c>
      <c r="Y61">
        <f t="shared" si="81"/>
        <v>0</v>
      </c>
      <c r="AA61">
        <v>55454919</v>
      </c>
      <c r="AB61">
        <f t="shared" si="82"/>
        <v>0</v>
      </c>
      <c r="AC61">
        <f t="shared" si="70"/>
        <v>0</v>
      </c>
      <c r="AD61">
        <f t="shared" si="83"/>
        <v>0</v>
      </c>
      <c r="AE61">
        <f t="shared" si="84"/>
        <v>0</v>
      </c>
      <c r="AF61">
        <f t="shared" si="84"/>
        <v>0</v>
      </c>
      <c r="AG61">
        <f t="shared" si="85"/>
        <v>0</v>
      </c>
      <c r="AH61">
        <f t="shared" si="86"/>
        <v>0</v>
      </c>
      <c r="AI61">
        <f t="shared" si="86"/>
        <v>0</v>
      </c>
      <c r="AJ61">
        <f t="shared" si="87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112</v>
      </c>
      <c r="AU61">
        <v>65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1</v>
      </c>
      <c r="BH61">
        <v>3</v>
      </c>
      <c r="BI61">
        <v>1</v>
      </c>
      <c r="BM61">
        <v>11001</v>
      </c>
      <c r="BN61">
        <v>0</v>
      </c>
      <c r="BP61">
        <v>0</v>
      </c>
      <c r="BQ61">
        <v>2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112</v>
      </c>
      <c r="CA61">
        <v>65</v>
      </c>
      <c r="CE61">
        <v>0</v>
      </c>
      <c r="CF61">
        <v>0</v>
      </c>
      <c r="CG61">
        <v>0</v>
      </c>
      <c r="CM61">
        <v>0</v>
      </c>
      <c r="CO61">
        <v>0</v>
      </c>
      <c r="CP61">
        <f t="shared" si="88"/>
        <v>0</v>
      </c>
      <c r="CQ61">
        <f t="shared" si="89"/>
        <v>0</v>
      </c>
      <c r="CR61">
        <f t="shared" si="90"/>
        <v>0</v>
      </c>
      <c r="CS61">
        <f t="shared" si="91"/>
        <v>0</v>
      </c>
      <c r="CT61">
        <f t="shared" si="92"/>
        <v>0</v>
      </c>
      <c r="CU61">
        <f t="shared" si="93"/>
        <v>0</v>
      </c>
      <c r="CV61">
        <f t="shared" si="94"/>
        <v>0</v>
      </c>
      <c r="CW61">
        <f t="shared" si="95"/>
        <v>0</v>
      </c>
      <c r="CX61">
        <f t="shared" si="96"/>
        <v>0</v>
      </c>
      <c r="CY61">
        <f t="shared" si="97"/>
        <v>0</v>
      </c>
      <c r="CZ61">
        <f t="shared" si="98"/>
        <v>0</v>
      </c>
      <c r="DN61">
        <v>0</v>
      </c>
      <c r="DO61">
        <v>0</v>
      </c>
      <c r="DP61">
        <v>1</v>
      </c>
      <c r="DQ61">
        <v>1</v>
      </c>
      <c r="DU61">
        <v>1005</v>
      </c>
      <c r="DV61" t="s">
        <v>106</v>
      </c>
      <c r="DW61" t="s">
        <v>106</v>
      </c>
      <c r="DX61">
        <v>1</v>
      </c>
      <c r="EE61">
        <v>55471663</v>
      </c>
      <c r="EF61">
        <v>2</v>
      </c>
      <c r="EG61" t="s">
        <v>43</v>
      </c>
      <c r="EH61">
        <v>11</v>
      </c>
      <c r="EI61" t="s">
        <v>27</v>
      </c>
      <c r="EJ61">
        <v>1</v>
      </c>
      <c r="EK61">
        <v>11001</v>
      </c>
      <c r="EL61" t="s">
        <v>27</v>
      </c>
      <c r="EM61" t="s">
        <v>44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99"/>
        <v>0</v>
      </c>
      <c r="FS61">
        <v>0</v>
      </c>
      <c r="FX61">
        <v>112</v>
      </c>
      <c r="FY61">
        <v>65</v>
      </c>
      <c r="GD61">
        <v>1</v>
      </c>
      <c r="GF61">
        <v>-1032182075</v>
      </c>
      <c r="GG61">
        <v>2</v>
      </c>
      <c r="GH61">
        <v>1</v>
      </c>
      <c r="GI61">
        <v>4</v>
      </c>
      <c r="GJ61">
        <v>0</v>
      </c>
      <c r="GK61">
        <v>0</v>
      </c>
      <c r="GL61">
        <f t="shared" si="100"/>
        <v>0</v>
      </c>
      <c r="GM61">
        <f t="shared" si="101"/>
        <v>0</v>
      </c>
      <c r="GN61">
        <f t="shared" si="102"/>
        <v>0</v>
      </c>
      <c r="GO61">
        <f t="shared" si="103"/>
        <v>0</v>
      </c>
      <c r="GP61">
        <f t="shared" si="104"/>
        <v>0</v>
      </c>
      <c r="GR61">
        <v>0</v>
      </c>
      <c r="GS61">
        <v>3</v>
      </c>
      <c r="GT61">
        <v>0</v>
      </c>
      <c r="GV61">
        <f t="shared" si="105"/>
        <v>0</v>
      </c>
      <c r="GW61">
        <v>1</v>
      </c>
      <c r="GX61">
        <f t="shared" si="106"/>
        <v>0</v>
      </c>
      <c r="HA61">
        <v>0</v>
      </c>
      <c r="HB61">
        <v>0</v>
      </c>
      <c r="HC61">
        <f t="shared" si="107"/>
        <v>0</v>
      </c>
      <c r="HI61">
        <f t="shared" si="108"/>
        <v>0</v>
      </c>
      <c r="HJ61">
        <f t="shared" si="109"/>
        <v>0</v>
      </c>
      <c r="HK61">
        <f t="shared" si="110"/>
        <v>0</v>
      </c>
      <c r="HL61">
        <f t="shared" si="111"/>
        <v>0</v>
      </c>
      <c r="HN61" t="s">
        <v>46</v>
      </c>
      <c r="HO61" t="s">
        <v>47</v>
      </c>
      <c r="HP61" t="s">
        <v>27</v>
      </c>
      <c r="HQ61" t="s">
        <v>27</v>
      </c>
      <c r="IK61">
        <v>0</v>
      </c>
    </row>
    <row r="62" spans="1:255" ht="12.75">
      <c r="A62" s="2">
        <v>18</v>
      </c>
      <c r="B62" s="2">
        <v>1</v>
      </c>
      <c r="C62" s="2">
        <v>92</v>
      </c>
      <c r="D62" s="2"/>
      <c r="E62" s="2" t="s">
        <v>107</v>
      </c>
      <c r="F62" s="2" t="s">
        <v>88</v>
      </c>
      <c r="G62" s="2" t="s">
        <v>89</v>
      </c>
      <c r="H62" s="2" t="s">
        <v>85</v>
      </c>
      <c r="I62" s="2">
        <f>I58*J62</f>
        <v>111.891394</v>
      </c>
      <c r="J62" s="2">
        <v>21.394147992351815</v>
      </c>
      <c r="K62" s="2">
        <v>21.394148</v>
      </c>
      <c r="L62" s="2"/>
      <c r="M62" s="2"/>
      <c r="N62" s="2"/>
      <c r="O62" s="2">
        <f t="shared" si="71"/>
        <v>1463.54</v>
      </c>
      <c r="P62" s="2">
        <f t="shared" si="72"/>
        <v>1463.54</v>
      </c>
      <c r="Q62" s="2">
        <f t="shared" si="73"/>
        <v>0</v>
      </c>
      <c r="R62" s="2">
        <f t="shared" si="74"/>
        <v>0</v>
      </c>
      <c r="S62" s="2">
        <f t="shared" si="75"/>
        <v>0</v>
      </c>
      <c r="T62" s="2">
        <f t="shared" si="76"/>
        <v>0</v>
      </c>
      <c r="U62" s="2">
        <f t="shared" si="77"/>
        <v>0</v>
      </c>
      <c r="V62" s="2">
        <f t="shared" si="78"/>
        <v>0</v>
      </c>
      <c r="W62" s="2">
        <f t="shared" si="79"/>
        <v>0</v>
      </c>
      <c r="X62" s="2">
        <f t="shared" si="80"/>
        <v>0</v>
      </c>
      <c r="Y62" s="2">
        <f t="shared" si="81"/>
        <v>0</v>
      </c>
      <c r="Z62" s="2"/>
      <c r="AA62" s="2">
        <v>55454918</v>
      </c>
      <c r="AB62" s="2">
        <f t="shared" si="82"/>
        <v>13.08</v>
      </c>
      <c r="AC62" s="2">
        <f t="shared" si="70"/>
        <v>13.08</v>
      </c>
      <c r="AD62" s="2">
        <f t="shared" si="83"/>
        <v>0</v>
      </c>
      <c r="AE62" s="2">
        <f t="shared" si="84"/>
        <v>0</v>
      </c>
      <c r="AF62" s="2">
        <f t="shared" si="84"/>
        <v>0</v>
      </c>
      <c r="AG62" s="2">
        <f t="shared" si="85"/>
        <v>0</v>
      </c>
      <c r="AH62" s="2">
        <f t="shared" si="86"/>
        <v>0</v>
      </c>
      <c r="AI62" s="2">
        <f t="shared" si="86"/>
        <v>0</v>
      </c>
      <c r="AJ62" s="2">
        <f t="shared" si="87"/>
        <v>0</v>
      </c>
      <c r="AK62" s="2">
        <v>13.08</v>
      </c>
      <c r="AL62" s="2">
        <v>13.08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112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90</v>
      </c>
      <c r="BK62" s="2"/>
      <c r="BL62" s="2"/>
      <c r="BM62" s="2">
        <v>11001</v>
      </c>
      <c r="BN62" s="2">
        <v>0</v>
      </c>
      <c r="BO62" s="2" t="s">
        <v>3</v>
      </c>
      <c r="BP62" s="2">
        <v>0</v>
      </c>
      <c r="BQ62" s="2">
        <v>2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112</v>
      </c>
      <c r="CA62" s="2">
        <v>65</v>
      </c>
      <c r="CB62" s="2" t="s">
        <v>3</v>
      </c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88"/>
        <v>1463.54</v>
      </c>
      <c r="CQ62" s="2">
        <f t="shared" si="89"/>
        <v>13.08</v>
      </c>
      <c r="CR62" s="2">
        <f t="shared" si="90"/>
        <v>0</v>
      </c>
      <c r="CS62" s="2">
        <f t="shared" si="91"/>
        <v>0</v>
      </c>
      <c r="CT62" s="2">
        <f t="shared" si="92"/>
        <v>0</v>
      </c>
      <c r="CU62" s="2">
        <f t="shared" si="93"/>
        <v>0</v>
      </c>
      <c r="CV62" s="2">
        <f t="shared" si="94"/>
        <v>0</v>
      </c>
      <c r="CW62" s="2">
        <f t="shared" si="95"/>
        <v>0</v>
      </c>
      <c r="CX62" s="2">
        <f t="shared" si="96"/>
        <v>0</v>
      </c>
      <c r="CY62" s="2">
        <f t="shared" si="97"/>
        <v>0</v>
      </c>
      <c r="CZ62" s="2">
        <f t="shared" si="98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85</v>
      </c>
      <c r="DW62" s="2" t="s">
        <v>85</v>
      </c>
      <c r="DX62" s="2">
        <v>1</v>
      </c>
      <c r="DY62" s="2"/>
      <c r="DZ62" s="2" t="s">
        <v>3</v>
      </c>
      <c r="EA62" s="2" t="s">
        <v>3</v>
      </c>
      <c r="EB62" s="2" t="s">
        <v>3</v>
      </c>
      <c r="EC62" s="2" t="s">
        <v>3</v>
      </c>
      <c r="ED62" s="2"/>
      <c r="EE62" s="2">
        <v>55471663</v>
      </c>
      <c r="EF62" s="2">
        <v>2</v>
      </c>
      <c r="EG62" s="2" t="s">
        <v>43</v>
      </c>
      <c r="EH62" s="2">
        <v>11</v>
      </c>
      <c r="EI62" s="2" t="s">
        <v>27</v>
      </c>
      <c r="EJ62" s="2">
        <v>1</v>
      </c>
      <c r="EK62" s="2">
        <v>11001</v>
      </c>
      <c r="EL62" s="2" t="s">
        <v>27</v>
      </c>
      <c r="EM62" s="2" t="s">
        <v>44</v>
      </c>
      <c r="EN62" s="2"/>
      <c r="EO62" s="2" t="s">
        <v>3</v>
      </c>
      <c r="EP62" s="2"/>
      <c r="EQ62" s="2">
        <v>0</v>
      </c>
      <c r="ER62" s="2">
        <v>13.08</v>
      </c>
      <c r="ES62" s="2">
        <v>13.08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99"/>
        <v>0</v>
      </c>
      <c r="FS62" s="2">
        <v>0</v>
      </c>
      <c r="FT62" s="2"/>
      <c r="FU62" s="2"/>
      <c r="FV62" s="2"/>
      <c r="FW62" s="2"/>
      <c r="FX62" s="2">
        <v>112</v>
      </c>
      <c r="FY62" s="2">
        <v>65</v>
      </c>
      <c r="FZ62" s="2"/>
      <c r="GA62" s="2" t="s">
        <v>3</v>
      </c>
      <c r="GB62" s="2"/>
      <c r="GC62" s="2"/>
      <c r="GD62" s="2">
        <v>1</v>
      </c>
      <c r="GE62" s="2"/>
      <c r="GF62" s="2">
        <v>-1209026283</v>
      </c>
      <c r="GG62" s="2">
        <v>2</v>
      </c>
      <c r="GH62" s="2">
        <v>1</v>
      </c>
      <c r="GI62" s="2">
        <v>-2</v>
      </c>
      <c r="GJ62" s="2">
        <v>0</v>
      </c>
      <c r="GK62" s="2">
        <v>0</v>
      </c>
      <c r="GL62" s="2">
        <f t="shared" si="100"/>
        <v>0</v>
      </c>
      <c r="GM62" s="2">
        <f t="shared" si="101"/>
        <v>1463.54</v>
      </c>
      <c r="GN62" s="2">
        <f t="shared" si="102"/>
        <v>1463.54</v>
      </c>
      <c r="GO62" s="2">
        <f t="shared" si="103"/>
        <v>0</v>
      </c>
      <c r="GP62" s="2">
        <f t="shared" si="104"/>
        <v>0</v>
      </c>
      <c r="GQ62" s="2"/>
      <c r="GR62" s="2">
        <v>0</v>
      </c>
      <c r="GS62" s="2">
        <v>0</v>
      </c>
      <c r="GT62" s="2">
        <v>0</v>
      </c>
      <c r="GU62" s="2" t="s">
        <v>3</v>
      </c>
      <c r="GV62" s="2">
        <f t="shared" si="105"/>
        <v>0</v>
      </c>
      <c r="GW62" s="2">
        <v>1</v>
      </c>
      <c r="GX62" s="2">
        <f t="shared" si="106"/>
        <v>0</v>
      </c>
      <c r="GY62" s="2"/>
      <c r="GZ62" s="2"/>
      <c r="HA62" s="2">
        <v>0</v>
      </c>
      <c r="HB62" s="2">
        <v>0</v>
      </c>
      <c r="HC62" s="2">
        <f t="shared" si="107"/>
        <v>0</v>
      </c>
      <c r="HD62" s="2"/>
      <c r="HE62" s="2" t="s">
        <v>3</v>
      </c>
      <c r="HF62" s="2" t="s">
        <v>3</v>
      </c>
      <c r="HG62" s="2"/>
      <c r="HH62" s="2"/>
      <c r="HI62" s="2">
        <f t="shared" si="108"/>
        <v>0</v>
      </c>
      <c r="HJ62" s="2">
        <f t="shared" si="109"/>
        <v>0</v>
      </c>
      <c r="HK62" s="2">
        <f t="shared" si="110"/>
        <v>0</v>
      </c>
      <c r="HL62" s="2">
        <f t="shared" si="111"/>
        <v>0</v>
      </c>
      <c r="HM62" s="2" t="s">
        <v>3</v>
      </c>
      <c r="HN62" s="2" t="s">
        <v>46</v>
      </c>
      <c r="HO62" s="2" t="s">
        <v>47</v>
      </c>
      <c r="HP62" s="2" t="s">
        <v>27</v>
      </c>
      <c r="HQ62" s="2" t="s">
        <v>27</v>
      </c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45" ht="12.75">
      <c r="A63">
        <v>18</v>
      </c>
      <c r="B63">
        <v>1</v>
      </c>
      <c r="C63">
        <v>104</v>
      </c>
      <c r="E63" t="s">
        <v>107</v>
      </c>
      <c r="F63" t="s">
        <v>88</v>
      </c>
      <c r="G63" t="s">
        <v>89</v>
      </c>
      <c r="H63" t="s">
        <v>85</v>
      </c>
      <c r="I63">
        <f>I59*J63</f>
        <v>111.891394</v>
      </c>
      <c r="J63">
        <v>21.394147992351815</v>
      </c>
      <c r="K63">
        <v>21.394148</v>
      </c>
      <c r="O63">
        <f t="shared" si="71"/>
        <v>1463.54</v>
      </c>
      <c r="P63">
        <f t="shared" si="72"/>
        <v>1463.54</v>
      </c>
      <c r="Q63">
        <f t="shared" si="73"/>
        <v>0</v>
      </c>
      <c r="R63">
        <f t="shared" si="74"/>
        <v>0</v>
      </c>
      <c r="S63">
        <f t="shared" si="75"/>
        <v>0</v>
      </c>
      <c r="T63">
        <f t="shared" si="76"/>
        <v>0</v>
      </c>
      <c r="U63">
        <f t="shared" si="77"/>
        <v>0</v>
      </c>
      <c r="V63">
        <f t="shared" si="78"/>
        <v>0</v>
      </c>
      <c r="W63">
        <f t="shared" si="79"/>
        <v>0</v>
      </c>
      <c r="X63">
        <f t="shared" si="80"/>
        <v>0</v>
      </c>
      <c r="Y63">
        <f t="shared" si="81"/>
        <v>0</v>
      </c>
      <c r="AA63">
        <v>55454919</v>
      </c>
      <c r="AB63">
        <f t="shared" si="82"/>
        <v>13.08</v>
      </c>
      <c r="AC63">
        <f t="shared" si="70"/>
        <v>13.08</v>
      </c>
      <c r="AD63">
        <f t="shared" si="83"/>
        <v>0</v>
      </c>
      <c r="AE63">
        <f t="shared" si="84"/>
        <v>0</v>
      </c>
      <c r="AF63">
        <f t="shared" si="84"/>
        <v>0</v>
      </c>
      <c r="AG63">
        <f t="shared" si="85"/>
        <v>0</v>
      </c>
      <c r="AH63">
        <f t="shared" si="86"/>
        <v>0</v>
      </c>
      <c r="AI63">
        <f t="shared" si="86"/>
        <v>0</v>
      </c>
      <c r="AJ63">
        <f t="shared" si="87"/>
        <v>0</v>
      </c>
      <c r="AK63">
        <v>13.08</v>
      </c>
      <c r="AL63">
        <v>13.08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112</v>
      </c>
      <c r="AU63">
        <v>65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1</v>
      </c>
      <c r="BH63">
        <v>3</v>
      </c>
      <c r="BI63">
        <v>1</v>
      </c>
      <c r="BJ63" t="s">
        <v>90</v>
      </c>
      <c r="BM63">
        <v>11001</v>
      </c>
      <c r="BN63">
        <v>0</v>
      </c>
      <c r="BP63">
        <v>0</v>
      </c>
      <c r="BQ63">
        <v>2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112</v>
      </c>
      <c r="CA63">
        <v>65</v>
      </c>
      <c r="CE63">
        <v>0</v>
      </c>
      <c r="CF63">
        <v>0</v>
      </c>
      <c r="CG63">
        <v>0</v>
      </c>
      <c r="CM63">
        <v>0</v>
      </c>
      <c r="CO63">
        <v>0</v>
      </c>
      <c r="CP63">
        <f t="shared" si="88"/>
        <v>1463.54</v>
      </c>
      <c r="CQ63">
        <f t="shared" si="89"/>
        <v>13.08</v>
      </c>
      <c r="CR63">
        <f t="shared" si="90"/>
        <v>0</v>
      </c>
      <c r="CS63">
        <f t="shared" si="91"/>
        <v>0</v>
      </c>
      <c r="CT63">
        <f t="shared" si="92"/>
        <v>0</v>
      </c>
      <c r="CU63">
        <f t="shared" si="93"/>
        <v>0</v>
      </c>
      <c r="CV63">
        <f t="shared" si="94"/>
        <v>0</v>
      </c>
      <c r="CW63">
        <f t="shared" si="95"/>
        <v>0</v>
      </c>
      <c r="CX63">
        <f t="shared" si="96"/>
        <v>0</v>
      </c>
      <c r="CY63">
        <f t="shared" si="97"/>
        <v>0</v>
      </c>
      <c r="CZ63">
        <f t="shared" si="98"/>
        <v>0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85</v>
      </c>
      <c r="DW63" t="s">
        <v>85</v>
      </c>
      <c r="DX63">
        <v>1</v>
      </c>
      <c r="EE63">
        <v>55471663</v>
      </c>
      <c r="EF63">
        <v>2</v>
      </c>
      <c r="EG63" t="s">
        <v>43</v>
      </c>
      <c r="EH63">
        <v>11</v>
      </c>
      <c r="EI63" t="s">
        <v>27</v>
      </c>
      <c r="EJ63">
        <v>1</v>
      </c>
      <c r="EK63">
        <v>11001</v>
      </c>
      <c r="EL63" t="s">
        <v>27</v>
      </c>
      <c r="EM63" t="s">
        <v>44</v>
      </c>
      <c r="EQ63">
        <v>0</v>
      </c>
      <c r="ER63">
        <v>13.08</v>
      </c>
      <c r="ES63">
        <v>13.08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99"/>
        <v>0</v>
      </c>
      <c r="FS63">
        <v>0</v>
      </c>
      <c r="FX63">
        <v>112</v>
      </c>
      <c r="FY63">
        <v>65</v>
      </c>
      <c r="GD63">
        <v>1</v>
      </c>
      <c r="GF63">
        <v>-1209026283</v>
      </c>
      <c r="GG63">
        <v>2</v>
      </c>
      <c r="GH63">
        <v>1</v>
      </c>
      <c r="GI63">
        <v>4</v>
      </c>
      <c r="GJ63">
        <v>0</v>
      </c>
      <c r="GK63">
        <v>0</v>
      </c>
      <c r="GL63">
        <f t="shared" si="100"/>
        <v>0</v>
      </c>
      <c r="GM63">
        <f t="shared" si="101"/>
        <v>1463.54</v>
      </c>
      <c r="GN63">
        <f t="shared" si="102"/>
        <v>1463.54</v>
      </c>
      <c r="GO63">
        <f t="shared" si="103"/>
        <v>0</v>
      </c>
      <c r="GP63">
        <f t="shared" si="104"/>
        <v>0</v>
      </c>
      <c r="GR63">
        <v>0</v>
      </c>
      <c r="GS63">
        <v>0</v>
      </c>
      <c r="GT63">
        <v>0</v>
      </c>
      <c r="GV63">
        <f t="shared" si="105"/>
        <v>0</v>
      </c>
      <c r="GW63">
        <v>1</v>
      </c>
      <c r="GX63">
        <f t="shared" si="106"/>
        <v>0</v>
      </c>
      <c r="HA63">
        <v>0</v>
      </c>
      <c r="HB63">
        <v>0</v>
      </c>
      <c r="HC63">
        <f t="shared" si="107"/>
        <v>0</v>
      </c>
      <c r="HI63">
        <f t="shared" si="108"/>
        <v>0</v>
      </c>
      <c r="HJ63">
        <f t="shared" si="109"/>
        <v>0</v>
      </c>
      <c r="HK63">
        <f t="shared" si="110"/>
        <v>0</v>
      </c>
      <c r="HL63">
        <f t="shared" si="111"/>
        <v>0</v>
      </c>
      <c r="HN63" t="s">
        <v>46</v>
      </c>
      <c r="HO63" t="s">
        <v>47</v>
      </c>
      <c r="HP63" t="s">
        <v>27</v>
      </c>
      <c r="HQ63" t="s">
        <v>27</v>
      </c>
      <c r="IK63">
        <v>0</v>
      </c>
    </row>
    <row r="64" spans="1:255" ht="12.75">
      <c r="A64" s="2">
        <v>18</v>
      </c>
      <c r="B64" s="2">
        <v>1</v>
      </c>
      <c r="C64" s="2">
        <v>90</v>
      </c>
      <c r="D64" s="2"/>
      <c r="E64" s="2" t="s">
        <v>108</v>
      </c>
      <c r="F64" s="2" t="s">
        <v>109</v>
      </c>
      <c r="G64" s="2" t="s">
        <v>110</v>
      </c>
      <c r="H64" s="2" t="s">
        <v>111</v>
      </c>
      <c r="I64" s="2">
        <f>I58*J64</f>
        <v>0.0523</v>
      </c>
      <c r="J64" s="2">
        <v>0.009999999999999998</v>
      </c>
      <c r="K64" s="2">
        <v>0.01</v>
      </c>
      <c r="L64" s="2"/>
      <c r="M64" s="2"/>
      <c r="N64" s="2"/>
      <c r="O64" s="2">
        <f t="shared" si="71"/>
        <v>0</v>
      </c>
      <c r="P64" s="2">
        <f t="shared" si="72"/>
        <v>0</v>
      </c>
      <c r="Q64" s="2">
        <f t="shared" si="73"/>
        <v>0</v>
      </c>
      <c r="R64" s="2">
        <f t="shared" si="74"/>
        <v>0</v>
      </c>
      <c r="S64" s="2">
        <f t="shared" si="75"/>
        <v>0</v>
      </c>
      <c r="T64" s="2">
        <f t="shared" si="76"/>
        <v>0</v>
      </c>
      <c r="U64" s="2">
        <f t="shared" si="77"/>
        <v>0</v>
      </c>
      <c r="V64" s="2">
        <f t="shared" si="78"/>
        <v>0</v>
      </c>
      <c r="W64" s="2">
        <f t="shared" si="79"/>
        <v>0</v>
      </c>
      <c r="X64" s="2">
        <f t="shared" si="80"/>
        <v>0</v>
      </c>
      <c r="Y64" s="2">
        <f t="shared" si="81"/>
        <v>0</v>
      </c>
      <c r="Z64" s="2"/>
      <c r="AA64" s="2">
        <v>55454918</v>
      </c>
      <c r="AB64" s="2">
        <f t="shared" si="82"/>
        <v>0</v>
      </c>
      <c r="AC64" s="2">
        <f t="shared" si="70"/>
        <v>0</v>
      </c>
      <c r="AD64" s="2">
        <f t="shared" si="83"/>
        <v>0</v>
      </c>
      <c r="AE64" s="2">
        <f t="shared" si="84"/>
        <v>0</v>
      </c>
      <c r="AF64" s="2">
        <f t="shared" si="84"/>
        <v>0</v>
      </c>
      <c r="AG64" s="2">
        <f t="shared" si="85"/>
        <v>0</v>
      </c>
      <c r="AH64" s="2">
        <f t="shared" si="86"/>
        <v>0</v>
      </c>
      <c r="AI64" s="2">
        <f t="shared" si="86"/>
        <v>0</v>
      </c>
      <c r="AJ64" s="2">
        <f t="shared" si="87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112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11001</v>
      </c>
      <c r="BN64" s="2">
        <v>0</v>
      </c>
      <c r="BO64" s="2" t="s">
        <v>3</v>
      </c>
      <c r="BP64" s="2">
        <v>0</v>
      </c>
      <c r="BQ64" s="2">
        <v>2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112</v>
      </c>
      <c r="CA64" s="2">
        <v>65</v>
      </c>
      <c r="CB64" s="2" t="s">
        <v>3</v>
      </c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88"/>
        <v>0</v>
      </c>
      <c r="CQ64" s="2">
        <f t="shared" si="89"/>
        <v>0</v>
      </c>
      <c r="CR64" s="2">
        <f t="shared" si="90"/>
        <v>0</v>
      </c>
      <c r="CS64" s="2">
        <f t="shared" si="91"/>
        <v>0</v>
      </c>
      <c r="CT64" s="2">
        <f t="shared" si="92"/>
        <v>0</v>
      </c>
      <c r="CU64" s="2">
        <f t="shared" si="93"/>
        <v>0</v>
      </c>
      <c r="CV64" s="2">
        <f t="shared" si="94"/>
        <v>0</v>
      </c>
      <c r="CW64" s="2">
        <f t="shared" si="95"/>
        <v>0</v>
      </c>
      <c r="CX64" s="2">
        <f t="shared" si="96"/>
        <v>0</v>
      </c>
      <c r="CY64" s="2">
        <f t="shared" si="97"/>
        <v>0</v>
      </c>
      <c r="CZ64" s="2">
        <f t="shared" si="98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1007</v>
      </c>
      <c r="DV64" s="2" t="s">
        <v>111</v>
      </c>
      <c r="DW64" s="2" t="s">
        <v>111</v>
      </c>
      <c r="DX64" s="2">
        <v>1</v>
      </c>
      <c r="DY64" s="2"/>
      <c r="DZ64" s="2" t="s">
        <v>3</v>
      </c>
      <c r="EA64" s="2" t="s">
        <v>3</v>
      </c>
      <c r="EB64" s="2" t="s">
        <v>3</v>
      </c>
      <c r="EC64" s="2" t="s">
        <v>3</v>
      </c>
      <c r="ED64" s="2"/>
      <c r="EE64" s="2">
        <v>55471663</v>
      </c>
      <c r="EF64" s="2">
        <v>2</v>
      </c>
      <c r="EG64" s="2" t="s">
        <v>43</v>
      </c>
      <c r="EH64" s="2">
        <v>11</v>
      </c>
      <c r="EI64" s="2" t="s">
        <v>27</v>
      </c>
      <c r="EJ64" s="2">
        <v>1</v>
      </c>
      <c r="EK64" s="2">
        <v>11001</v>
      </c>
      <c r="EL64" s="2" t="s">
        <v>27</v>
      </c>
      <c r="EM64" s="2" t="s">
        <v>44</v>
      </c>
      <c r="EN64" s="2"/>
      <c r="EO64" s="2" t="s">
        <v>3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99"/>
        <v>0</v>
      </c>
      <c r="FS64" s="2">
        <v>0</v>
      </c>
      <c r="FT64" s="2"/>
      <c r="FU64" s="2"/>
      <c r="FV64" s="2"/>
      <c r="FW64" s="2"/>
      <c r="FX64" s="2">
        <v>112</v>
      </c>
      <c r="FY64" s="2">
        <v>65</v>
      </c>
      <c r="FZ64" s="2"/>
      <c r="GA64" s="2" t="s">
        <v>3</v>
      </c>
      <c r="GB64" s="2"/>
      <c r="GC64" s="2"/>
      <c r="GD64" s="2">
        <v>1</v>
      </c>
      <c r="GE64" s="2"/>
      <c r="GF64" s="2">
        <v>1453685779</v>
      </c>
      <c r="GG64" s="2">
        <v>2</v>
      </c>
      <c r="GH64" s="2">
        <v>1</v>
      </c>
      <c r="GI64" s="2">
        <v>-2</v>
      </c>
      <c r="GJ64" s="2">
        <v>0</v>
      </c>
      <c r="GK64" s="2">
        <v>0</v>
      </c>
      <c r="GL64" s="2">
        <f t="shared" si="100"/>
        <v>0</v>
      </c>
      <c r="GM64" s="2">
        <f t="shared" si="101"/>
        <v>0</v>
      </c>
      <c r="GN64" s="2">
        <f t="shared" si="102"/>
        <v>0</v>
      </c>
      <c r="GO64" s="2">
        <f t="shared" si="103"/>
        <v>0</v>
      </c>
      <c r="GP64" s="2">
        <f t="shared" si="104"/>
        <v>0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105"/>
        <v>0</v>
      </c>
      <c r="GW64" s="2">
        <v>1</v>
      </c>
      <c r="GX64" s="2">
        <f t="shared" si="106"/>
        <v>0</v>
      </c>
      <c r="GY64" s="2"/>
      <c r="GZ64" s="2"/>
      <c r="HA64" s="2">
        <v>0</v>
      </c>
      <c r="HB64" s="2">
        <v>0</v>
      </c>
      <c r="HC64" s="2">
        <f t="shared" si="107"/>
        <v>0</v>
      </c>
      <c r="HD64" s="2"/>
      <c r="HE64" s="2" t="s">
        <v>3</v>
      </c>
      <c r="HF64" s="2" t="s">
        <v>3</v>
      </c>
      <c r="HG64" s="2"/>
      <c r="HH64" s="2"/>
      <c r="HI64" s="2">
        <f t="shared" si="108"/>
        <v>0</v>
      </c>
      <c r="HJ64" s="2">
        <f t="shared" si="109"/>
        <v>0</v>
      </c>
      <c r="HK64" s="2">
        <f t="shared" si="110"/>
        <v>0</v>
      </c>
      <c r="HL64" s="2">
        <f t="shared" si="111"/>
        <v>0</v>
      </c>
      <c r="HM64" s="2" t="s">
        <v>3</v>
      </c>
      <c r="HN64" s="2" t="s">
        <v>46</v>
      </c>
      <c r="HO64" s="2" t="s">
        <v>47</v>
      </c>
      <c r="HP64" s="2" t="s">
        <v>27</v>
      </c>
      <c r="HQ64" s="2" t="s">
        <v>27</v>
      </c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45" ht="12.75">
      <c r="A65">
        <v>18</v>
      </c>
      <c r="B65">
        <v>1</v>
      </c>
      <c r="C65">
        <v>102</v>
      </c>
      <c r="E65" t="s">
        <v>108</v>
      </c>
      <c r="F65" t="s">
        <v>109</v>
      </c>
      <c r="G65" t="s">
        <v>110</v>
      </c>
      <c r="H65" t="s">
        <v>111</v>
      </c>
      <c r="I65">
        <f>I59*J65</f>
        <v>0.0523</v>
      </c>
      <c r="J65">
        <v>0.009999999999999998</v>
      </c>
      <c r="K65">
        <v>0.01</v>
      </c>
      <c r="O65">
        <f t="shared" si="71"/>
        <v>0</v>
      </c>
      <c r="P65">
        <f t="shared" si="72"/>
        <v>0</v>
      </c>
      <c r="Q65">
        <f t="shared" si="73"/>
        <v>0</v>
      </c>
      <c r="R65">
        <f t="shared" si="74"/>
        <v>0</v>
      </c>
      <c r="S65">
        <f t="shared" si="75"/>
        <v>0</v>
      </c>
      <c r="T65">
        <f t="shared" si="76"/>
        <v>0</v>
      </c>
      <c r="U65">
        <f t="shared" si="77"/>
        <v>0</v>
      </c>
      <c r="V65">
        <f t="shared" si="78"/>
        <v>0</v>
      </c>
      <c r="W65">
        <f t="shared" si="79"/>
        <v>0</v>
      </c>
      <c r="X65">
        <f t="shared" si="80"/>
        <v>0</v>
      </c>
      <c r="Y65">
        <f t="shared" si="81"/>
        <v>0</v>
      </c>
      <c r="AA65">
        <v>55454919</v>
      </c>
      <c r="AB65">
        <f t="shared" si="82"/>
        <v>0</v>
      </c>
      <c r="AC65">
        <f t="shared" si="70"/>
        <v>0</v>
      </c>
      <c r="AD65">
        <f t="shared" si="83"/>
        <v>0</v>
      </c>
      <c r="AE65">
        <f t="shared" si="84"/>
        <v>0</v>
      </c>
      <c r="AF65">
        <f t="shared" si="84"/>
        <v>0</v>
      </c>
      <c r="AG65">
        <f t="shared" si="85"/>
        <v>0</v>
      </c>
      <c r="AH65">
        <f t="shared" si="86"/>
        <v>0</v>
      </c>
      <c r="AI65">
        <f t="shared" si="86"/>
        <v>0</v>
      </c>
      <c r="AJ65">
        <f t="shared" si="87"/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112</v>
      </c>
      <c r="AU65">
        <v>65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1</v>
      </c>
      <c r="BH65">
        <v>3</v>
      </c>
      <c r="BI65">
        <v>1</v>
      </c>
      <c r="BM65">
        <v>11001</v>
      </c>
      <c r="BN65">
        <v>0</v>
      </c>
      <c r="BP65">
        <v>0</v>
      </c>
      <c r="BQ65">
        <v>2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112</v>
      </c>
      <c r="CA65">
        <v>65</v>
      </c>
      <c r="CE65">
        <v>0</v>
      </c>
      <c r="CF65">
        <v>0</v>
      </c>
      <c r="CG65">
        <v>0</v>
      </c>
      <c r="CM65">
        <v>0</v>
      </c>
      <c r="CO65">
        <v>0</v>
      </c>
      <c r="CP65">
        <f t="shared" si="88"/>
        <v>0</v>
      </c>
      <c r="CQ65">
        <f t="shared" si="89"/>
        <v>0</v>
      </c>
      <c r="CR65">
        <f t="shared" si="90"/>
        <v>0</v>
      </c>
      <c r="CS65">
        <f t="shared" si="91"/>
        <v>0</v>
      </c>
      <c r="CT65">
        <f t="shared" si="92"/>
        <v>0</v>
      </c>
      <c r="CU65">
        <f t="shared" si="93"/>
        <v>0</v>
      </c>
      <c r="CV65">
        <f t="shared" si="94"/>
        <v>0</v>
      </c>
      <c r="CW65">
        <f t="shared" si="95"/>
        <v>0</v>
      </c>
      <c r="CX65">
        <f t="shared" si="96"/>
        <v>0</v>
      </c>
      <c r="CY65">
        <f t="shared" si="97"/>
        <v>0</v>
      </c>
      <c r="CZ65">
        <f t="shared" si="98"/>
        <v>0</v>
      </c>
      <c r="DN65">
        <v>0</v>
      </c>
      <c r="DO65">
        <v>0</v>
      </c>
      <c r="DP65">
        <v>1</v>
      </c>
      <c r="DQ65">
        <v>1</v>
      </c>
      <c r="DU65">
        <v>1007</v>
      </c>
      <c r="DV65" t="s">
        <v>111</v>
      </c>
      <c r="DW65" t="s">
        <v>111</v>
      </c>
      <c r="DX65">
        <v>1</v>
      </c>
      <c r="EE65">
        <v>55471663</v>
      </c>
      <c r="EF65">
        <v>2</v>
      </c>
      <c r="EG65" t="s">
        <v>43</v>
      </c>
      <c r="EH65">
        <v>11</v>
      </c>
      <c r="EI65" t="s">
        <v>27</v>
      </c>
      <c r="EJ65">
        <v>1</v>
      </c>
      <c r="EK65">
        <v>11001</v>
      </c>
      <c r="EL65" t="s">
        <v>27</v>
      </c>
      <c r="EM65" t="s">
        <v>44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99"/>
        <v>0</v>
      </c>
      <c r="FS65">
        <v>0</v>
      </c>
      <c r="FX65">
        <v>112</v>
      </c>
      <c r="FY65">
        <v>65</v>
      </c>
      <c r="GD65">
        <v>1</v>
      </c>
      <c r="GF65">
        <v>1453685779</v>
      </c>
      <c r="GG65">
        <v>2</v>
      </c>
      <c r="GH65">
        <v>1</v>
      </c>
      <c r="GI65">
        <v>4</v>
      </c>
      <c r="GJ65">
        <v>0</v>
      </c>
      <c r="GK65">
        <v>0</v>
      </c>
      <c r="GL65">
        <f t="shared" si="100"/>
        <v>0</v>
      </c>
      <c r="GM65">
        <f t="shared" si="101"/>
        <v>0</v>
      </c>
      <c r="GN65">
        <f t="shared" si="102"/>
        <v>0</v>
      </c>
      <c r="GO65">
        <f t="shared" si="103"/>
        <v>0</v>
      </c>
      <c r="GP65">
        <f t="shared" si="104"/>
        <v>0</v>
      </c>
      <c r="GR65">
        <v>0</v>
      </c>
      <c r="GS65">
        <v>3</v>
      </c>
      <c r="GT65">
        <v>0</v>
      </c>
      <c r="GV65">
        <f t="shared" si="105"/>
        <v>0</v>
      </c>
      <c r="GW65">
        <v>1</v>
      </c>
      <c r="GX65">
        <f t="shared" si="106"/>
        <v>0</v>
      </c>
      <c r="HA65">
        <v>0</v>
      </c>
      <c r="HB65">
        <v>0</v>
      </c>
      <c r="HC65">
        <f t="shared" si="107"/>
        <v>0</v>
      </c>
      <c r="HI65">
        <f t="shared" si="108"/>
        <v>0</v>
      </c>
      <c r="HJ65">
        <f t="shared" si="109"/>
        <v>0</v>
      </c>
      <c r="HK65">
        <f t="shared" si="110"/>
        <v>0</v>
      </c>
      <c r="HL65">
        <f t="shared" si="111"/>
        <v>0</v>
      </c>
      <c r="HN65" t="s">
        <v>46</v>
      </c>
      <c r="HO65" t="s">
        <v>47</v>
      </c>
      <c r="HP65" t="s">
        <v>27</v>
      </c>
      <c r="HQ65" t="s">
        <v>27</v>
      </c>
      <c r="IK65">
        <v>0</v>
      </c>
    </row>
    <row r="66" spans="1:255" ht="12.75">
      <c r="A66" s="2">
        <v>18</v>
      </c>
      <c r="B66" s="2">
        <v>1</v>
      </c>
      <c r="C66" s="2">
        <v>91</v>
      </c>
      <c r="D66" s="2"/>
      <c r="E66" s="2" t="s">
        <v>112</v>
      </c>
      <c r="F66" s="2" t="s">
        <v>113</v>
      </c>
      <c r="G66" s="2" t="s">
        <v>114</v>
      </c>
      <c r="H66" s="2" t="s">
        <v>34</v>
      </c>
      <c r="I66" s="2">
        <f>I58*J66</f>
        <v>6.276000000000001</v>
      </c>
      <c r="J66" s="2">
        <v>1.2</v>
      </c>
      <c r="K66" s="2">
        <v>1.2</v>
      </c>
      <c r="L66" s="2"/>
      <c r="M66" s="2"/>
      <c r="N66" s="2"/>
      <c r="O66" s="2">
        <f t="shared" si="71"/>
        <v>0</v>
      </c>
      <c r="P66" s="2">
        <f t="shared" si="72"/>
        <v>0</v>
      </c>
      <c r="Q66" s="2">
        <f t="shared" si="73"/>
        <v>0</v>
      </c>
      <c r="R66" s="2">
        <f t="shared" si="74"/>
        <v>0</v>
      </c>
      <c r="S66" s="2">
        <f t="shared" si="75"/>
        <v>0</v>
      </c>
      <c r="T66" s="2">
        <f t="shared" si="76"/>
        <v>0</v>
      </c>
      <c r="U66" s="2">
        <f t="shared" si="77"/>
        <v>0</v>
      </c>
      <c r="V66" s="2">
        <f t="shared" si="78"/>
        <v>0</v>
      </c>
      <c r="W66" s="2">
        <f t="shared" si="79"/>
        <v>0</v>
      </c>
      <c r="X66" s="2">
        <f t="shared" si="80"/>
        <v>0</v>
      </c>
      <c r="Y66" s="2">
        <f t="shared" si="81"/>
        <v>0</v>
      </c>
      <c r="Z66" s="2"/>
      <c r="AA66" s="2">
        <v>55454918</v>
      </c>
      <c r="AB66" s="2">
        <f t="shared" si="82"/>
        <v>0</v>
      </c>
      <c r="AC66" s="2">
        <f t="shared" si="70"/>
        <v>0</v>
      </c>
      <c r="AD66" s="2">
        <f t="shared" si="83"/>
        <v>0</v>
      </c>
      <c r="AE66" s="2">
        <f t="shared" si="84"/>
        <v>0</v>
      </c>
      <c r="AF66" s="2">
        <f t="shared" si="84"/>
        <v>0</v>
      </c>
      <c r="AG66" s="2">
        <f t="shared" si="85"/>
        <v>0</v>
      </c>
      <c r="AH66" s="2">
        <f t="shared" si="86"/>
        <v>0</v>
      </c>
      <c r="AI66" s="2">
        <f t="shared" si="86"/>
        <v>0</v>
      </c>
      <c r="AJ66" s="2">
        <f t="shared" si="87"/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112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11001</v>
      </c>
      <c r="BN66" s="2">
        <v>0</v>
      </c>
      <c r="BO66" s="2" t="s">
        <v>3</v>
      </c>
      <c r="BP66" s="2">
        <v>0</v>
      </c>
      <c r="BQ66" s="2">
        <v>2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112</v>
      </c>
      <c r="CA66" s="2">
        <v>65</v>
      </c>
      <c r="CB66" s="2" t="s">
        <v>3</v>
      </c>
      <c r="CC66" s="2"/>
      <c r="CD66" s="2"/>
      <c r="CE66" s="2">
        <v>0</v>
      </c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88"/>
        <v>0</v>
      </c>
      <c r="CQ66" s="2">
        <f t="shared" si="89"/>
        <v>0</v>
      </c>
      <c r="CR66" s="2">
        <f t="shared" si="90"/>
        <v>0</v>
      </c>
      <c r="CS66" s="2">
        <f t="shared" si="91"/>
        <v>0</v>
      </c>
      <c r="CT66" s="2">
        <f t="shared" si="92"/>
        <v>0</v>
      </c>
      <c r="CU66" s="2">
        <f t="shared" si="93"/>
        <v>0</v>
      </c>
      <c r="CV66" s="2">
        <f t="shared" si="94"/>
        <v>0</v>
      </c>
      <c r="CW66" s="2">
        <f t="shared" si="95"/>
        <v>0</v>
      </c>
      <c r="CX66" s="2">
        <f t="shared" si="96"/>
        <v>0</v>
      </c>
      <c r="CY66" s="2">
        <f t="shared" si="97"/>
        <v>0</v>
      </c>
      <c r="CZ66" s="2">
        <f t="shared" si="98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1009</v>
      </c>
      <c r="DV66" s="2" t="s">
        <v>34</v>
      </c>
      <c r="DW66" s="2" t="s">
        <v>34</v>
      </c>
      <c r="DX66" s="2">
        <v>1000</v>
      </c>
      <c r="DY66" s="2"/>
      <c r="DZ66" s="2" t="s">
        <v>3</v>
      </c>
      <c r="EA66" s="2" t="s">
        <v>3</v>
      </c>
      <c r="EB66" s="2" t="s">
        <v>3</v>
      </c>
      <c r="EC66" s="2" t="s">
        <v>3</v>
      </c>
      <c r="ED66" s="2"/>
      <c r="EE66" s="2">
        <v>55471663</v>
      </c>
      <c r="EF66" s="2">
        <v>2</v>
      </c>
      <c r="EG66" s="2" t="s">
        <v>43</v>
      </c>
      <c r="EH66" s="2">
        <v>11</v>
      </c>
      <c r="EI66" s="2" t="s">
        <v>27</v>
      </c>
      <c r="EJ66" s="2">
        <v>1</v>
      </c>
      <c r="EK66" s="2">
        <v>11001</v>
      </c>
      <c r="EL66" s="2" t="s">
        <v>27</v>
      </c>
      <c r="EM66" s="2" t="s">
        <v>44</v>
      </c>
      <c r="EN66" s="2"/>
      <c r="EO66" s="2" t="s">
        <v>3</v>
      </c>
      <c r="EP66" s="2"/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99"/>
        <v>0</v>
      </c>
      <c r="FS66" s="2">
        <v>0</v>
      </c>
      <c r="FT66" s="2"/>
      <c r="FU66" s="2"/>
      <c r="FV66" s="2"/>
      <c r="FW66" s="2"/>
      <c r="FX66" s="2">
        <v>112</v>
      </c>
      <c r="FY66" s="2">
        <v>65</v>
      </c>
      <c r="FZ66" s="2"/>
      <c r="GA66" s="2" t="s">
        <v>3</v>
      </c>
      <c r="GB66" s="2"/>
      <c r="GC66" s="2"/>
      <c r="GD66" s="2">
        <v>1</v>
      </c>
      <c r="GE66" s="2"/>
      <c r="GF66" s="2">
        <v>-1969728098</v>
      </c>
      <c r="GG66" s="2">
        <v>2</v>
      </c>
      <c r="GH66" s="2">
        <v>1</v>
      </c>
      <c r="GI66" s="2">
        <v>-2</v>
      </c>
      <c r="GJ66" s="2">
        <v>0</v>
      </c>
      <c r="GK66" s="2">
        <v>0</v>
      </c>
      <c r="GL66" s="2">
        <f t="shared" si="100"/>
        <v>0</v>
      </c>
      <c r="GM66" s="2">
        <f t="shared" si="101"/>
        <v>0</v>
      </c>
      <c r="GN66" s="2">
        <f t="shared" si="102"/>
        <v>0</v>
      </c>
      <c r="GO66" s="2">
        <f t="shared" si="103"/>
        <v>0</v>
      </c>
      <c r="GP66" s="2">
        <f t="shared" si="104"/>
        <v>0</v>
      </c>
      <c r="GQ66" s="2"/>
      <c r="GR66" s="2">
        <v>0</v>
      </c>
      <c r="GS66" s="2">
        <v>3</v>
      </c>
      <c r="GT66" s="2">
        <v>0</v>
      </c>
      <c r="GU66" s="2" t="s">
        <v>3</v>
      </c>
      <c r="GV66" s="2">
        <f t="shared" si="105"/>
        <v>0</v>
      </c>
      <c r="GW66" s="2">
        <v>1</v>
      </c>
      <c r="GX66" s="2">
        <f t="shared" si="106"/>
        <v>0</v>
      </c>
      <c r="GY66" s="2"/>
      <c r="GZ66" s="2"/>
      <c r="HA66" s="2">
        <v>0</v>
      </c>
      <c r="HB66" s="2">
        <v>0</v>
      </c>
      <c r="HC66" s="2">
        <f t="shared" si="107"/>
        <v>0</v>
      </c>
      <c r="HD66" s="2"/>
      <c r="HE66" s="2" t="s">
        <v>3</v>
      </c>
      <c r="HF66" s="2" t="s">
        <v>3</v>
      </c>
      <c r="HG66" s="2"/>
      <c r="HH66" s="2"/>
      <c r="HI66" s="2">
        <f t="shared" si="108"/>
        <v>0</v>
      </c>
      <c r="HJ66" s="2">
        <f t="shared" si="109"/>
        <v>0</v>
      </c>
      <c r="HK66" s="2">
        <f t="shared" si="110"/>
        <v>0</v>
      </c>
      <c r="HL66" s="2">
        <f t="shared" si="111"/>
        <v>0</v>
      </c>
      <c r="HM66" s="2" t="s">
        <v>3</v>
      </c>
      <c r="HN66" s="2" t="s">
        <v>46</v>
      </c>
      <c r="HO66" s="2" t="s">
        <v>47</v>
      </c>
      <c r="HP66" s="2" t="s">
        <v>27</v>
      </c>
      <c r="HQ66" s="2" t="s">
        <v>27</v>
      </c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45" ht="12.75">
      <c r="A67">
        <v>18</v>
      </c>
      <c r="B67">
        <v>1</v>
      </c>
      <c r="C67">
        <v>103</v>
      </c>
      <c r="E67" t="s">
        <v>112</v>
      </c>
      <c r="F67" t="s">
        <v>113</v>
      </c>
      <c r="G67" t="s">
        <v>114</v>
      </c>
      <c r="H67" t="s">
        <v>34</v>
      </c>
      <c r="I67">
        <f>I59*J67</f>
        <v>6.276000000000001</v>
      </c>
      <c r="J67">
        <v>1.2</v>
      </c>
      <c r="K67">
        <v>1.2</v>
      </c>
      <c r="O67">
        <f t="shared" si="71"/>
        <v>0</v>
      </c>
      <c r="P67">
        <f t="shared" si="72"/>
        <v>0</v>
      </c>
      <c r="Q67">
        <f t="shared" si="73"/>
        <v>0</v>
      </c>
      <c r="R67">
        <f t="shared" si="74"/>
        <v>0</v>
      </c>
      <c r="S67">
        <f t="shared" si="75"/>
        <v>0</v>
      </c>
      <c r="T67">
        <f t="shared" si="76"/>
        <v>0</v>
      </c>
      <c r="U67">
        <f t="shared" si="77"/>
        <v>0</v>
      </c>
      <c r="V67">
        <f t="shared" si="78"/>
        <v>0</v>
      </c>
      <c r="W67">
        <f t="shared" si="79"/>
        <v>0</v>
      </c>
      <c r="X67">
        <f t="shared" si="80"/>
        <v>0</v>
      </c>
      <c r="Y67">
        <f t="shared" si="81"/>
        <v>0</v>
      </c>
      <c r="AA67">
        <v>55454919</v>
      </c>
      <c r="AB67">
        <f t="shared" si="82"/>
        <v>0</v>
      </c>
      <c r="AC67">
        <f t="shared" si="70"/>
        <v>0</v>
      </c>
      <c r="AD67">
        <f t="shared" si="83"/>
        <v>0</v>
      </c>
      <c r="AE67">
        <f t="shared" si="84"/>
        <v>0</v>
      </c>
      <c r="AF67">
        <f t="shared" si="84"/>
        <v>0</v>
      </c>
      <c r="AG67">
        <f t="shared" si="85"/>
        <v>0</v>
      </c>
      <c r="AH67">
        <f t="shared" si="86"/>
        <v>0</v>
      </c>
      <c r="AI67">
        <f t="shared" si="86"/>
        <v>0</v>
      </c>
      <c r="AJ67">
        <f t="shared" si="87"/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112</v>
      </c>
      <c r="AU67">
        <v>65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1</v>
      </c>
      <c r="BH67">
        <v>3</v>
      </c>
      <c r="BI67">
        <v>1</v>
      </c>
      <c r="BM67">
        <v>11001</v>
      </c>
      <c r="BN67">
        <v>0</v>
      </c>
      <c r="BP67">
        <v>0</v>
      </c>
      <c r="BQ67">
        <v>2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112</v>
      </c>
      <c r="CA67">
        <v>65</v>
      </c>
      <c r="CE67">
        <v>0</v>
      </c>
      <c r="CF67">
        <v>0</v>
      </c>
      <c r="CG67">
        <v>0</v>
      </c>
      <c r="CM67">
        <v>0</v>
      </c>
      <c r="CO67">
        <v>0</v>
      </c>
      <c r="CP67">
        <f t="shared" si="88"/>
        <v>0</v>
      </c>
      <c r="CQ67">
        <f t="shared" si="89"/>
        <v>0</v>
      </c>
      <c r="CR67">
        <f t="shared" si="90"/>
        <v>0</v>
      </c>
      <c r="CS67">
        <f t="shared" si="91"/>
        <v>0</v>
      </c>
      <c r="CT67">
        <f t="shared" si="92"/>
        <v>0</v>
      </c>
      <c r="CU67">
        <f t="shared" si="93"/>
        <v>0</v>
      </c>
      <c r="CV67">
        <f t="shared" si="94"/>
        <v>0</v>
      </c>
      <c r="CW67">
        <f t="shared" si="95"/>
        <v>0</v>
      </c>
      <c r="CX67">
        <f t="shared" si="96"/>
        <v>0</v>
      </c>
      <c r="CY67">
        <f t="shared" si="97"/>
        <v>0</v>
      </c>
      <c r="CZ67">
        <f t="shared" si="98"/>
        <v>0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34</v>
      </c>
      <c r="DW67" t="s">
        <v>34</v>
      </c>
      <c r="DX67">
        <v>1000</v>
      </c>
      <c r="EE67">
        <v>55471663</v>
      </c>
      <c r="EF67">
        <v>2</v>
      </c>
      <c r="EG67" t="s">
        <v>43</v>
      </c>
      <c r="EH67">
        <v>11</v>
      </c>
      <c r="EI67" t="s">
        <v>27</v>
      </c>
      <c r="EJ67">
        <v>1</v>
      </c>
      <c r="EK67">
        <v>11001</v>
      </c>
      <c r="EL67" t="s">
        <v>27</v>
      </c>
      <c r="EM67" t="s">
        <v>44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99"/>
        <v>0</v>
      </c>
      <c r="FS67">
        <v>0</v>
      </c>
      <c r="FX67">
        <v>112</v>
      </c>
      <c r="FY67">
        <v>65</v>
      </c>
      <c r="GD67">
        <v>1</v>
      </c>
      <c r="GF67">
        <v>-1969728098</v>
      </c>
      <c r="GG67">
        <v>2</v>
      </c>
      <c r="GH67">
        <v>1</v>
      </c>
      <c r="GI67">
        <v>4</v>
      </c>
      <c r="GJ67">
        <v>0</v>
      </c>
      <c r="GK67">
        <v>0</v>
      </c>
      <c r="GL67">
        <f t="shared" si="100"/>
        <v>0</v>
      </c>
      <c r="GM67">
        <f t="shared" si="101"/>
        <v>0</v>
      </c>
      <c r="GN67">
        <f t="shared" si="102"/>
        <v>0</v>
      </c>
      <c r="GO67">
        <f t="shared" si="103"/>
        <v>0</v>
      </c>
      <c r="GP67">
        <f t="shared" si="104"/>
        <v>0</v>
      </c>
      <c r="GR67">
        <v>0</v>
      </c>
      <c r="GS67">
        <v>3</v>
      </c>
      <c r="GT67">
        <v>0</v>
      </c>
      <c r="GV67">
        <f t="shared" si="105"/>
        <v>0</v>
      </c>
      <c r="GW67">
        <v>1</v>
      </c>
      <c r="GX67">
        <f t="shared" si="106"/>
        <v>0</v>
      </c>
      <c r="HA67">
        <v>0</v>
      </c>
      <c r="HB67">
        <v>0</v>
      </c>
      <c r="HC67">
        <f t="shared" si="107"/>
        <v>0</v>
      </c>
      <c r="HI67">
        <f t="shared" si="108"/>
        <v>0</v>
      </c>
      <c r="HJ67">
        <f t="shared" si="109"/>
        <v>0</v>
      </c>
      <c r="HK67">
        <f t="shared" si="110"/>
        <v>0</v>
      </c>
      <c r="HL67">
        <f t="shared" si="111"/>
        <v>0</v>
      </c>
      <c r="HN67" t="s">
        <v>46</v>
      </c>
      <c r="HO67" t="s">
        <v>47</v>
      </c>
      <c r="HP67" t="s">
        <v>27</v>
      </c>
      <c r="HQ67" t="s">
        <v>27</v>
      </c>
      <c r="IK67">
        <v>0</v>
      </c>
    </row>
    <row r="68" spans="1:255" ht="12.75">
      <c r="A68" s="2">
        <v>17</v>
      </c>
      <c r="B68" s="2">
        <v>1</v>
      </c>
      <c r="C68" s="2">
        <f>ROW(SmtRes!A110)</f>
        <v>110</v>
      </c>
      <c r="D68" s="2">
        <f>ROW(EtalonRes!A110)</f>
        <v>110</v>
      </c>
      <c r="E68" s="2" t="s">
        <v>115</v>
      </c>
      <c r="F68" s="2" t="s">
        <v>116</v>
      </c>
      <c r="G68" s="2" t="s">
        <v>117</v>
      </c>
      <c r="H68" s="2" t="s">
        <v>24</v>
      </c>
      <c r="I68" s="2">
        <f>ROUND(479/100,7)</f>
        <v>4.79</v>
      </c>
      <c r="J68" s="2">
        <v>0</v>
      </c>
      <c r="K68" s="2">
        <f>ROUND(479/100,7)</f>
        <v>4.79</v>
      </c>
      <c r="L68" s="2"/>
      <c r="M68" s="2"/>
      <c r="N68" s="2"/>
      <c r="O68" s="2">
        <f t="shared" si="71"/>
        <v>1740.64</v>
      </c>
      <c r="P68" s="2">
        <f t="shared" si="72"/>
        <v>459.84</v>
      </c>
      <c r="Q68" s="2">
        <f t="shared" si="73"/>
        <v>32.96</v>
      </c>
      <c r="R68" s="2">
        <f t="shared" si="74"/>
        <v>8.29</v>
      </c>
      <c r="S68" s="2">
        <f t="shared" si="75"/>
        <v>1247.84</v>
      </c>
      <c r="T68" s="2">
        <f t="shared" si="76"/>
        <v>0</v>
      </c>
      <c r="U68" s="2">
        <f t="shared" si="77"/>
        <v>131.21247</v>
      </c>
      <c r="V68" s="2">
        <f t="shared" si="78"/>
        <v>0.658625</v>
      </c>
      <c r="W68" s="2">
        <f t="shared" si="79"/>
        <v>0</v>
      </c>
      <c r="X68" s="2">
        <f t="shared" si="80"/>
        <v>1266.18</v>
      </c>
      <c r="Y68" s="2">
        <f t="shared" si="81"/>
        <v>694.01</v>
      </c>
      <c r="Z68" s="2"/>
      <c r="AA68" s="2">
        <v>55454918</v>
      </c>
      <c r="AB68" s="2">
        <f t="shared" si="82"/>
        <v>363.39</v>
      </c>
      <c r="AC68" s="2">
        <f t="shared" si="70"/>
        <v>96</v>
      </c>
      <c r="AD68" s="2">
        <f>ROUND(((((ET68*ROUND(1.25,7)))-((EU68*ROUND(1.25,7))))+AE68),2)</f>
        <v>6.88</v>
      </c>
      <c r="AE68" s="2">
        <f>ROUND(((EU68*ROUND(1.25,7))),2)</f>
        <v>1.73</v>
      </c>
      <c r="AF68" s="2">
        <f>ROUND(((EV68*ROUND(1.15,7))),2)</f>
        <v>260.51</v>
      </c>
      <c r="AG68" s="2">
        <f t="shared" si="85"/>
        <v>0</v>
      </c>
      <c r="AH68" s="2">
        <f>((EW68*ROUND(1.15,7)))</f>
        <v>27.392999999999997</v>
      </c>
      <c r="AI68" s="2">
        <f>((EX68*ROUND(1.25,7)))</f>
        <v>0.1375</v>
      </c>
      <c r="AJ68" s="2">
        <f t="shared" si="87"/>
        <v>0</v>
      </c>
      <c r="AK68" s="2">
        <v>328.03</v>
      </c>
      <c r="AL68" s="2">
        <v>96</v>
      </c>
      <c r="AM68" s="2">
        <v>5.5</v>
      </c>
      <c r="AN68" s="2">
        <v>1.38</v>
      </c>
      <c r="AO68" s="2">
        <v>226.53</v>
      </c>
      <c r="AP68" s="2">
        <v>0</v>
      </c>
      <c r="AQ68" s="2">
        <v>23.82</v>
      </c>
      <c r="AR68" s="2">
        <v>0.11</v>
      </c>
      <c r="AS68" s="2">
        <v>0</v>
      </c>
      <c r="AT68" s="2">
        <v>100.8</v>
      </c>
      <c r="AU68" s="2">
        <v>55.25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118</v>
      </c>
      <c r="BK68" s="2"/>
      <c r="BL68" s="2"/>
      <c r="BM68" s="2">
        <v>11001</v>
      </c>
      <c r="BN68" s="2">
        <v>0</v>
      </c>
      <c r="BO68" s="2" t="s">
        <v>3</v>
      </c>
      <c r="BP68" s="2">
        <v>0</v>
      </c>
      <c r="BQ68" s="2">
        <v>2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112</v>
      </c>
      <c r="CA68" s="2">
        <v>65</v>
      </c>
      <c r="CB68" s="2" t="s">
        <v>3</v>
      </c>
      <c r="CC68" s="2"/>
      <c r="CD68" s="2"/>
      <c r="CE68" s="2">
        <v>0</v>
      </c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409</v>
      </c>
      <c r="CO68" s="2">
        <v>0</v>
      </c>
      <c r="CP68" s="2">
        <f t="shared" si="88"/>
        <v>1740.6399999999999</v>
      </c>
      <c r="CQ68" s="2">
        <f t="shared" si="89"/>
        <v>96</v>
      </c>
      <c r="CR68" s="2">
        <f>((((ET68*ROUND(1.25,7)))*BB68-((EU68*ROUND(1.25,7))))+AE68)</f>
        <v>6.880000000000001</v>
      </c>
      <c r="CS68" s="2">
        <f t="shared" si="91"/>
        <v>1.73</v>
      </c>
      <c r="CT68" s="2">
        <f t="shared" si="92"/>
        <v>260.51</v>
      </c>
      <c r="CU68" s="2">
        <f t="shared" si="93"/>
        <v>0</v>
      </c>
      <c r="CV68" s="2">
        <f t="shared" si="94"/>
        <v>27.392999999999997</v>
      </c>
      <c r="CW68" s="2">
        <f t="shared" si="95"/>
        <v>0.1375</v>
      </c>
      <c r="CX68" s="2">
        <f t="shared" si="96"/>
        <v>0</v>
      </c>
      <c r="CY68" s="2">
        <f t="shared" si="97"/>
        <v>1266.1790399999998</v>
      </c>
      <c r="CZ68" s="2">
        <f t="shared" si="98"/>
        <v>694.0118249999999</v>
      </c>
      <c r="DA68" s="2"/>
      <c r="DB68" s="2"/>
      <c r="DC68" s="2" t="s">
        <v>3</v>
      </c>
      <c r="DD68" s="2" t="s">
        <v>3</v>
      </c>
      <c r="DE68" s="2" t="s">
        <v>73</v>
      </c>
      <c r="DF68" s="2" t="s">
        <v>73</v>
      </c>
      <c r="DG68" s="2" t="s">
        <v>74</v>
      </c>
      <c r="DH68" s="2" t="s">
        <v>3</v>
      </c>
      <c r="DI68" s="2" t="s">
        <v>74</v>
      </c>
      <c r="DJ68" s="2" t="s">
        <v>73</v>
      </c>
      <c r="DK68" s="2" t="s">
        <v>3</v>
      </c>
      <c r="DL68" s="2" t="s">
        <v>75</v>
      </c>
      <c r="DM68" s="2" t="s">
        <v>76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1003</v>
      </c>
      <c r="DV68" s="2" t="s">
        <v>24</v>
      </c>
      <c r="DW68" s="2" t="s">
        <v>24</v>
      </c>
      <c r="DX68" s="2">
        <v>100</v>
      </c>
      <c r="DY68" s="2"/>
      <c r="DZ68" s="2" t="s">
        <v>3</v>
      </c>
      <c r="EA68" s="2" t="s">
        <v>3</v>
      </c>
      <c r="EB68" s="2" t="s">
        <v>3</v>
      </c>
      <c r="EC68" s="2" t="s">
        <v>3</v>
      </c>
      <c r="ED68" s="2"/>
      <c r="EE68" s="2">
        <v>55471663</v>
      </c>
      <c r="EF68" s="2">
        <v>2</v>
      </c>
      <c r="EG68" s="2" t="s">
        <v>43</v>
      </c>
      <c r="EH68" s="2">
        <v>11</v>
      </c>
      <c r="EI68" s="2" t="s">
        <v>27</v>
      </c>
      <c r="EJ68" s="2">
        <v>1</v>
      </c>
      <c r="EK68" s="2">
        <v>11001</v>
      </c>
      <c r="EL68" s="2" t="s">
        <v>27</v>
      </c>
      <c r="EM68" s="2" t="s">
        <v>44</v>
      </c>
      <c r="EN68" s="2"/>
      <c r="EO68" s="2" t="s">
        <v>77</v>
      </c>
      <c r="EP68" s="2"/>
      <c r="EQ68" s="2">
        <v>0</v>
      </c>
      <c r="ER68" s="2">
        <v>328.03</v>
      </c>
      <c r="ES68" s="2">
        <v>96</v>
      </c>
      <c r="ET68" s="2">
        <v>5.5</v>
      </c>
      <c r="EU68" s="2">
        <v>1.38</v>
      </c>
      <c r="EV68" s="2">
        <v>226.53</v>
      </c>
      <c r="EW68" s="2">
        <v>23.82</v>
      </c>
      <c r="EX68" s="2">
        <v>0.11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99"/>
        <v>0</v>
      </c>
      <c r="FS68" s="2">
        <v>0</v>
      </c>
      <c r="FT68" s="2"/>
      <c r="FU68" s="2"/>
      <c r="FV68" s="2"/>
      <c r="FW68" s="2"/>
      <c r="FX68" s="2">
        <v>100.8</v>
      </c>
      <c r="FY68" s="2">
        <v>55.25</v>
      </c>
      <c r="FZ68" s="2"/>
      <c r="GA68" s="2" t="s">
        <v>3</v>
      </c>
      <c r="GB68" s="2"/>
      <c r="GC68" s="2"/>
      <c r="GD68" s="2">
        <v>1</v>
      </c>
      <c r="GE68" s="2"/>
      <c r="GF68" s="2">
        <v>-837795084</v>
      </c>
      <c r="GG68" s="2">
        <v>2</v>
      </c>
      <c r="GH68" s="2">
        <v>1</v>
      </c>
      <c r="GI68" s="2">
        <v>-2</v>
      </c>
      <c r="GJ68" s="2">
        <v>0</v>
      </c>
      <c r="GK68" s="2">
        <v>0</v>
      </c>
      <c r="GL68" s="2">
        <f t="shared" si="100"/>
        <v>0</v>
      </c>
      <c r="GM68" s="2">
        <f t="shared" si="101"/>
        <v>3700.83</v>
      </c>
      <c r="GN68" s="2">
        <f t="shared" si="102"/>
        <v>3700.83</v>
      </c>
      <c r="GO68" s="2">
        <f t="shared" si="103"/>
        <v>0</v>
      </c>
      <c r="GP68" s="2">
        <f t="shared" si="104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105"/>
        <v>0</v>
      </c>
      <c r="GW68" s="2">
        <v>1</v>
      </c>
      <c r="GX68" s="2">
        <f t="shared" si="106"/>
        <v>0</v>
      </c>
      <c r="GY68" s="2"/>
      <c r="GZ68" s="2"/>
      <c r="HA68" s="2">
        <v>0</v>
      </c>
      <c r="HB68" s="2">
        <v>0</v>
      </c>
      <c r="HC68" s="2">
        <f t="shared" si="107"/>
        <v>0</v>
      </c>
      <c r="HD68" s="2"/>
      <c r="HE68" s="2" t="s">
        <v>3</v>
      </c>
      <c r="HF68" s="2" t="s">
        <v>3</v>
      </c>
      <c r="HG68" s="2"/>
      <c r="HH68" s="2"/>
      <c r="HI68" s="2">
        <f t="shared" si="108"/>
        <v>8.29</v>
      </c>
      <c r="HJ68" s="2">
        <f t="shared" si="109"/>
        <v>1247.84</v>
      </c>
      <c r="HK68" s="2">
        <f t="shared" si="110"/>
        <v>1266.18</v>
      </c>
      <c r="HL68" s="2">
        <f t="shared" si="111"/>
        <v>694.01</v>
      </c>
      <c r="HM68" s="2" t="s">
        <v>3</v>
      </c>
      <c r="HN68" s="2" t="s">
        <v>46</v>
      </c>
      <c r="HO68" s="2" t="s">
        <v>47</v>
      </c>
      <c r="HP68" s="2" t="s">
        <v>27</v>
      </c>
      <c r="HQ68" s="2" t="s">
        <v>27</v>
      </c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45" ht="12.75">
      <c r="A69">
        <v>17</v>
      </c>
      <c r="B69">
        <v>1</v>
      </c>
      <c r="C69">
        <f>ROW(SmtRes!A116)</f>
        <v>116</v>
      </c>
      <c r="D69">
        <f>ROW(EtalonRes!A116)</f>
        <v>116</v>
      </c>
      <c r="E69" t="s">
        <v>115</v>
      </c>
      <c r="F69" t="s">
        <v>116</v>
      </c>
      <c r="G69" t="s">
        <v>117</v>
      </c>
      <c r="H69" t="s">
        <v>24</v>
      </c>
      <c r="I69">
        <f>ROUND(479/100,7)</f>
        <v>4.79</v>
      </c>
      <c r="J69">
        <v>0</v>
      </c>
      <c r="K69">
        <f>ROUND(479/100,7)</f>
        <v>4.79</v>
      </c>
      <c r="O69">
        <f t="shared" si="71"/>
        <v>1740.64</v>
      </c>
      <c r="P69">
        <f t="shared" si="72"/>
        <v>459.84</v>
      </c>
      <c r="Q69">
        <f t="shared" si="73"/>
        <v>32.96</v>
      </c>
      <c r="R69">
        <f t="shared" si="74"/>
        <v>8.29</v>
      </c>
      <c r="S69">
        <f t="shared" si="75"/>
        <v>1247.84</v>
      </c>
      <c r="T69">
        <f t="shared" si="76"/>
        <v>0</v>
      </c>
      <c r="U69">
        <f t="shared" si="77"/>
        <v>131.21247</v>
      </c>
      <c r="V69">
        <f t="shared" si="78"/>
        <v>0.658625</v>
      </c>
      <c r="W69">
        <f t="shared" si="79"/>
        <v>0</v>
      </c>
      <c r="X69">
        <f t="shared" si="80"/>
        <v>1266.18</v>
      </c>
      <c r="Y69">
        <f t="shared" si="81"/>
        <v>694.01</v>
      </c>
      <c r="AA69">
        <v>55454919</v>
      </c>
      <c r="AB69">
        <f t="shared" si="82"/>
        <v>363.39</v>
      </c>
      <c r="AC69">
        <f t="shared" si="70"/>
        <v>96</v>
      </c>
      <c r="AD69">
        <f>ROUND(((((ET69*ROUND(1.25,7)))-((EU69*ROUND(1.25,7))))+AE69),2)</f>
        <v>6.88</v>
      </c>
      <c r="AE69">
        <f>ROUND(((EU69*ROUND(1.25,7))),2)</f>
        <v>1.73</v>
      </c>
      <c r="AF69">
        <f>ROUND(((EV69*ROUND(1.15,7))),2)</f>
        <v>260.51</v>
      </c>
      <c r="AG69">
        <f t="shared" si="85"/>
        <v>0</v>
      </c>
      <c r="AH69">
        <f>((EW69*ROUND(1.15,7)))</f>
        <v>27.392999999999997</v>
      </c>
      <c r="AI69">
        <f>((EX69*ROUND(1.25,7)))</f>
        <v>0.1375</v>
      </c>
      <c r="AJ69">
        <f t="shared" si="87"/>
        <v>0</v>
      </c>
      <c r="AK69">
        <v>328.03</v>
      </c>
      <c r="AL69">
        <v>96</v>
      </c>
      <c r="AM69">
        <v>5.5</v>
      </c>
      <c r="AN69">
        <v>1.38</v>
      </c>
      <c r="AO69">
        <v>226.53</v>
      </c>
      <c r="AP69">
        <v>0</v>
      </c>
      <c r="AQ69">
        <v>23.82</v>
      </c>
      <c r="AR69">
        <v>0.11</v>
      </c>
      <c r="AS69">
        <v>0</v>
      </c>
      <c r="AT69">
        <v>100.8</v>
      </c>
      <c r="AU69">
        <v>55.25</v>
      </c>
      <c r="AV69">
        <v>1</v>
      </c>
      <c r="AW69">
        <v>1</v>
      </c>
      <c r="AZ69">
        <v>1</v>
      </c>
      <c r="BA69">
        <v>36.47</v>
      </c>
      <c r="BB69">
        <v>1</v>
      </c>
      <c r="BC69">
        <v>1</v>
      </c>
      <c r="BH69">
        <v>0</v>
      </c>
      <c r="BI69">
        <v>1</v>
      </c>
      <c r="BJ69" t="s">
        <v>118</v>
      </c>
      <c r="BM69">
        <v>11001</v>
      </c>
      <c r="BN69">
        <v>0</v>
      </c>
      <c r="BP69">
        <v>0</v>
      </c>
      <c r="BQ69">
        <v>2</v>
      </c>
      <c r="BR69">
        <v>0</v>
      </c>
      <c r="BS69">
        <v>36.47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112</v>
      </c>
      <c r="CA69">
        <v>65</v>
      </c>
      <c r="CE69">
        <v>0</v>
      </c>
      <c r="CF69">
        <v>0</v>
      </c>
      <c r="CG69">
        <v>0</v>
      </c>
      <c r="CM69">
        <v>0</v>
      </c>
      <c r="CN69" t="s">
        <v>409</v>
      </c>
      <c r="CO69">
        <v>0</v>
      </c>
      <c r="CP69">
        <f t="shared" si="88"/>
        <v>1740.6399999999999</v>
      </c>
      <c r="CQ69">
        <f t="shared" si="89"/>
        <v>96</v>
      </c>
      <c r="CR69">
        <f>((((ET69*ROUND(1.25,7)))*BB69-((EU69*ROUND(1.25,7))))+AE69)</f>
        <v>6.880000000000001</v>
      </c>
      <c r="CS69">
        <f t="shared" si="91"/>
        <v>1.73</v>
      </c>
      <c r="CT69">
        <f t="shared" si="92"/>
        <v>260.51</v>
      </c>
      <c r="CU69">
        <f t="shared" si="93"/>
        <v>0</v>
      </c>
      <c r="CV69">
        <f t="shared" si="94"/>
        <v>27.392999999999997</v>
      </c>
      <c r="CW69">
        <f t="shared" si="95"/>
        <v>0.1375</v>
      </c>
      <c r="CX69">
        <f t="shared" si="96"/>
        <v>0</v>
      </c>
      <c r="CY69">
        <f t="shared" si="97"/>
        <v>1266.1790399999998</v>
      </c>
      <c r="CZ69">
        <f t="shared" si="98"/>
        <v>694.0118249999999</v>
      </c>
      <c r="DE69" t="s">
        <v>73</v>
      </c>
      <c r="DF69" t="s">
        <v>73</v>
      </c>
      <c r="DG69" t="s">
        <v>74</v>
      </c>
      <c r="DI69" t="s">
        <v>74</v>
      </c>
      <c r="DJ69" t="s">
        <v>73</v>
      </c>
      <c r="DL69" t="s">
        <v>75</v>
      </c>
      <c r="DM69" t="s">
        <v>76</v>
      </c>
      <c r="DN69">
        <v>0</v>
      </c>
      <c r="DO69">
        <v>0</v>
      </c>
      <c r="DP69">
        <v>1</v>
      </c>
      <c r="DQ69">
        <v>1</v>
      </c>
      <c r="DU69">
        <v>1003</v>
      </c>
      <c r="DV69" t="s">
        <v>24</v>
      </c>
      <c r="DW69" t="s">
        <v>24</v>
      </c>
      <c r="DX69">
        <v>100</v>
      </c>
      <c r="EE69">
        <v>55471663</v>
      </c>
      <c r="EF69">
        <v>2</v>
      </c>
      <c r="EG69" t="s">
        <v>43</v>
      </c>
      <c r="EH69">
        <v>11</v>
      </c>
      <c r="EI69" t="s">
        <v>27</v>
      </c>
      <c r="EJ69">
        <v>1</v>
      </c>
      <c r="EK69">
        <v>11001</v>
      </c>
      <c r="EL69" t="s">
        <v>27</v>
      </c>
      <c r="EM69" t="s">
        <v>44</v>
      </c>
      <c r="EO69" t="s">
        <v>77</v>
      </c>
      <c r="EQ69">
        <v>0</v>
      </c>
      <c r="ER69">
        <v>328.03</v>
      </c>
      <c r="ES69">
        <v>96</v>
      </c>
      <c r="ET69">
        <v>5.5</v>
      </c>
      <c r="EU69">
        <v>1.38</v>
      </c>
      <c r="EV69">
        <v>226.53</v>
      </c>
      <c r="EW69">
        <v>23.82</v>
      </c>
      <c r="EX69">
        <v>0.11</v>
      </c>
      <c r="EY69">
        <v>0</v>
      </c>
      <c r="FQ69">
        <v>0</v>
      </c>
      <c r="FR69">
        <f t="shared" si="99"/>
        <v>0</v>
      </c>
      <c r="FS69">
        <v>0</v>
      </c>
      <c r="FX69">
        <v>100.8</v>
      </c>
      <c r="FY69">
        <v>55.25</v>
      </c>
      <c r="GD69">
        <v>1</v>
      </c>
      <c r="GF69">
        <v>-837795084</v>
      </c>
      <c r="GG69">
        <v>2</v>
      </c>
      <c r="GH69">
        <v>1</v>
      </c>
      <c r="GI69">
        <v>4</v>
      </c>
      <c r="GJ69">
        <v>0</v>
      </c>
      <c r="GK69">
        <v>0</v>
      </c>
      <c r="GL69">
        <f t="shared" si="100"/>
        <v>0</v>
      </c>
      <c r="GM69">
        <f t="shared" si="101"/>
        <v>3700.83</v>
      </c>
      <c r="GN69">
        <f t="shared" si="102"/>
        <v>3700.83</v>
      </c>
      <c r="GO69">
        <f t="shared" si="103"/>
        <v>0</v>
      </c>
      <c r="GP69">
        <f t="shared" si="104"/>
        <v>0</v>
      </c>
      <c r="GR69">
        <v>0</v>
      </c>
      <c r="GS69">
        <v>3</v>
      </c>
      <c r="GT69">
        <v>0</v>
      </c>
      <c r="GV69">
        <f t="shared" si="105"/>
        <v>0</v>
      </c>
      <c r="GW69">
        <v>1</v>
      </c>
      <c r="GX69">
        <f t="shared" si="106"/>
        <v>0</v>
      </c>
      <c r="HA69">
        <v>0</v>
      </c>
      <c r="HB69">
        <v>0</v>
      </c>
      <c r="HC69">
        <f t="shared" si="107"/>
        <v>0</v>
      </c>
      <c r="HI69">
        <f t="shared" si="108"/>
        <v>302.34</v>
      </c>
      <c r="HJ69">
        <f t="shared" si="109"/>
        <v>45508.72</v>
      </c>
      <c r="HK69">
        <f t="shared" si="110"/>
        <v>46177.55</v>
      </c>
      <c r="HL69">
        <f t="shared" si="111"/>
        <v>25310.61</v>
      </c>
      <c r="HN69" t="s">
        <v>46</v>
      </c>
      <c r="HO69" t="s">
        <v>47</v>
      </c>
      <c r="HP69" t="s">
        <v>27</v>
      </c>
      <c r="HQ69" t="s">
        <v>27</v>
      </c>
      <c r="IK69">
        <v>0</v>
      </c>
    </row>
    <row r="70" spans="1:255" ht="12.75">
      <c r="A70" s="2">
        <v>18</v>
      </c>
      <c r="B70" s="2">
        <v>1</v>
      </c>
      <c r="C70" s="2">
        <v>110</v>
      </c>
      <c r="D70" s="2"/>
      <c r="E70" s="2" t="s">
        <v>119</v>
      </c>
      <c r="F70" s="2" t="s">
        <v>104</v>
      </c>
      <c r="G70" s="2" t="s">
        <v>120</v>
      </c>
      <c r="H70" s="2" t="s">
        <v>121</v>
      </c>
      <c r="I70" s="2">
        <f>I68*J70</f>
        <v>483.79</v>
      </c>
      <c r="J70" s="2">
        <v>101</v>
      </c>
      <c r="K70" s="2">
        <v>101</v>
      </c>
      <c r="L70" s="2"/>
      <c r="M70" s="2"/>
      <c r="N70" s="2"/>
      <c r="O70" s="2">
        <f t="shared" si="71"/>
        <v>0</v>
      </c>
      <c r="P70" s="2">
        <f t="shared" si="72"/>
        <v>0</v>
      </c>
      <c r="Q70" s="2">
        <f t="shared" si="73"/>
        <v>0</v>
      </c>
      <c r="R70" s="2">
        <f t="shared" si="74"/>
        <v>0</v>
      </c>
      <c r="S70" s="2">
        <f t="shared" si="75"/>
        <v>0</v>
      </c>
      <c r="T70" s="2">
        <f t="shared" si="76"/>
        <v>0</v>
      </c>
      <c r="U70" s="2">
        <f t="shared" si="77"/>
        <v>0</v>
      </c>
      <c r="V70" s="2">
        <f t="shared" si="78"/>
        <v>0</v>
      </c>
      <c r="W70" s="2">
        <f t="shared" si="79"/>
        <v>0</v>
      </c>
      <c r="X70" s="2">
        <f t="shared" si="80"/>
        <v>0</v>
      </c>
      <c r="Y70" s="2">
        <f t="shared" si="81"/>
        <v>0</v>
      </c>
      <c r="Z70" s="2"/>
      <c r="AA70" s="2">
        <v>55454918</v>
      </c>
      <c r="AB70" s="2">
        <f t="shared" si="82"/>
        <v>0</v>
      </c>
      <c r="AC70" s="2">
        <f t="shared" si="70"/>
        <v>0</v>
      </c>
      <c r="AD70" s="2">
        <f>ROUND((((ET70)-(EU70))+AE70),2)</f>
        <v>0</v>
      </c>
      <c r="AE70" s="2">
        <f aca="true" t="shared" si="112" ref="AE70:AF73">ROUND((EU70),2)</f>
        <v>0</v>
      </c>
      <c r="AF70" s="2">
        <f t="shared" si="112"/>
        <v>0</v>
      </c>
      <c r="AG70" s="2">
        <f t="shared" si="85"/>
        <v>0</v>
      </c>
      <c r="AH70" s="2">
        <f aca="true" t="shared" si="113" ref="AH70:AI73">(EW70)</f>
        <v>0</v>
      </c>
      <c r="AI70" s="2">
        <f t="shared" si="113"/>
        <v>0</v>
      </c>
      <c r="AJ70" s="2">
        <f t="shared" si="87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112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11001</v>
      </c>
      <c r="BN70" s="2">
        <v>0</v>
      </c>
      <c r="BO70" s="2" t="s">
        <v>3</v>
      </c>
      <c r="BP70" s="2">
        <v>0</v>
      </c>
      <c r="BQ70" s="2">
        <v>2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112</v>
      </c>
      <c r="CA70" s="2">
        <v>65</v>
      </c>
      <c r="CB70" s="2" t="s">
        <v>3</v>
      </c>
      <c r="CC70" s="2"/>
      <c r="CD70" s="2"/>
      <c r="CE70" s="2">
        <v>0</v>
      </c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88"/>
        <v>0</v>
      </c>
      <c r="CQ70" s="2">
        <f t="shared" si="89"/>
        <v>0</v>
      </c>
      <c r="CR70" s="2">
        <f>(((ET70)*BB70-(EU70))+AE70)</f>
        <v>0</v>
      </c>
      <c r="CS70" s="2">
        <f t="shared" si="91"/>
        <v>0</v>
      </c>
      <c r="CT70" s="2">
        <f t="shared" si="92"/>
        <v>0</v>
      </c>
      <c r="CU70" s="2">
        <f t="shared" si="93"/>
        <v>0</v>
      </c>
      <c r="CV70" s="2">
        <f t="shared" si="94"/>
        <v>0</v>
      </c>
      <c r="CW70" s="2">
        <f t="shared" si="95"/>
        <v>0</v>
      </c>
      <c r="CX70" s="2">
        <f t="shared" si="96"/>
        <v>0</v>
      </c>
      <c r="CY70" s="2">
        <f t="shared" si="97"/>
        <v>0</v>
      </c>
      <c r="CZ70" s="2">
        <f t="shared" si="98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1003</v>
      </c>
      <c r="DV70" s="2" t="s">
        <v>121</v>
      </c>
      <c r="DW70" s="2" t="s">
        <v>121</v>
      </c>
      <c r="DX70" s="2">
        <v>1</v>
      </c>
      <c r="DY70" s="2"/>
      <c r="DZ70" s="2" t="s">
        <v>3</v>
      </c>
      <c r="EA70" s="2" t="s">
        <v>3</v>
      </c>
      <c r="EB70" s="2" t="s">
        <v>3</v>
      </c>
      <c r="EC70" s="2" t="s">
        <v>3</v>
      </c>
      <c r="ED70" s="2"/>
      <c r="EE70" s="2">
        <v>55471663</v>
      </c>
      <c r="EF70" s="2">
        <v>2</v>
      </c>
      <c r="EG70" s="2" t="s">
        <v>43</v>
      </c>
      <c r="EH70" s="2">
        <v>11</v>
      </c>
      <c r="EI70" s="2" t="s">
        <v>27</v>
      </c>
      <c r="EJ70" s="2">
        <v>1</v>
      </c>
      <c r="EK70" s="2">
        <v>11001</v>
      </c>
      <c r="EL70" s="2" t="s">
        <v>27</v>
      </c>
      <c r="EM70" s="2" t="s">
        <v>44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99"/>
        <v>0</v>
      </c>
      <c r="FS70" s="2">
        <v>0</v>
      </c>
      <c r="FT70" s="2"/>
      <c r="FU70" s="2"/>
      <c r="FV70" s="2"/>
      <c r="FW70" s="2"/>
      <c r="FX70" s="2">
        <v>112</v>
      </c>
      <c r="FY70" s="2">
        <v>65</v>
      </c>
      <c r="FZ70" s="2"/>
      <c r="GA70" s="2" t="s">
        <v>3</v>
      </c>
      <c r="GB70" s="2"/>
      <c r="GC70" s="2"/>
      <c r="GD70" s="2">
        <v>1</v>
      </c>
      <c r="GE70" s="2"/>
      <c r="GF70" s="2">
        <v>1949164399</v>
      </c>
      <c r="GG70" s="2">
        <v>2</v>
      </c>
      <c r="GH70" s="2">
        <v>1</v>
      </c>
      <c r="GI70" s="2">
        <v>-2</v>
      </c>
      <c r="GJ70" s="2">
        <v>0</v>
      </c>
      <c r="GK70" s="2">
        <v>0</v>
      </c>
      <c r="GL70" s="2">
        <f t="shared" si="100"/>
        <v>0</v>
      </c>
      <c r="GM70" s="2">
        <f t="shared" si="101"/>
        <v>0</v>
      </c>
      <c r="GN70" s="2">
        <f t="shared" si="102"/>
        <v>0</v>
      </c>
      <c r="GO70" s="2">
        <f t="shared" si="103"/>
        <v>0</v>
      </c>
      <c r="GP70" s="2">
        <f t="shared" si="104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105"/>
        <v>0</v>
      </c>
      <c r="GW70" s="2">
        <v>1</v>
      </c>
      <c r="GX70" s="2">
        <f t="shared" si="106"/>
        <v>0</v>
      </c>
      <c r="GY70" s="2"/>
      <c r="GZ70" s="2"/>
      <c r="HA70" s="2">
        <v>0</v>
      </c>
      <c r="HB70" s="2">
        <v>0</v>
      </c>
      <c r="HC70" s="2">
        <f t="shared" si="107"/>
        <v>0</v>
      </c>
      <c r="HD70" s="2"/>
      <c r="HE70" s="2" t="s">
        <v>3</v>
      </c>
      <c r="HF70" s="2" t="s">
        <v>3</v>
      </c>
      <c r="HG70" s="2"/>
      <c r="HH70" s="2"/>
      <c r="HI70" s="2">
        <f t="shared" si="108"/>
        <v>0</v>
      </c>
      <c r="HJ70" s="2">
        <f t="shared" si="109"/>
        <v>0</v>
      </c>
      <c r="HK70" s="2">
        <f t="shared" si="110"/>
        <v>0</v>
      </c>
      <c r="HL70" s="2">
        <f t="shared" si="111"/>
        <v>0</v>
      </c>
      <c r="HM70" s="2" t="s">
        <v>3</v>
      </c>
      <c r="HN70" s="2" t="s">
        <v>46</v>
      </c>
      <c r="HO70" s="2" t="s">
        <v>47</v>
      </c>
      <c r="HP70" s="2" t="s">
        <v>27</v>
      </c>
      <c r="HQ70" s="2" t="s">
        <v>27</v>
      </c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45" ht="12.75">
      <c r="A71">
        <v>18</v>
      </c>
      <c r="B71">
        <v>1</v>
      </c>
      <c r="C71">
        <v>116</v>
      </c>
      <c r="E71" t="s">
        <v>119</v>
      </c>
      <c r="F71" t="s">
        <v>104</v>
      </c>
      <c r="G71" t="s">
        <v>120</v>
      </c>
      <c r="H71" t="s">
        <v>121</v>
      </c>
      <c r="I71">
        <f>I69*J71</f>
        <v>483.79</v>
      </c>
      <c r="J71">
        <v>101</v>
      </c>
      <c r="K71">
        <v>101</v>
      </c>
      <c r="O71">
        <f t="shared" si="71"/>
        <v>0</v>
      </c>
      <c r="P71">
        <f t="shared" si="72"/>
        <v>0</v>
      </c>
      <c r="Q71">
        <f t="shared" si="73"/>
        <v>0</v>
      </c>
      <c r="R71">
        <f t="shared" si="74"/>
        <v>0</v>
      </c>
      <c r="S71">
        <f t="shared" si="75"/>
        <v>0</v>
      </c>
      <c r="T71">
        <f t="shared" si="76"/>
        <v>0</v>
      </c>
      <c r="U71">
        <f t="shared" si="77"/>
        <v>0</v>
      </c>
      <c r="V71">
        <f t="shared" si="78"/>
        <v>0</v>
      </c>
      <c r="W71">
        <f t="shared" si="79"/>
        <v>0</v>
      </c>
      <c r="X71">
        <f t="shared" si="80"/>
        <v>0</v>
      </c>
      <c r="Y71">
        <f t="shared" si="81"/>
        <v>0</v>
      </c>
      <c r="AA71">
        <v>55454919</v>
      </c>
      <c r="AB71">
        <f t="shared" si="82"/>
        <v>0</v>
      </c>
      <c r="AC71">
        <f t="shared" si="70"/>
        <v>0</v>
      </c>
      <c r="AD71">
        <f>ROUND((((ET71)-(EU71))+AE71),2)</f>
        <v>0</v>
      </c>
      <c r="AE71">
        <f t="shared" si="112"/>
        <v>0</v>
      </c>
      <c r="AF71">
        <f t="shared" si="112"/>
        <v>0</v>
      </c>
      <c r="AG71">
        <f t="shared" si="85"/>
        <v>0</v>
      </c>
      <c r="AH71">
        <f t="shared" si="113"/>
        <v>0</v>
      </c>
      <c r="AI71">
        <f t="shared" si="113"/>
        <v>0</v>
      </c>
      <c r="AJ71">
        <f t="shared" si="87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112</v>
      </c>
      <c r="AU71">
        <v>65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1</v>
      </c>
      <c r="BH71">
        <v>3</v>
      </c>
      <c r="BI71">
        <v>1</v>
      </c>
      <c r="BM71">
        <v>11001</v>
      </c>
      <c r="BN71">
        <v>0</v>
      </c>
      <c r="BP71">
        <v>0</v>
      </c>
      <c r="BQ71">
        <v>2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112</v>
      </c>
      <c r="CA71">
        <v>65</v>
      </c>
      <c r="CE71">
        <v>0</v>
      </c>
      <c r="CF71">
        <v>0</v>
      </c>
      <c r="CG71">
        <v>0</v>
      </c>
      <c r="CM71">
        <v>0</v>
      </c>
      <c r="CO71">
        <v>0</v>
      </c>
      <c r="CP71">
        <f t="shared" si="88"/>
        <v>0</v>
      </c>
      <c r="CQ71">
        <f t="shared" si="89"/>
        <v>0</v>
      </c>
      <c r="CR71">
        <f>(((ET71)*BB71-(EU71))+AE71)</f>
        <v>0</v>
      </c>
      <c r="CS71">
        <f t="shared" si="91"/>
        <v>0</v>
      </c>
      <c r="CT71">
        <f t="shared" si="92"/>
        <v>0</v>
      </c>
      <c r="CU71">
        <f t="shared" si="93"/>
        <v>0</v>
      </c>
      <c r="CV71">
        <f t="shared" si="94"/>
        <v>0</v>
      </c>
      <c r="CW71">
        <f t="shared" si="95"/>
        <v>0</v>
      </c>
      <c r="CX71">
        <f t="shared" si="96"/>
        <v>0</v>
      </c>
      <c r="CY71">
        <f t="shared" si="97"/>
        <v>0</v>
      </c>
      <c r="CZ71">
        <f t="shared" si="98"/>
        <v>0</v>
      </c>
      <c r="DN71">
        <v>0</v>
      </c>
      <c r="DO71">
        <v>0</v>
      </c>
      <c r="DP71">
        <v>1</v>
      </c>
      <c r="DQ71">
        <v>1</v>
      </c>
      <c r="DU71">
        <v>1003</v>
      </c>
      <c r="DV71" t="s">
        <v>121</v>
      </c>
      <c r="DW71" t="s">
        <v>121</v>
      </c>
      <c r="DX71">
        <v>1</v>
      </c>
      <c r="EE71">
        <v>55471663</v>
      </c>
      <c r="EF71">
        <v>2</v>
      </c>
      <c r="EG71" t="s">
        <v>43</v>
      </c>
      <c r="EH71">
        <v>11</v>
      </c>
      <c r="EI71" t="s">
        <v>27</v>
      </c>
      <c r="EJ71">
        <v>1</v>
      </c>
      <c r="EK71">
        <v>11001</v>
      </c>
      <c r="EL71" t="s">
        <v>27</v>
      </c>
      <c r="EM71" t="s">
        <v>44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99"/>
        <v>0</v>
      </c>
      <c r="FS71">
        <v>0</v>
      </c>
      <c r="FX71">
        <v>112</v>
      </c>
      <c r="FY71">
        <v>65</v>
      </c>
      <c r="GD71">
        <v>1</v>
      </c>
      <c r="GF71">
        <v>1949164399</v>
      </c>
      <c r="GG71">
        <v>2</v>
      </c>
      <c r="GH71">
        <v>1</v>
      </c>
      <c r="GI71">
        <v>4</v>
      </c>
      <c r="GJ71">
        <v>0</v>
      </c>
      <c r="GK71">
        <v>0</v>
      </c>
      <c r="GL71">
        <f t="shared" si="100"/>
        <v>0</v>
      </c>
      <c r="GM71">
        <f t="shared" si="101"/>
        <v>0</v>
      </c>
      <c r="GN71">
        <f t="shared" si="102"/>
        <v>0</v>
      </c>
      <c r="GO71">
        <f t="shared" si="103"/>
        <v>0</v>
      </c>
      <c r="GP71">
        <f t="shared" si="104"/>
        <v>0</v>
      </c>
      <c r="GR71">
        <v>0</v>
      </c>
      <c r="GS71">
        <v>3</v>
      </c>
      <c r="GT71">
        <v>0</v>
      </c>
      <c r="GV71">
        <f t="shared" si="105"/>
        <v>0</v>
      </c>
      <c r="GW71">
        <v>1</v>
      </c>
      <c r="GX71">
        <f t="shared" si="106"/>
        <v>0</v>
      </c>
      <c r="HA71">
        <v>0</v>
      </c>
      <c r="HB71">
        <v>0</v>
      </c>
      <c r="HC71">
        <f t="shared" si="107"/>
        <v>0</v>
      </c>
      <c r="HI71">
        <f t="shared" si="108"/>
        <v>0</v>
      </c>
      <c r="HJ71">
        <f t="shared" si="109"/>
        <v>0</v>
      </c>
      <c r="HK71">
        <f t="shared" si="110"/>
        <v>0</v>
      </c>
      <c r="HL71">
        <f t="shared" si="111"/>
        <v>0</v>
      </c>
      <c r="HN71" t="s">
        <v>46</v>
      </c>
      <c r="HO71" t="s">
        <v>47</v>
      </c>
      <c r="HP71" t="s">
        <v>27</v>
      </c>
      <c r="HQ71" t="s">
        <v>27</v>
      </c>
      <c r="IK71">
        <v>0</v>
      </c>
    </row>
    <row r="72" spans="1:255" ht="12.75">
      <c r="A72" s="2">
        <v>17</v>
      </c>
      <c r="B72" s="2">
        <v>1</v>
      </c>
      <c r="C72" s="2">
        <f>ROW(SmtRes!A117)</f>
        <v>117</v>
      </c>
      <c r="D72" s="2">
        <f>ROW(EtalonRes!A117)</f>
        <v>117</v>
      </c>
      <c r="E72" s="2" t="s">
        <v>122</v>
      </c>
      <c r="F72" s="2" t="s">
        <v>123</v>
      </c>
      <c r="G72" s="2" t="s">
        <v>124</v>
      </c>
      <c r="H72" s="2" t="s">
        <v>106</v>
      </c>
      <c r="I72" s="2">
        <f>ROUND(ROUND(38,2),7)</f>
        <v>38</v>
      </c>
      <c r="J72" s="2">
        <v>0</v>
      </c>
      <c r="K72" s="2">
        <f>ROUND(ROUND(38,2),7)</f>
        <v>38</v>
      </c>
      <c r="L72" s="2"/>
      <c r="M72" s="2"/>
      <c r="N72" s="2"/>
      <c r="O72" s="2">
        <f t="shared" si="71"/>
        <v>166.44</v>
      </c>
      <c r="P72" s="2">
        <f t="shared" si="72"/>
        <v>0</v>
      </c>
      <c r="Q72" s="2">
        <f t="shared" si="73"/>
        <v>0</v>
      </c>
      <c r="R72" s="2">
        <f t="shared" si="74"/>
        <v>0</v>
      </c>
      <c r="S72" s="2">
        <f t="shared" si="75"/>
        <v>166.44</v>
      </c>
      <c r="T72" s="2">
        <f t="shared" si="76"/>
        <v>0</v>
      </c>
      <c r="U72" s="2">
        <f t="shared" si="77"/>
        <v>22.04</v>
      </c>
      <c r="V72" s="2">
        <f t="shared" si="78"/>
        <v>0</v>
      </c>
      <c r="W72" s="2">
        <f t="shared" si="79"/>
        <v>0</v>
      </c>
      <c r="X72" s="2">
        <f t="shared" si="80"/>
        <v>149.8</v>
      </c>
      <c r="Y72" s="2">
        <f t="shared" si="81"/>
        <v>76.56</v>
      </c>
      <c r="Z72" s="2"/>
      <c r="AA72" s="2">
        <v>55454918</v>
      </c>
      <c r="AB72" s="2">
        <f t="shared" si="82"/>
        <v>4.38</v>
      </c>
      <c r="AC72" s="2">
        <f t="shared" si="70"/>
        <v>0</v>
      </c>
      <c r="AD72" s="2">
        <f>ROUND((((ET72)-(EU72))+AE72),2)</f>
        <v>0</v>
      </c>
      <c r="AE72" s="2">
        <f t="shared" si="112"/>
        <v>0</v>
      </c>
      <c r="AF72" s="2">
        <f t="shared" si="112"/>
        <v>4.38</v>
      </c>
      <c r="AG72" s="2">
        <f t="shared" si="85"/>
        <v>0</v>
      </c>
      <c r="AH72" s="2">
        <f t="shared" si="113"/>
        <v>0.58</v>
      </c>
      <c r="AI72" s="2">
        <f t="shared" si="113"/>
        <v>0</v>
      </c>
      <c r="AJ72" s="2">
        <f t="shared" si="87"/>
        <v>0</v>
      </c>
      <c r="AK72" s="2">
        <v>4.38</v>
      </c>
      <c r="AL72" s="2">
        <v>0</v>
      </c>
      <c r="AM72" s="2">
        <v>0</v>
      </c>
      <c r="AN72" s="2">
        <v>0</v>
      </c>
      <c r="AO72" s="2">
        <v>4.38</v>
      </c>
      <c r="AP72" s="2">
        <v>0</v>
      </c>
      <c r="AQ72" s="2">
        <v>0.58</v>
      </c>
      <c r="AR72" s="2">
        <v>0</v>
      </c>
      <c r="AS72" s="2">
        <v>0</v>
      </c>
      <c r="AT72" s="2">
        <v>90</v>
      </c>
      <c r="AU72" s="2">
        <v>46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125</v>
      </c>
      <c r="BK72" s="2"/>
      <c r="BL72" s="2"/>
      <c r="BM72" s="2">
        <v>62001</v>
      </c>
      <c r="BN72" s="2">
        <v>0</v>
      </c>
      <c r="BO72" s="2" t="s">
        <v>3</v>
      </c>
      <c r="BP72" s="2">
        <v>0</v>
      </c>
      <c r="BQ72" s="2">
        <v>6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90</v>
      </c>
      <c r="CA72" s="2">
        <v>46</v>
      </c>
      <c r="CB72" s="2" t="s">
        <v>3</v>
      </c>
      <c r="CC72" s="2"/>
      <c r="CD72" s="2"/>
      <c r="CE72" s="2">
        <v>0</v>
      </c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88"/>
        <v>166.44</v>
      </c>
      <c r="CQ72" s="2">
        <f t="shared" si="89"/>
        <v>0</v>
      </c>
      <c r="CR72" s="2">
        <f>(((ET72)*BB72-(EU72))+AE72)</f>
        <v>0</v>
      </c>
      <c r="CS72" s="2">
        <f t="shared" si="91"/>
        <v>0</v>
      </c>
      <c r="CT72" s="2">
        <f t="shared" si="92"/>
        <v>4.38</v>
      </c>
      <c r="CU72" s="2">
        <f t="shared" si="93"/>
        <v>0</v>
      </c>
      <c r="CV72" s="2">
        <f t="shared" si="94"/>
        <v>0.58</v>
      </c>
      <c r="CW72" s="2">
        <f t="shared" si="95"/>
        <v>0</v>
      </c>
      <c r="CX72" s="2">
        <f t="shared" si="96"/>
        <v>0</v>
      </c>
      <c r="CY72" s="2">
        <f t="shared" si="97"/>
        <v>149.796</v>
      </c>
      <c r="CZ72" s="2">
        <f t="shared" si="98"/>
        <v>76.5624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1005</v>
      </c>
      <c r="DV72" s="2" t="s">
        <v>106</v>
      </c>
      <c r="DW72" s="2" t="s">
        <v>106</v>
      </c>
      <c r="DX72" s="2">
        <v>1</v>
      </c>
      <c r="DY72" s="2"/>
      <c r="DZ72" s="2" t="s">
        <v>3</v>
      </c>
      <c r="EA72" s="2" t="s">
        <v>3</v>
      </c>
      <c r="EB72" s="2" t="s">
        <v>3</v>
      </c>
      <c r="EC72" s="2" t="s">
        <v>3</v>
      </c>
      <c r="ED72" s="2"/>
      <c r="EE72" s="2">
        <v>55471795</v>
      </c>
      <c r="EF72" s="2">
        <v>6</v>
      </c>
      <c r="EG72" s="2" t="s">
        <v>26</v>
      </c>
      <c r="EH72" s="2">
        <v>96</v>
      </c>
      <c r="EI72" s="2" t="s">
        <v>126</v>
      </c>
      <c r="EJ72" s="2">
        <v>1</v>
      </c>
      <c r="EK72" s="2">
        <v>62001</v>
      </c>
      <c r="EL72" s="2" t="s">
        <v>126</v>
      </c>
      <c r="EM72" s="2" t="s">
        <v>127</v>
      </c>
      <c r="EN72" s="2"/>
      <c r="EO72" s="2" t="s">
        <v>3</v>
      </c>
      <c r="EP72" s="2"/>
      <c r="EQ72" s="2">
        <v>0</v>
      </c>
      <c r="ER72" s="2">
        <v>4.38</v>
      </c>
      <c r="ES72" s="2">
        <v>0</v>
      </c>
      <c r="ET72" s="2">
        <v>0</v>
      </c>
      <c r="EU72" s="2">
        <v>0</v>
      </c>
      <c r="EV72" s="2">
        <v>4.38</v>
      </c>
      <c r="EW72" s="2">
        <v>0.58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99"/>
        <v>0</v>
      </c>
      <c r="FS72" s="2">
        <v>0</v>
      </c>
      <c r="FT72" s="2"/>
      <c r="FU72" s="2"/>
      <c r="FV72" s="2"/>
      <c r="FW72" s="2"/>
      <c r="FX72" s="2">
        <v>90</v>
      </c>
      <c r="FY72" s="2">
        <v>46</v>
      </c>
      <c r="FZ72" s="2"/>
      <c r="GA72" s="2" t="s">
        <v>3</v>
      </c>
      <c r="GB72" s="2"/>
      <c r="GC72" s="2"/>
      <c r="GD72" s="2">
        <v>1</v>
      </c>
      <c r="GE72" s="2"/>
      <c r="GF72" s="2">
        <v>-1813295300</v>
      </c>
      <c r="GG72" s="2">
        <v>2</v>
      </c>
      <c r="GH72" s="2">
        <v>1</v>
      </c>
      <c r="GI72" s="2">
        <v>-2</v>
      </c>
      <c r="GJ72" s="2">
        <v>0</v>
      </c>
      <c r="GK72" s="2">
        <v>0</v>
      </c>
      <c r="GL72" s="2">
        <f t="shared" si="100"/>
        <v>0</v>
      </c>
      <c r="GM72" s="2">
        <f t="shared" si="101"/>
        <v>392.8</v>
      </c>
      <c r="GN72" s="2">
        <f t="shared" si="102"/>
        <v>392.8</v>
      </c>
      <c r="GO72" s="2">
        <f t="shared" si="103"/>
        <v>0</v>
      </c>
      <c r="GP72" s="2">
        <f t="shared" si="104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105"/>
        <v>0</v>
      </c>
      <c r="GW72" s="2">
        <v>1</v>
      </c>
      <c r="GX72" s="2">
        <f t="shared" si="106"/>
        <v>0</v>
      </c>
      <c r="GY72" s="2"/>
      <c r="GZ72" s="2"/>
      <c r="HA72" s="2">
        <v>0</v>
      </c>
      <c r="HB72" s="2">
        <v>0</v>
      </c>
      <c r="HC72" s="2">
        <f t="shared" si="107"/>
        <v>0</v>
      </c>
      <c r="HD72" s="2"/>
      <c r="HE72" s="2" t="s">
        <v>3</v>
      </c>
      <c r="HF72" s="2" t="s">
        <v>3</v>
      </c>
      <c r="HG72" s="2"/>
      <c r="HH72" s="2"/>
      <c r="HI72" s="2">
        <f t="shared" si="108"/>
        <v>0</v>
      </c>
      <c r="HJ72" s="2">
        <f t="shared" si="109"/>
        <v>166.44</v>
      </c>
      <c r="HK72" s="2">
        <f t="shared" si="110"/>
        <v>149.8</v>
      </c>
      <c r="HL72" s="2">
        <f t="shared" si="111"/>
        <v>76.56</v>
      </c>
      <c r="HM72" s="2" t="s">
        <v>3</v>
      </c>
      <c r="HN72" s="2" t="s">
        <v>128</v>
      </c>
      <c r="HO72" s="2" t="s">
        <v>129</v>
      </c>
      <c r="HP72" s="2" t="s">
        <v>126</v>
      </c>
      <c r="HQ72" s="2" t="s">
        <v>126</v>
      </c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45" ht="12.75">
      <c r="A73">
        <v>17</v>
      </c>
      <c r="B73">
        <v>1</v>
      </c>
      <c r="C73">
        <f>ROW(SmtRes!A118)</f>
        <v>118</v>
      </c>
      <c r="D73">
        <f>ROW(EtalonRes!A118)</f>
        <v>118</v>
      </c>
      <c r="E73" t="s">
        <v>122</v>
      </c>
      <c r="F73" t="s">
        <v>123</v>
      </c>
      <c r="G73" t="s">
        <v>124</v>
      </c>
      <c r="H73" t="s">
        <v>106</v>
      </c>
      <c r="I73">
        <f>ROUND(ROUND(38,2),7)</f>
        <v>38</v>
      </c>
      <c r="J73">
        <v>0</v>
      </c>
      <c r="K73">
        <f>ROUND(ROUND(38,2),7)</f>
        <v>38</v>
      </c>
      <c r="O73">
        <f t="shared" si="71"/>
        <v>166.44</v>
      </c>
      <c r="P73">
        <f t="shared" si="72"/>
        <v>0</v>
      </c>
      <c r="Q73">
        <f t="shared" si="73"/>
        <v>0</v>
      </c>
      <c r="R73">
        <f t="shared" si="74"/>
        <v>0</v>
      </c>
      <c r="S73">
        <f t="shared" si="75"/>
        <v>166.44</v>
      </c>
      <c r="T73">
        <f t="shared" si="76"/>
        <v>0</v>
      </c>
      <c r="U73">
        <f t="shared" si="77"/>
        <v>22.04</v>
      </c>
      <c r="V73">
        <f t="shared" si="78"/>
        <v>0</v>
      </c>
      <c r="W73">
        <f t="shared" si="79"/>
        <v>0</v>
      </c>
      <c r="X73">
        <f t="shared" si="80"/>
        <v>149.8</v>
      </c>
      <c r="Y73">
        <f t="shared" si="81"/>
        <v>76.56</v>
      </c>
      <c r="AA73">
        <v>55454919</v>
      </c>
      <c r="AB73">
        <f t="shared" si="82"/>
        <v>4.38</v>
      </c>
      <c r="AC73">
        <f t="shared" si="70"/>
        <v>0</v>
      </c>
      <c r="AD73">
        <f>ROUND((((ET73)-(EU73))+AE73),2)</f>
        <v>0</v>
      </c>
      <c r="AE73">
        <f t="shared" si="112"/>
        <v>0</v>
      </c>
      <c r="AF73">
        <f t="shared" si="112"/>
        <v>4.38</v>
      </c>
      <c r="AG73">
        <f t="shared" si="85"/>
        <v>0</v>
      </c>
      <c r="AH73">
        <f t="shared" si="113"/>
        <v>0.58</v>
      </c>
      <c r="AI73">
        <f t="shared" si="113"/>
        <v>0</v>
      </c>
      <c r="AJ73">
        <f t="shared" si="87"/>
        <v>0</v>
      </c>
      <c r="AK73">
        <v>4.38</v>
      </c>
      <c r="AL73">
        <v>0</v>
      </c>
      <c r="AM73">
        <v>0</v>
      </c>
      <c r="AN73">
        <v>0</v>
      </c>
      <c r="AO73">
        <v>4.38</v>
      </c>
      <c r="AP73">
        <v>0</v>
      </c>
      <c r="AQ73">
        <v>0.58</v>
      </c>
      <c r="AR73">
        <v>0</v>
      </c>
      <c r="AS73">
        <v>0</v>
      </c>
      <c r="AT73">
        <v>90</v>
      </c>
      <c r="AU73">
        <v>46</v>
      </c>
      <c r="AV73">
        <v>1</v>
      </c>
      <c r="AW73">
        <v>1</v>
      </c>
      <c r="AZ73">
        <v>1</v>
      </c>
      <c r="BA73">
        <v>36.47</v>
      </c>
      <c r="BB73">
        <v>1</v>
      </c>
      <c r="BC73">
        <v>1</v>
      </c>
      <c r="BH73">
        <v>0</v>
      </c>
      <c r="BI73">
        <v>1</v>
      </c>
      <c r="BJ73" t="s">
        <v>125</v>
      </c>
      <c r="BM73">
        <v>62001</v>
      </c>
      <c r="BN73">
        <v>0</v>
      </c>
      <c r="BP73">
        <v>0</v>
      </c>
      <c r="BQ73">
        <v>6</v>
      </c>
      <c r="BR73">
        <v>0</v>
      </c>
      <c r="BS73">
        <v>36.47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90</v>
      </c>
      <c r="CA73">
        <v>46</v>
      </c>
      <c r="CE73">
        <v>0</v>
      </c>
      <c r="CF73">
        <v>0</v>
      </c>
      <c r="CG73">
        <v>0</v>
      </c>
      <c r="CM73">
        <v>0</v>
      </c>
      <c r="CO73">
        <v>0</v>
      </c>
      <c r="CP73">
        <f t="shared" si="88"/>
        <v>166.44</v>
      </c>
      <c r="CQ73">
        <f t="shared" si="89"/>
        <v>0</v>
      </c>
      <c r="CR73">
        <f>(((ET73)*BB73-(EU73))+AE73)</f>
        <v>0</v>
      </c>
      <c r="CS73">
        <f t="shared" si="91"/>
        <v>0</v>
      </c>
      <c r="CT73">
        <f t="shared" si="92"/>
        <v>4.38</v>
      </c>
      <c r="CU73">
        <f t="shared" si="93"/>
        <v>0</v>
      </c>
      <c r="CV73">
        <f t="shared" si="94"/>
        <v>0.58</v>
      </c>
      <c r="CW73">
        <f t="shared" si="95"/>
        <v>0</v>
      </c>
      <c r="CX73">
        <f t="shared" si="96"/>
        <v>0</v>
      </c>
      <c r="CY73">
        <f t="shared" si="97"/>
        <v>149.796</v>
      </c>
      <c r="CZ73">
        <f t="shared" si="98"/>
        <v>76.5624</v>
      </c>
      <c r="DN73">
        <v>0</v>
      </c>
      <c r="DO73">
        <v>0</v>
      </c>
      <c r="DP73">
        <v>1</v>
      </c>
      <c r="DQ73">
        <v>1</v>
      </c>
      <c r="DU73">
        <v>1005</v>
      </c>
      <c r="DV73" t="s">
        <v>106</v>
      </c>
      <c r="DW73" t="s">
        <v>106</v>
      </c>
      <c r="DX73">
        <v>1</v>
      </c>
      <c r="EE73">
        <v>55471795</v>
      </c>
      <c r="EF73">
        <v>6</v>
      </c>
      <c r="EG73" t="s">
        <v>26</v>
      </c>
      <c r="EH73">
        <v>96</v>
      </c>
      <c r="EI73" t="s">
        <v>126</v>
      </c>
      <c r="EJ73">
        <v>1</v>
      </c>
      <c r="EK73">
        <v>62001</v>
      </c>
      <c r="EL73" t="s">
        <v>126</v>
      </c>
      <c r="EM73" t="s">
        <v>127</v>
      </c>
      <c r="EQ73">
        <v>0</v>
      </c>
      <c r="ER73">
        <v>4.38</v>
      </c>
      <c r="ES73">
        <v>0</v>
      </c>
      <c r="ET73">
        <v>0</v>
      </c>
      <c r="EU73">
        <v>0</v>
      </c>
      <c r="EV73">
        <v>4.38</v>
      </c>
      <c r="EW73">
        <v>0.58</v>
      </c>
      <c r="EX73">
        <v>0</v>
      </c>
      <c r="EY73">
        <v>0</v>
      </c>
      <c r="FQ73">
        <v>0</v>
      </c>
      <c r="FR73">
        <f t="shared" si="99"/>
        <v>0</v>
      </c>
      <c r="FS73">
        <v>0</v>
      </c>
      <c r="FX73">
        <v>90</v>
      </c>
      <c r="FY73">
        <v>46</v>
      </c>
      <c r="GD73">
        <v>1</v>
      </c>
      <c r="GF73">
        <v>-1813295300</v>
      </c>
      <c r="GG73">
        <v>2</v>
      </c>
      <c r="GH73">
        <v>1</v>
      </c>
      <c r="GI73">
        <v>4</v>
      </c>
      <c r="GJ73">
        <v>0</v>
      </c>
      <c r="GK73">
        <v>0</v>
      </c>
      <c r="GL73">
        <f t="shared" si="100"/>
        <v>0</v>
      </c>
      <c r="GM73">
        <f t="shared" si="101"/>
        <v>392.8</v>
      </c>
      <c r="GN73">
        <f t="shared" si="102"/>
        <v>392.8</v>
      </c>
      <c r="GO73">
        <f t="shared" si="103"/>
        <v>0</v>
      </c>
      <c r="GP73">
        <f t="shared" si="104"/>
        <v>0</v>
      </c>
      <c r="GR73">
        <v>0</v>
      </c>
      <c r="GS73">
        <v>0</v>
      </c>
      <c r="GT73">
        <v>0</v>
      </c>
      <c r="GV73">
        <f t="shared" si="105"/>
        <v>0</v>
      </c>
      <c r="GW73">
        <v>1</v>
      </c>
      <c r="GX73">
        <f t="shared" si="106"/>
        <v>0</v>
      </c>
      <c r="HA73">
        <v>0</v>
      </c>
      <c r="HB73">
        <v>0</v>
      </c>
      <c r="HC73">
        <f t="shared" si="107"/>
        <v>0</v>
      </c>
      <c r="HI73">
        <f t="shared" si="108"/>
        <v>0</v>
      </c>
      <c r="HJ73">
        <f t="shared" si="109"/>
        <v>6070.07</v>
      </c>
      <c r="HK73">
        <f t="shared" si="110"/>
        <v>5463.06</v>
      </c>
      <c r="HL73">
        <f t="shared" si="111"/>
        <v>2792.23</v>
      </c>
      <c r="HN73" t="s">
        <v>128</v>
      </c>
      <c r="HO73" t="s">
        <v>129</v>
      </c>
      <c r="HP73" t="s">
        <v>126</v>
      </c>
      <c r="HQ73" t="s">
        <v>126</v>
      </c>
      <c r="IK73">
        <v>0</v>
      </c>
    </row>
    <row r="74" spans="1:255" ht="12.75">
      <c r="A74" s="2">
        <v>17</v>
      </c>
      <c r="B74" s="2">
        <v>1</v>
      </c>
      <c r="C74" s="2">
        <f>ROW(SmtRes!A124)</f>
        <v>124</v>
      </c>
      <c r="D74" s="2">
        <f>ROW(EtalonRes!A124)</f>
        <v>124</v>
      </c>
      <c r="E74" s="2" t="s">
        <v>130</v>
      </c>
      <c r="F74" s="2" t="s">
        <v>131</v>
      </c>
      <c r="G74" s="2" t="s">
        <v>132</v>
      </c>
      <c r="H74" s="2" t="s">
        <v>38</v>
      </c>
      <c r="I74" s="2">
        <f>ROUND(ROUND(38/100,2),7)</f>
        <v>0.38</v>
      </c>
      <c r="J74" s="2">
        <v>0</v>
      </c>
      <c r="K74" s="2">
        <f>ROUND(ROUND(38/100,2),7)</f>
        <v>0.38</v>
      </c>
      <c r="L74" s="2"/>
      <c r="M74" s="2"/>
      <c r="N74" s="2"/>
      <c r="O74" s="2">
        <f t="shared" si="71"/>
        <v>69.52</v>
      </c>
      <c r="P74" s="2">
        <f t="shared" si="72"/>
        <v>0.14</v>
      </c>
      <c r="Q74" s="2">
        <f t="shared" si="73"/>
        <v>0.77</v>
      </c>
      <c r="R74" s="2">
        <f t="shared" si="74"/>
        <v>0.17</v>
      </c>
      <c r="S74" s="2">
        <f t="shared" si="75"/>
        <v>68.61</v>
      </c>
      <c r="T74" s="2">
        <f t="shared" si="76"/>
        <v>0</v>
      </c>
      <c r="U74" s="2">
        <f t="shared" si="77"/>
        <v>7.131839999999999</v>
      </c>
      <c r="V74" s="2">
        <f t="shared" si="78"/>
        <v>0.014249999999999999</v>
      </c>
      <c r="W74" s="2">
        <f t="shared" si="79"/>
        <v>0</v>
      </c>
      <c r="X74" s="2">
        <f t="shared" si="80"/>
        <v>61.9</v>
      </c>
      <c r="Y74" s="2">
        <f t="shared" si="81"/>
        <v>28.65</v>
      </c>
      <c r="Z74" s="2"/>
      <c r="AA74" s="2">
        <v>55454918</v>
      </c>
      <c r="AB74" s="2">
        <f t="shared" si="82"/>
        <v>182.93</v>
      </c>
      <c r="AC74" s="2">
        <f t="shared" si="70"/>
        <v>0.36</v>
      </c>
      <c r="AD74" s="2">
        <f>ROUND(((((ET74*ROUND(1.25,7)))-((EU74*ROUND(1.25,7))))+AE74),2)</f>
        <v>2.02</v>
      </c>
      <c r="AE74" s="2">
        <f>ROUND(((EU74*ROUND(1.25,7))),2)</f>
        <v>0.46</v>
      </c>
      <c r="AF74" s="2">
        <f>ROUND(((EV74*ROUND(1.15,7))),2)</f>
        <v>180.55</v>
      </c>
      <c r="AG74" s="2">
        <f t="shared" si="85"/>
        <v>0</v>
      </c>
      <c r="AH74" s="2">
        <f>((EW74*ROUND(1.15,7)))</f>
        <v>18.767999999999997</v>
      </c>
      <c r="AI74" s="2">
        <f>((EX74*ROUND(1.25,7)))</f>
        <v>0.0375</v>
      </c>
      <c r="AJ74" s="2">
        <f t="shared" si="87"/>
        <v>0</v>
      </c>
      <c r="AK74" s="2">
        <v>158.98</v>
      </c>
      <c r="AL74" s="2">
        <v>0.36</v>
      </c>
      <c r="AM74" s="2">
        <v>1.62</v>
      </c>
      <c r="AN74" s="2">
        <v>0.37</v>
      </c>
      <c r="AO74" s="2">
        <v>157</v>
      </c>
      <c r="AP74" s="2">
        <v>0</v>
      </c>
      <c r="AQ74" s="2">
        <v>16.32</v>
      </c>
      <c r="AR74" s="2">
        <v>0.03</v>
      </c>
      <c r="AS74" s="2">
        <v>0</v>
      </c>
      <c r="AT74" s="2">
        <v>90</v>
      </c>
      <c r="AU74" s="2">
        <v>41.65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133</v>
      </c>
      <c r="BK74" s="2"/>
      <c r="BL74" s="2"/>
      <c r="BM74" s="2">
        <v>15001</v>
      </c>
      <c r="BN74" s="2">
        <v>0</v>
      </c>
      <c r="BO74" s="2" t="s">
        <v>3</v>
      </c>
      <c r="BP74" s="2">
        <v>0</v>
      </c>
      <c r="BQ74" s="2">
        <v>2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100</v>
      </c>
      <c r="CA74" s="2">
        <v>49</v>
      </c>
      <c r="CB74" s="2" t="s">
        <v>3</v>
      </c>
      <c r="CC74" s="2"/>
      <c r="CD74" s="2"/>
      <c r="CE74" s="2">
        <v>0</v>
      </c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409</v>
      </c>
      <c r="CO74" s="2">
        <v>0</v>
      </c>
      <c r="CP74" s="2">
        <f t="shared" si="88"/>
        <v>69.52</v>
      </c>
      <c r="CQ74" s="2">
        <f t="shared" si="89"/>
        <v>0.36</v>
      </c>
      <c r="CR74" s="2">
        <f>((((ET74*ROUND(1.25,7)))*BB74-((EU74*ROUND(1.25,7))))+AE74)</f>
        <v>2.0225000000000004</v>
      </c>
      <c r="CS74" s="2">
        <f t="shared" si="91"/>
        <v>0.46</v>
      </c>
      <c r="CT74" s="2">
        <f t="shared" si="92"/>
        <v>180.55</v>
      </c>
      <c r="CU74" s="2">
        <f t="shared" si="93"/>
        <v>0</v>
      </c>
      <c r="CV74" s="2">
        <f t="shared" si="94"/>
        <v>18.767999999999997</v>
      </c>
      <c r="CW74" s="2">
        <f t="shared" si="95"/>
        <v>0.0375</v>
      </c>
      <c r="CX74" s="2">
        <f t="shared" si="96"/>
        <v>0</v>
      </c>
      <c r="CY74" s="2">
        <f t="shared" si="97"/>
        <v>61.902</v>
      </c>
      <c r="CZ74" s="2">
        <f t="shared" si="98"/>
        <v>28.64687</v>
      </c>
      <c r="DA74" s="2"/>
      <c r="DB74" s="2"/>
      <c r="DC74" s="2" t="s">
        <v>3</v>
      </c>
      <c r="DD74" s="2" t="s">
        <v>3</v>
      </c>
      <c r="DE74" s="2" t="s">
        <v>73</v>
      </c>
      <c r="DF74" s="2" t="s">
        <v>73</v>
      </c>
      <c r="DG74" s="2" t="s">
        <v>74</v>
      </c>
      <c r="DH74" s="2" t="s">
        <v>3</v>
      </c>
      <c r="DI74" s="2" t="s">
        <v>74</v>
      </c>
      <c r="DJ74" s="2" t="s">
        <v>73</v>
      </c>
      <c r="DK74" s="2" t="s">
        <v>3</v>
      </c>
      <c r="DL74" s="2" t="s">
        <v>75</v>
      </c>
      <c r="DM74" s="2" t="s">
        <v>76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1005</v>
      </c>
      <c r="DV74" s="2" t="s">
        <v>38</v>
      </c>
      <c r="DW74" s="2" t="s">
        <v>38</v>
      </c>
      <c r="DX74" s="2">
        <v>100</v>
      </c>
      <c r="DY74" s="2"/>
      <c r="DZ74" s="2" t="s">
        <v>3</v>
      </c>
      <c r="EA74" s="2" t="s">
        <v>3</v>
      </c>
      <c r="EB74" s="2" t="s">
        <v>3</v>
      </c>
      <c r="EC74" s="2" t="s">
        <v>3</v>
      </c>
      <c r="ED74" s="2"/>
      <c r="EE74" s="2">
        <v>55471694</v>
      </c>
      <c r="EF74" s="2">
        <v>2</v>
      </c>
      <c r="EG74" s="2" t="s">
        <v>43</v>
      </c>
      <c r="EH74" s="2">
        <v>15</v>
      </c>
      <c r="EI74" s="2" t="s">
        <v>134</v>
      </c>
      <c r="EJ74" s="2">
        <v>1</v>
      </c>
      <c r="EK74" s="2">
        <v>15001</v>
      </c>
      <c r="EL74" s="2" t="s">
        <v>134</v>
      </c>
      <c r="EM74" s="2" t="s">
        <v>135</v>
      </c>
      <c r="EN74" s="2"/>
      <c r="EO74" s="2" t="s">
        <v>77</v>
      </c>
      <c r="EP74" s="2"/>
      <c r="EQ74" s="2">
        <v>0</v>
      </c>
      <c r="ER74" s="2">
        <v>158.98</v>
      </c>
      <c r="ES74" s="2">
        <v>0.36</v>
      </c>
      <c r="ET74" s="2">
        <v>1.62</v>
      </c>
      <c r="EU74" s="2">
        <v>0.37</v>
      </c>
      <c r="EV74" s="2">
        <v>157</v>
      </c>
      <c r="EW74" s="2">
        <v>16.32</v>
      </c>
      <c r="EX74" s="2">
        <v>0.03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99"/>
        <v>0</v>
      </c>
      <c r="FS74" s="2">
        <v>0</v>
      </c>
      <c r="FT74" s="2"/>
      <c r="FU74" s="2"/>
      <c r="FV74" s="2"/>
      <c r="FW74" s="2"/>
      <c r="FX74" s="2">
        <v>90</v>
      </c>
      <c r="FY74" s="2">
        <v>41.65</v>
      </c>
      <c r="FZ74" s="2"/>
      <c r="GA74" s="2" t="s">
        <v>3</v>
      </c>
      <c r="GB74" s="2"/>
      <c r="GC74" s="2"/>
      <c r="GD74" s="2">
        <v>1</v>
      </c>
      <c r="GE74" s="2"/>
      <c r="GF74" s="2">
        <v>-534614225</v>
      </c>
      <c r="GG74" s="2">
        <v>2</v>
      </c>
      <c r="GH74" s="2">
        <v>1</v>
      </c>
      <c r="GI74" s="2">
        <v>-2</v>
      </c>
      <c r="GJ74" s="2">
        <v>0</v>
      </c>
      <c r="GK74" s="2">
        <v>0</v>
      </c>
      <c r="GL74" s="2">
        <f t="shared" si="100"/>
        <v>0</v>
      </c>
      <c r="GM74" s="2">
        <f t="shared" si="101"/>
        <v>160.07</v>
      </c>
      <c r="GN74" s="2">
        <f t="shared" si="102"/>
        <v>160.07</v>
      </c>
      <c r="GO74" s="2">
        <f t="shared" si="103"/>
        <v>0</v>
      </c>
      <c r="GP74" s="2">
        <f t="shared" si="104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105"/>
        <v>0</v>
      </c>
      <c r="GW74" s="2">
        <v>1</v>
      </c>
      <c r="GX74" s="2">
        <f t="shared" si="106"/>
        <v>0</v>
      </c>
      <c r="GY74" s="2"/>
      <c r="GZ74" s="2"/>
      <c r="HA74" s="2">
        <v>0</v>
      </c>
      <c r="HB74" s="2">
        <v>0</v>
      </c>
      <c r="HC74" s="2">
        <f t="shared" si="107"/>
        <v>0</v>
      </c>
      <c r="HD74" s="2"/>
      <c r="HE74" s="2" t="s">
        <v>3</v>
      </c>
      <c r="HF74" s="2" t="s">
        <v>3</v>
      </c>
      <c r="HG74" s="2"/>
      <c r="HH74" s="2"/>
      <c r="HI74" s="2">
        <f t="shared" si="108"/>
        <v>0.17</v>
      </c>
      <c r="HJ74" s="2">
        <f t="shared" si="109"/>
        <v>68.61</v>
      </c>
      <c r="HK74" s="2">
        <f t="shared" si="110"/>
        <v>61.9</v>
      </c>
      <c r="HL74" s="2">
        <f t="shared" si="111"/>
        <v>28.65</v>
      </c>
      <c r="HM74" s="2" t="s">
        <v>3</v>
      </c>
      <c r="HN74" s="2" t="s">
        <v>136</v>
      </c>
      <c r="HO74" s="2" t="s">
        <v>137</v>
      </c>
      <c r="HP74" s="2" t="s">
        <v>134</v>
      </c>
      <c r="HQ74" s="2" t="s">
        <v>134</v>
      </c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45" ht="12.75">
      <c r="A75">
        <v>17</v>
      </c>
      <c r="B75">
        <v>1</v>
      </c>
      <c r="C75">
        <f>ROW(SmtRes!A130)</f>
        <v>130</v>
      </c>
      <c r="D75">
        <f>ROW(EtalonRes!A130)</f>
        <v>130</v>
      </c>
      <c r="E75" t="s">
        <v>130</v>
      </c>
      <c r="F75" t="s">
        <v>131</v>
      </c>
      <c r="G75" t="s">
        <v>132</v>
      </c>
      <c r="H75" t="s">
        <v>38</v>
      </c>
      <c r="I75">
        <f>ROUND(ROUND(38/100,2),7)</f>
        <v>0.38</v>
      </c>
      <c r="J75">
        <v>0</v>
      </c>
      <c r="K75">
        <f>ROUND(ROUND(38/100,2),7)</f>
        <v>0.38</v>
      </c>
      <c r="O75">
        <f t="shared" si="71"/>
        <v>69.52</v>
      </c>
      <c r="P75">
        <f t="shared" si="72"/>
        <v>0.14</v>
      </c>
      <c r="Q75">
        <f t="shared" si="73"/>
        <v>0.77</v>
      </c>
      <c r="R75">
        <f t="shared" si="74"/>
        <v>0.17</v>
      </c>
      <c r="S75">
        <f t="shared" si="75"/>
        <v>68.61</v>
      </c>
      <c r="T75">
        <f t="shared" si="76"/>
        <v>0</v>
      </c>
      <c r="U75">
        <f t="shared" si="77"/>
        <v>7.131839999999999</v>
      </c>
      <c r="V75">
        <f t="shared" si="78"/>
        <v>0.014249999999999999</v>
      </c>
      <c r="W75">
        <f t="shared" si="79"/>
        <v>0</v>
      </c>
      <c r="X75">
        <f t="shared" si="80"/>
        <v>61.9</v>
      </c>
      <c r="Y75">
        <f t="shared" si="81"/>
        <v>28.65</v>
      </c>
      <c r="AA75">
        <v>55454919</v>
      </c>
      <c r="AB75">
        <f t="shared" si="82"/>
        <v>182.93</v>
      </c>
      <c r="AC75">
        <f t="shared" si="70"/>
        <v>0.36</v>
      </c>
      <c r="AD75">
        <f>ROUND(((((ET75*ROUND(1.25,7)))-((EU75*ROUND(1.25,7))))+AE75),2)</f>
        <v>2.02</v>
      </c>
      <c r="AE75">
        <f>ROUND(((EU75*ROUND(1.25,7))),2)</f>
        <v>0.46</v>
      </c>
      <c r="AF75">
        <f>ROUND(((EV75*ROUND(1.15,7))),2)</f>
        <v>180.55</v>
      </c>
      <c r="AG75">
        <f t="shared" si="85"/>
        <v>0</v>
      </c>
      <c r="AH75">
        <f>((EW75*ROUND(1.15,7)))</f>
        <v>18.767999999999997</v>
      </c>
      <c r="AI75">
        <f>((EX75*ROUND(1.25,7)))</f>
        <v>0.0375</v>
      </c>
      <c r="AJ75">
        <f t="shared" si="87"/>
        <v>0</v>
      </c>
      <c r="AK75">
        <v>158.98</v>
      </c>
      <c r="AL75">
        <v>0.36</v>
      </c>
      <c r="AM75">
        <v>1.62</v>
      </c>
      <c r="AN75">
        <v>0.37</v>
      </c>
      <c r="AO75">
        <v>157</v>
      </c>
      <c r="AP75">
        <v>0</v>
      </c>
      <c r="AQ75">
        <v>16.32</v>
      </c>
      <c r="AR75">
        <v>0.03</v>
      </c>
      <c r="AS75">
        <v>0</v>
      </c>
      <c r="AT75">
        <v>90</v>
      </c>
      <c r="AU75">
        <v>41.65</v>
      </c>
      <c r="AV75">
        <v>1</v>
      </c>
      <c r="AW75">
        <v>1</v>
      </c>
      <c r="AZ75">
        <v>1</v>
      </c>
      <c r="BA75">
        <v>36.47</v>
      </c>
      <c r="BB75">
        <v>1</v>
      </c>
      <c r="BC75">
        <v>1</v>
      </c>
      <c r="BH75">
        <v>0</v>
      </c>
      <c r="BI75">
        <v>1</v>
      </c>
      <c r="BJ75" t="s">
        <v>133</v>
      </c>
      <c r="BM75">
        <v>15001</v>
      </c>
      <c r="BN75">
        <v>0</v>
      </c>
      <c r="BP75">
        <v>0</v>
      </c>
      <c r="BQ75">
        <v>2</v>
      </c>
      <c r="BR75">
        <v>0</v>
      </c>
      <c r="BS75">
        <v>36.47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100</v>
      </c>
      <c r="CA75">
        <v>49</v>
      </c>
      <c r="CE75">
        <v>0</v>
      </c>
      <c r="CF75">
        <v>0</v>
      </c>
      <c r="CG75">
        <v>0</v>
      </c>
      <c r="CM75">
        <v>0</v>
      </c>
      <c r="CN75" t="s">
        <v>409</v>
      </c>
      <c r="CO75">
        <v>0</v>
      </c>
      <c r="CP75">
        <f t="shared" si="88"/>
        <v>69.52</v>
      </c>
      <c r="CQ75">
        <f t="shared" si="89"/>
        <v>0.36</v>
      </c>
      <c r="CR75">
        <f>((((ET75*ROUND(1.25,7)))*BB75-((EU75*ROUND(1.25,7))))+AE75)</f>
        <v>2.0225000000000004</v>
      </c>
      <c r="CS75">
        <f t="shared" si="91"/>
        <v>0.46</v>
      </c>
      <c r="CT75">
        <f t="shared" si="92"/>
        <v>180.55</v>
      </c>
      <c r="CU75">
        <f t="shared" si="93"/>
        <v>0</v>
      </c>
      <c r="CV75">
        <f t="shared" si="94"/>
        <v>18.767999999999997</v>
      </c>
      <c r="CW75">
        <f t="shared" si="95"/>
        <v>0.0375</v>
      </c>
      <c r="CX75">
        <f t="shared" si="96"/>
        <v>0</v>
      </c>
      <c r="CY75">
        <f t="shared" si="97"/>
        <v>61.902</v>
      </c>
      <c r="CZ75">
        <f t="shared" si="98"/>
        <v>28.64687</v>
      </c>
      <c r="DE75" t="s">
        <v>73</v>
      </c>
      <c r="DF75" t="s">
        <v>73</v>
      </c>
      <c r="DG75" t="s">
        <v>74</v>
      </c>
      <c r="DI75" t="s">
        <v>74</v>
      </c>
      <c r="DJ75" t="s">
        <v>73</v>
      </c>
      <c r="DL75" t="s">
        <v>75</v>
      </c>
      <c r="DM75" t="s">
        <v>76</v>
      </c>
      <c r="DN75">
        <v>0</v>
      </c>
      <c r="DO75">
        <v>0</v>
      </c>
      <c r="DP75">
        <v>1</v>
      </c>
      <c r="DQ75">
        <v>1</v>
      </c>
      <c r="DU75">
        <v>1005</v>
      </c>
      <c r="DV75" t="s">
        <v>38</v>
      </c>
      <c r="DW75" t="s">
        <v>38</v>
      </c>
      <c r="DX75">
        <v>100</v>
      </c>
      <c r="EE75">
        <v>55471694</v>
      </c>
      <c r="EF75">
        <v>2</v>
      </c>
      <c r="EG75" t="s">
        <v>43</v>
      </c>
      <c r="EH75">
        <v>15</v>
      </c>
      <c r="EI75" t="s">
        <v>134</v>
      </c>
      <c r="EJ75">
        <v>1</v>
      </c>
      <c r="EK75">
        <v>15001</v>
      </c>
      <c r="EL75" t="s">
        <v>134</v>
      </c>
      <c r="EM75" t="s">
        <v>135</v>
      </c>
      <c r="EO75" t="s">
        <v>77</v>
      </c>
      <c r="EQ75">
        <v>0</v>
      </c>
      <c r="ER75">
        <v>158.98</v>
      </c>
      <c r="ES75">
        <v>0.36</v>
      </c>
      <c r="ET75">
        <v>1.62</v>
      </c>
      <c r="EU75">
        <v>0.37</v>
      </c>
      <c r="EV75">
        <v>157</v>
      </c>
      <c r="EW75">
        <v>16.32</v>
      </c>
      <c r="EX75">
        <v>0.03</v>
      </c>
      <c r="EY75">
        <v>0</v>
      </c>
      <c r="FQ75">
        <v>0</v>
      </c>
      <c r="FR75">
        <f t="shared" si="99"/>
        <v>0</v>
      </c>
      <c r="FS75">
        <v>0</v>
      </c>
      <c r="FX75">
        <v>90</v>
      </c>
      <c r="FY75">
        <v>41.65</v>
      </c>
      <c r="GD75">
        <v>1</v>
      </c>
      <c r="GF75">
        <v>-534614225</v>
      </c>
      <c r="GG75">
        <v>2</v>
      </c>
      <c r="GH75">
        <v>1</v>
      </c>
      <c r="GI75">
        <v>4</v>
      </c>
      <c r="GJ75">
        <v>0</v>
      </c>
      <c r="GK75">
        <v>0</v>
      </c>
      <c r="GL75">
        <f t="shared" si="100"/>
        <v>0</v>
      </c>
      <c r="GM75">
        <f t="shared" si="101"/>
        <v>160.07</v>
      </c>
      <c r="GN75">
        <f t="shared" si="102"/>
        <v>160.07</v>
      </c>
      <c r="GO75">
        <f t="shared" si="103"/>
        <v>0</v>
      </c>
      <c r="GP75">
        <f t="shared" si="104"/>
        <v>0</v>
      </c>
      <c r="GR75">
        <v>0</v>
      </c>
      <c r="GS75">
        <v>0</v>
      </c>
      <c r="GT75">
        <v>0</v>
      </c>
      <c r="GV75">
        <f t="shared" si="105"/>
        <v>0</v>
      </c>
      <c r="GW75">
        <v>1</v>
      </c>
      <c r="GX75">
        <f t="shared" si="106"/>
        <v>0</v>
      </c>
      <c r="HA75">
        <v>0</v>
      </c>
      <c r="HB75">
        <v>0</v>
      </c>
      <c r="HC75">
        <f t="shared" si="107"/>
        <v>0</v>
      </c>
      <c r="HI75">
        <f t="shared" si="108"/>
        <v>6.2</v>
      </c>
      <c r="HJ75">
        <f t="shared" si="109"/>
        <v>2502.21</v>
      </c>
      <c r="HK75">
        <f t="shared" si="110"/>
        <v>2257.57</v>
      </c>
      <c r="HL75">
        <f t="shared" si="111"/>
        <v>1044.75</v>
      </c>
      <c r="HN75" t="s">
        <v>136</v>
      </c>
      <c r="HO75" t="s">
        <v>137</v>
      </c>
      <c r="HP75" t="s">
        <v>134</v>
      </c>
      <c r="HQ75" t="s">
        <v>134</v>
      </c>
      <c r="IK75">
        <v>0</v>
      </c>
    </row>
    <row r="76" spans="1:255" ht="12.75">
      <c r="A76" s="2">
        <v>18</v>
      </c>
      <c r="B76" s="2">
        <v>1</v>
      </c>
      <c r="C76" s="2">
        <v>124</v>
      </c>
      <c r="D76" s="2"/>
      <c r="E76" s="2" t="s">
        <v>138</v>
      </c>
      <c r="F76" s="2" t="s">
        <v>88</v>
      </c>
      <c r="G76" s="2" t="s">
        <v>89</v>
      </c>
      <c r="H76" s="2" t="s">
        <v>85</v>
      </c>
      <c r="I76" s="2">
        <f>I74*J76</f>
        <v>8.129776</v>
      </c>
      <c r="J76" s="2">
        <v>21.394147368421052</v>
      </c>
      <c r="K76" s="2">
        <v>21.394148</v>
      </c>
      <c r="L76" s="2"/>
      <c r="M76" s="2"/>
      <c r="N76" s="2"/>
      <c r="O76" s="2">
        <f t="shared" si="71"/>
        <v>106.34</v>
      </c>
      <c r="P76" s="2">
        <f t="shared" si="72"/>
        <v>106.34</v>
      </c>
      <c r="Q76" s="2">
        <f t="shared" si="73"/>
        <v>0</v>
      </c>
      <c r="R76" s="2">
        <f t="shared" si="74"/>
        <v>0</v>
      </c>
      <c r="S76" s="2">
        <f t="shared" si="75"/>
        <v>0</v>
      </c>
      <c r="T76" s="2">
        <f t="shared" si="76"/>
        <v>0</v>
      </c>
      <c r="U76" s="2">
        <f t="shared" si="77"/>
        <v>0</v>
      </c>
      <c r="V76" s="2">
        <f t="shared" si="78"/>
        <v>0</v>
      </c>
      <c r="W76" s="2">
        <f t="shared" si="79"/>
        <v>0</v>
      </c>
      <c r="X76" s="2">
        <f t="shared" si="80"/>
        <v>0</v>
      </c>
      <c r="Y76" s="2">
        <f t="shared" si="81"/>
        <v>0</v>
      </c>
      <c r="Z76" s="2"/>
      <c r="AA76" s="2">
        <v>55454918</v>
      </c>
      <c r="AB76" s="2">
        <f t="shared" si="82"/>
        <v>13.08</v>
      </c>
      <c r="AC76" s="2">
        <f t="shared" si="70"/>
        <v>13.08</v>
      </c>
      <c r="AD76" s="2">
        <f>ROUND((((ET76)-(EU76))+AE76),2)</f>
        <v>0</v>
      </c>
      <c r="AE76" s="2">
        <f>ROUND((EU76),2)</f>
        <v>0</v>
      </c>
      <c r="AF76" s="2">
        <f>ROUND((EV76),2)</f>
        <v>0</v>
      </c>
      <c r="AG76" s="2">
        <f t="shared" si="85"/>
        <v>0</v>
      </c>
      <c r="AH76" s="2">
        <f>(EW76)</f>
        <v>0</v>
      </c>
      <c r="AI76" s="2">
        <f>(EX76)</f>
        <v>0</v>
      </c>
      <c r="AJ76" s="2">
        <f t="shared" si="87"/>
        <v>0</v>
      </c>
      <c r="AK76" s="2">
        <v>13.08</v>
      </c>
      <c r="AL76" s="2">
        <v>13.08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100</v>
      </c>
      <c r="AU76" s="2">
        <v>49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90</v>
      </c>
      <c r="BK76" s="2"/>
      <c r="BL76" s="2"/>
      <c r="BM76" s="2">
        <v>15001</v>
      </c>
      <c r="BN76" s="2">
        <v>0</v>
      </c>
      <c r="BO76" s="2" t="s">
        <v>3</v>
      </c>
      <c r="BP76" s="2">
        <v>0</v>
      </c>
      <c r="BQ76" s="2">
        <v>2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100</v>
      </c>
      <c r="CA76" s="2">
        <v>49</v>
      </c>
      <c r="CB76" s="2" t="s">
        <v>3</v>
      </c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88"/>
        <v>106.34</v>
      </c>
      <c r="CQ76" s="2">
        <f t="shared" si="89"/>
        <v>13.08</v>
      </c>
      <c r="CR76" s="2">
        <f>(((ET76)*BB76-(EU76))+AE76)</f>
        <v>0</v>
      </c>
      <c r="CS76" s="2">
        <f t="shared" si="91"/>
        <v>0</v>
      </c>
      <c r="CT76" s="2">
        <f t="shared" si="92"/>
        <v>0</v>
      </c>
      <c r="CU76" s="2">
        <f t="shared" si="93"/>
        <v>0</v>
      </c>
      <c r="CV76" s="2">
        <f t="shared" si="94"/>
        <v>0</v>
      </c>
      <c r="CW76" s="2">
        <f t="shared" si="95"/>
        <v>0</v>
      </c>
      <c r="CX76" s="2">
        <f t="shared" si="96"/>
        <v>0</v>
      </c>
      <c r="CY76" s="2">
        <f t="shared" si="97"/>
        <v>0</v>
      </c>
      <c r="CZ76" s="2">
        <f t="shared" si="98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85</v>
      </c>
      <c r="DW76" s="2" t="s">
        <v>85</v>
      </c>
      <c r="DX76" s="2">
        <v>1</v>
      </c>
      <c r="DY76" s="2"/>
      <c r="DZ76" s="2" t="s">
        <v>3</v>
      </c>
      <c r="EA76" s="2" t="s">
        <v>3</v>
      </c>
      <c r="EB76" s="2" t="s">
        <v>3</v>
      </c>
      <c r="EC76" s="2" t="s">
        <v>3</v>
      </c>
      <c r="ED76" s="2"/>
      <c r="EE76" s="2">
        <v>55471694</v>
      </c>
      <c r="EF76" s="2">
        <v>2</v>
      </c>
      <c r="EG76" s="2" t="s">
        <v>43</v>
      </c>
      <c r="EH76" s="2">
        <v>15</v>
      </c>
      <c r="EI76" s="2" t="s">
        <v>134</v>
      </c>
      <c r="EJ76" s="2">
        <v>1</v>
      </c>
      <c r="EK76" s="2">
        <v>15001</v>
      </c>
      <c r="EL76" s="2" t="s">
        <v>134</v>
      </c>
      <c r="EM76" s="2" t="s">
        <v>135</v>
      </c>
      <c r="EN76" s="2"/>
      <c r="EO76" s="2" t="s">
        <v>3</v>
      </c>
      <c r="EP76" s="2"/>
      <c r="EQ76" s="2">
        <v>0</v>
      </c>
      <c r="ER76" s="2">
        <v>13.08</v>
      </c>
      <c r="ES76" s="2">
        <v>13.08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99"/>
        <v>0</v>
      </c>
      <c r="FS76" s="2">
        <v>0</v>
      </c>
      <c r="FT76" s="2"/>
      <c r="FU76" s="2"/>
      <c r="FV76" s="2"/>
      <c r="FW76" s="2"/>
      <c r="FX76" s="2">
        <v>100</v>
      </c>
      <c r="FY76" s="2">
        <v>49</v>
      </c>
      <c r="FZ76" s="2"/>
      <c r="GA76" s="2" t="s">
        <v>3</v>
      </c>
      <c r="GB76" s="2"/>
      <c r="GC76" s="2"/>
      <c r="GD76" s="2">
        <v>1</v>
      </c>
      <c r="GE76" s="2"/>
      <c r="GF76" s="2">
        <v>-1209026283</v>
      </c>
      <c r="GG76" s="2">
        <v>2</v>
      </c>
      <c r="GH76" s="2">
        <v>1</v>
      </c>
      <c r="GI76" s="2">
        <v>-2</v>
      </c>
      <c r="GJ76" s="2">
        <v>0</v>
      </c>
      <c r="GK76" s="2">
        <v>0</v>
      </c>
      <c r="GL76" s="2">
        <f t="shared" si="100"/>
        <v>0</v>
      </c>
      <c r="GM76" s="2">
        <f t="shared" si="101"/>
        <v>106.34</v>
      </c>
      <c r="GN76" s="2">
        <f t="shared" si="102"/>
        <v>106.34</v>
      </c>
      <c r="GO76" s="2">
        <f t="shared" si="103"/>
        <v>0</v>
      </c>
      <c r="GP76" s="2">
        <f t="shared" si="104"/>
        <v>0</v>
      </c>
      <c r="GQ76" s="2"/>
      <c r="GR76" s="2">
        <v>0</v>
      </c>
      <c r="GS76" s="2">
        <v>0</v>
      </c>
      <c r="GT76" s="2">
        <v>0</v>
      </c>
      <c r="GU76" s="2" t="s">
        <v>3</v>
      </c>
      <c r="GV76" s="2">
        <f t="shared" si="105"/>
        <v>0</v>
      </c>
      <c r="GW76" s="2">
        <v>1</v>
      </c>
      <c r="GX76" s="2">
        <f t="shared" si="106"/>
        <v>0</v>
      </c>
      <c r="GY76" s="2"/>
      <c r="GZ76" s="2"/>
      <c r="HA76" s="2">
        <v>0</v>
      </c>
      <c r="HB76" s="2">
        <v>0</v>
      </c>
      <c r="HC76" s="2">
        <f t="shared" si="107"/>
        <v>0</v>
      </c>
      <c r="HD76" s="2"/>
      <c r="HE76" s="2" t="s">
        <v>3</v>
      </c>
      <c r="HF76" s="2" t="s">
        <v>3</v>
      </c>
      <c r="HG76" s="2"/>
      <c r="HH76" s="2"/>
      <c r="HI76" s="2">
        <f t="shared" si="108"/>
        <v>0</v>
      </c>
      <c r="HJ76" s="2">
        <f t="shared" si="109"/>
        <v>0</v>
      </c>
      <c r="HK76" s="2">
        <f t="shared" si="110"/>
        <v>0</v>
      </c>
      <c r="HL76" s="2">
        <f t="shared" si="111"/>
        <v>0</v>
      </c>
      <c r="HM76" s="2" t="s">
        <v>3</v>
      </c>
      <c r="HN76" s="2" t="s">
        <v>136</v>
      </c>
      <c r="HO76" s="2" t="s">
        <v>137</v>
      </c>
      <c r="HP76" s="2" t="s">
        <v>134</v>
      </c>
      <c r="HQ76" s="2" t="s">
        <v>134</v>
      </c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45" ht="12.75">
      <c r="A77">
        <v>18</v>
      </c>
      <c r="B77">
        <v>1</v>
      </c>
      <c r="C77">
        <v>130</v>
      </c>
      <c r="E77" t="s">
        <v>138</v>
      </c>
      <c r="F77" t="s">
        <v>88</v>
      </c>
      <c r="G77" t="s">
        <v>89</v>
      </c>
      <c r="H77" t="s">
        <v>85</v>
      </c>
      <c r="I77">
        <f>I75*J77</f>
        <v>8.129776</v>
      </c>
      <c r="J77">
        <v>21.394147368421052</v>
      </c>
      <c r="K77">
        <v>21.394148</v>
      </c>
      <c r="O77">
        <f t="shared" si="71"/>
        <v>106.34</v>
      </c>
      <c r="P77">
        <f t="shared" si="72"/>
        <v>106.34</v>
      </c>
      <c r="Q77">
        <f t="shared" si="73"/>
        <v>0</v>
      </c>
      <c r="R77">
        <f t="shared" si="74"/>
        <v>0</v>
      </c>
      <c r="S77">
        <f t="shared" si="75"/>
        <v>0</v>
      </c>
      <c r="T77">
        <f t="shared" si="76"/>
        <v>0</v>
      </c>
      <c r="U77">
        <f t="shared" si="77"/>
        <v>0</v>
      </c>
      <c r="V77">
        <f t="shared" si="78"/>
        <v>0</v>
      </c>
      <c r="W77">
        <f t="shared" si="79"/>
        <v>0</v>
      </c>
      <c r="X77">
        <f t="shared" si="80"/>
        <v>0</v>
      </c>
      <c r="Y77">
        <f t="shared" si="81"/>
        <v>0</v>
      </c>
      <c r="AA77">
        <v>55454919</v>
      </c>
      <c r="AB77">
        <f t="shared" si="82"/>
        <v>13.08</v>
      </c>
      <c r="AC77">
        <f t="shared" si="70"/>
        <v>13.08</v>
      </c>
      <c r="AD77">
        <f>ROUND((((ET77)-(EU77))+AE77),2)</f>
        <v>0</v>
      </c>
      <c r="AE77">
        <f>ROUND((EU77),2)</f>
        <v>0</v>
      </c>
      <c r="AF77">
        <f>ROUND((EV77),2)</f>
        <v>0</v>
      </c>
      <c r="AG77">
        <f t="shared" si="85"/>
        <v>0</v>
      </c>
      <c r="AH77">
        <f>(EW77)</f>
        <v>0</v>
      </c>
      <c r="AI77">
        <f>(EX77)</f>
        <v>0</v>
      </c>
      <c r="AJ77">
        <f t="shared" si="87"/>
        <v>0</v>
      </c>
      <c r="AK77">
        <v>13.08</v>
      </c>
      <c r="AL77">
        <v>13.08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100</v>
      </c>
      <c r="AU77">
        <v>49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1</v>
      </c>
      <c r="BH77">
        <v>3</v>
      </c>
      <c r="BI77">
        <v>1</v>
      </c>
      <c r="BJ77" t="s">
        <v>90</v>
      </c>
      <c r="BM77">
        <v>15001</v>
      </c>
      <c r="BN77">
        <v>0</v>
      </c>
      <c r="BP77">
        <v>0</v>
      </c>
      <c r="BQ77">
        <v>2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100</v>
      </c>
      <c r="CA77">
        <v>49</v>
      </c>
      <c r="CE77">
        <v>0</v>
      </c>
      <c r="CF77">
        <v>0</v>
      </c>
      <c r="CG77">
        <v>0</v>
      </c>
      <c r="CM77">
        <v>0</v>
      </c>
      <c r="CO77">
        <v>0</v>
      </c>
      <c r="CP77">
        <f t="shared" si="88"/>
        <v>106.34</v>
      </c>
      <c r="CQ77">
        <f t="shared" si="89"/>
        <v>13.08</v>
      </c>
      <c r="CR77">
        <f>(((ET77)*BB77-(EU77))+AE77)</f>
        <v>0</v>
      </c>
      <c r="CS77">
        <f t="shared" si="91"/>
        <v>0</v>
      </c>
      <c r="CT77">
        <f t="shared" si="92"/>
        <v>0</v>
      </c>
      <c r="CU77">
        <f t="shared" si="93"/>
        <v>0</v>
      </c>
      <c r="CV77">
        <f t="shared" si="94"/>
        <v>0</v>
      </c>
      <c r="CW77">
        <f t="shared" si="95"/>
        <v>0</v>
      </c>
      <c r="CX77">
        <f t="shared" si="96"/>
        <v>0</v>
      </c>
      <c r="CY77">
        <f t="shared" si="97"/>
        <v>0</v>
      </c>
      <c r="CZ77">
        <f t="shared" si="98"/>
        <v>0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85</v>
      </c>
      <c r="DW77" t="s">
        <v>85</v>
      </c>
      <c r="DX77">
        <v>1</v>
      </c>
      <c r="EE77">
        <v>55471694</v>
      </c>
      <c r="EF77">
        <v>2</v>
      </c>
      <c r="EG77" t="s">
        <v>43</v>
      </c>
      <c r="EH77">
        <v>15</v>
      </c>
      <c r="EI77" t="s">
        <v>134</v>
      </c>
      <c r="EJ77">
        <v>1</v>
      </c>
      <c r="EK77">
        <v>15001</v>
      </c>
      <c r="EL77" t="s">
        <v>134</v>
      </c>
      <c r="EM77" t="s">
        <v>135</v>
      </c>
      <c r="EQ77">
        <v>0</v>
      </c>
      <c r="ER77">
        <v>13.08</v>
      </c>
      <c r="ES77">
        <v>13.08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99"/>
        <v>0</v>
      </c>
      <c r="FS77">
        <v>0</v>
      </c>
      <c r="FX77">
        <v>100</v>
      </c>
      <c r="FY77">
        <v>49</v>
      </c>
      <c r="GD77">
        <v>1</v>
      </c>
      <c r="GF77">
        <v>-1209026283</v>
      </c>
      <c r="GG77">
        <v>2</v>
      </c>
      <c r="GH77">
        <v>1</v>
      </c>
      <c r="GI77">
        <v>4</v>
      </c>
      <c r="GJ77">
        <v>0</v>
      </c>
      <c r="GK77">
        <v>0</v>
      </c>
      <c r="GL77">
        <f t="shared" si="100"/>
        <v>0</v>
      </c>
      <c r="GM77">
        <f t="shared" si="101"/>
        <v>106.34</v>
      </c>
      <c r="GN77">
        <f t="shared" si="102"/>
        <v>106.34</v>
      </c>
      <c r="GO77">
        <f t="shared" si="103"/>
        <v>0</v>
      </c>
      <c r="GP77">
        <f t="shared" si="104"/>
        <v>0</v>
      </c>
      <c r="GR77">
        <v>0</v>
      </c>
      <c r="GS77">
        <v>0</v>
      </c>
      <c r="GT77">
        <v>0</v>
      </c>
      <c r="GV77">
        <f t="shared" si="105"/>
        <v>0</v>
      </c>
      <c r="GW77">
        <v>1</v>
      </c>
      <c r="GX77">
        <f t="shared" si="106"/>
        <v>0</v>
      </c>
      <c r="HA77">
        <v>0</v>
      </c>
      <c r="HB77">
        <v>0</v>
      </c>
      <c r="HC77">
        <f t="shared" si="107"/>
        <v>0</v>
      </c>
      <c r="HI77">
        <f t="shared" si="108"/>
        <v>0</v>
      </c>
      <c r="HJ77">
        <f t="shared" si="109"/>
        <v>0</v>
      </c>
      <c r="HK77">
        <f t="shared" si="110"/>
        <v>0</v>
      </c>
      <c r="HL77">
        <f t="shared" si="111"/>
        <v>0</v>
      </c>
      <c r="HN77" t="s">
        <v>136</v>
      </c>
      <c r="HO77" t="s">
        <v>137</v>
      </c>
      <c r="HP77" t="s">
        <v>134</v>
      </c>
      <c r="HQ77" t="s">
        <v>134</v>
      </c>
      <c r="IK77">
        <v>0</v>
      </c>
    </row>
    <row r="78" spans="1:255" ht="12.75">
      <c r="A78" s="2">
        <v>17</v>
      </c>
      <c r="B78" s="2">
        <v>1</v>
      </c>
      <c r="C78" s="2">
        <f>ROW(SmtRes!A133)</f>
        <v>133</v>
      </c>
      <c r="D78" s="2">
        <f>ROW(EtalonRes!A133)</f>
        <v>133</v>
      </c>
      <c r="E78" s="2" t="s">
        <v>139</v>
      </c>
      <c r="F78" s="2" t="s">
        <v>140</v>
      </c>
      <c r="G78" s="2" t="s">
        <v>141</v>
      </c>
      <c r="H78" s="2" t="s">
        <v>24</v>
      </c>
      <c r="I78" s="2">
        <f>ROUND(ROUND(19/100,2),7)</f>
        <v>0.19</v>
      </c>
      <c r="J78" s="2">
        <v>0</v>
      </c>
      <c r="K78" s="2">
        <f>ROUND(ROUND(19/100,2),7)</f>
        <v>0.19</v>
      </c>
      <c r="L78" s="2"/>
      <c r="M78" s="2"/>
      <c r="N78" s="2"/>
      <c r="O78" s="2">
        <f t="shared" si="71"/>
        <v>47.06</v>
      </c>
      <c r="P78" s="2">
        <f t="shared" si="72"/>
        <v>15.28</v>
      </c>
      <c r="Q78" s="2">
        <f t="shared" si="73"/>
        <v>0</v>
      </c>
      <c r="R78" s="2">
        <f t="shared" si="74"/>
        <v>0</v>
      </c>
      <c r="S78" s="2">
        <f t="shared" si="75"/>
        <v>31.78</v>
      </c>
      <c r="T78" s="2">
        <f t="shared" si="76"/>
        <v>0</v>
      </c>
      <c r="U78" s="2">
        <f t="shared" si="77"/>
        <v>3.63584</v>
      </c>
      <c r="V78" s="2">
        <f t="shared" si="78"/>
        <v>0</v>
      </c>
      <c r="W78" s="2">
        <f t="shared" si="79"/>
        <v>0</v>
      </c>
      <c r="X78" s="2">
        <f t="shared" si="80"/>
        <v>32.03</v>
      </c>
      <c r="Y78" s="2">
        <f t="shared" si="81"/>
        <v>17.56</v>
      </c>
      <c r="Z78" s="2"/>
      <c r="AA78" s="2">
        <v>55454918</v>
      </c>
      <c r="AB78" s="2">
        <f t="shared" si="82"/>
        <v>247.64</v>
      </c>
      <c r="AC78" s="2">
        <f t="shared" si="70"/>
        <v>80.4</v>
      </c>
      <c r="AD78" s="2">
        <f>ROUND(((((ET78*ROUND(1.25,7)))-((EU78*ROUND(1.25,7))))+AE78),2)</f>
        <v>0</v>
      </c>
      <c r="AE78" s="2">
        <f>ROUND(((EU78*ROUND(1.25,7))),2)</f>
        <v>0</v>
      </c>
      <c r="AF78" s="2">
        <f>ROUND(((EV78*ROUND(1.15,7))),2)</f>
        <v>167.24</v>
      </c>
      <c r="AG78" s="2">
        <f t="shared" si="85"/>
        <v>0</v>
      </c>
      <c r="AH78" s="2">
        <f>((EW78*ROUND(1.15,7)))</f>
        <v>19.136</v>
      </c>
      <c r="AI78" s="2">
        <f>((EX78*ROUND(1.25,7)))</f>
        <v>0</v>
      </c>
      <c r="AJ78" s="2">
        <f t="shared" si="87"/>
        <v>0</v>
      </c>
      <c r="AK78" s="2">
        <v>225.83</v>
      </c>
      <c r="AL78" s="2">
        <v>80.4</v>
      </c>
      <c r="AM78" s="2">
        <v>0</v>
      </c>
      <c r="AN78" s="2">
        <v>0</v>
      </c>
      <c r="AO78" s="2">
        <v>145.43</v>
      </c>
      <c r="AP78" s="2">
        <v>0</v>
      </c>
      <c r="AQ78" s="2">
        <v>16.64</v>
      </c>
      <c r="AR78" s="2">
        <v>0</v>
      </c>
      <c r="AS78" s="2">
        <v>0</v>
      </c>
      <c r="AT78" s="2">
        <v>100.8</v>
      </c>
      <c r="AU78" s="2">
        <v>55.25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142</v>
      </c>
      <c r="BK78" s="2"/>
      <c r="BL78" s="2"/>
      <c r="BM78" s="2">
        <v>11001</v>
      </c>
      <c r="BN78" s="2">
        <v>0</v>
      </c>
      <c r="BO78" s="2" t="s">
        <v>3</v>
      </c>
      <c r="BP78" s="2">
        <v>0</v>
      </c>
      <c r="BQ78" s="2">
        <v>2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112</v>
      </c>
      <c r="CA78" s="2">
        <v>65</v>
      </c>
      <c r="CB78" s="2" t="s">
        <v>3</v>
      </c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409</v>
      </c>
      <c r="CO78" s="2">
        <v>0</v>
      </c>
      <c r="CP78" s="2">
        <f t="shared" si="88"/>
        <v>47.06</v>
      </c>
      <c r="CQ78" s="2">
        <f t="shared" si="89"/>
        <v>80.4</v>
      </c>
      <c r="CR78" s="2">
        <f>((((ET78*ROUND(1.25,7)))*BB78-((EU78*ROUND(1.25,7))))+AE78)</f>
        <v>0</v>
      </c>
      <c r="CS78" s="2">
        <f t="shared" si="91"/>
        <v>0</v>
      </c>
      <c r="CT78" s="2">
        <f t="shared" si="92"/>
        <v>167.24</v>
      </c>
      <c r="CU78" s="2">
        <f t="shared" si="93"/>
        <v>0</v>
      </c>
      <c r="CV78" s="2">
        <f t="shared" si="94"/>
        <v>19.136</v>
      </c>
      <c r="CW78" s="2">
        <f t="shared" si="95"/>
        <v>0</v>
      </c>
      <c r="CX78" s="2">
        <f t="shared" si="96"/>
        <v>0</v>
      </c>
      <c r="CY78" s="2">
        <f t="shared" si="97"/>
        <v>32.03424</v>
      </c>
      <c r="CZ78" s="2">
        <f t="shared" si="98"/>
        <v>17.55845</v>
      </c>
      <c r="DA78" s="2"/>
      <c r="DB78" s="2"/>
      <c r="DC78" s="2" t="s">
        <v>3</v>
      </c>
      <c r="DD78" s="2" t="s">
        <v>3</v>
      </c>
      <c r="DE78" s="2" t="s">
        <v>73</v>
      </c>
      <c r="DF78" s="2" t="s">
        <v>73</v>
      </c>
      <c r="DG78" s="2" t="s">
        <v>74</v>
      </c>
      <c r="DH78" s="2" t="s">
        <v>3</v>
      </c>
      <c r="DI78" s="2" t="s">
        <v>74</v>
      </c>
      <c r="DJ78" s="2" t="s">
        <v>73</v>
      </c>
      <c r="DK78" s="2" t="s">
        <v>3</v>
      </c>
      <c r="DL78" s="2" t="s">
        <v>75</v>
      </c>
      <c r="DM78" s="2" t="s">
        <v>76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1003</v>
      </c>
      <c r="DV78" s="2" t="s">
        <v>24</v>
      </c>
      <c r="DW78" s="2" t="s">
        <v>24</v>
      </c>
      <c r="DX78" s="2">
        <v>100</v>
      </c>
      <c r="DY78" s="2"/>
      <c r="DZ78" s="2" t="s">
        <v>3</v>
      </c>
      <c r="EA78" s="2" t="s">
        <v>3</v>
      </c>
      <c r="EB78" s="2" t="s">
        <v>3</v>
      </c>
      <c r="EC78" s="2" t="s">
        <v>3</v>
      </c>
      <c r="ED78" s="2"/>
      <c r="EE78" s="2">
        <v>55471663</v>
      </c>
      <c r="EF78" s="2">
        <v>2</v>
      </c>
      <c r="EG78" s="2" t="s">
        <v>43</v>
      </c>
      <c r="EH78" s="2">
        <v>11</v>
      </c>
      <c r="EI78" s="2" t="s">
        <v>27</v>
      </c>
      <c r="EJ78" s="2">
        <v>1</v>
      </c>
      <c r="EK78" s="2">
        <v>11001</v>
      </c>
      <c r="EL78" s="2" t="s">
        <v>27</v>
      </c>
      <c r="EM78" s="2" t="s">
        <v>44</v>
      </c>
      <c r="EN78" s="2"/>
      <c r="EO78" s="2" t="s">
        <v>77</v>
      </c>
      <c r="EP78" s="2"/>
      <c r="EQ78" s="2">
        <v>0</v>
      </c>
      <c r="ER78" s="2">
        <v>225.83</v>
      </c>
      <c r="ES78" s="2">
        <v>80.4</v>
      </c>
      <c r="ET78" s="2">
        <v>0</v>
      </c>
      <c r="EU78" s="2">
        <v>0</v>
      </c>
      <c r="EV78" s="2">
        <v>145.43</v>
      </c>
      <c r="EW78" s="2">
        <v>16.64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99"/>
        <v>0</v>
      </c>
      <c r="FS78" s="2">
        <v>0</v>
      </c>
      <c r="FT78" s="2"/>
      <c r="FU78" s="2"/>
      <c r="FV78" s="2"/>
      <c r="FW78" s="2"/>
      <c r="FX78" s="2">
        <v>100.8</v>
      </c>
      <c r="FY78" s="2">
        <v>55.25</v>
      </c>
      <c r="FZ78" s="2"/>
      <c r="GA78" s="2" t="s">
        <v>3</v>
      </c>
      <c r="GB78" s="2"/>
      <c r="GC78" s="2"/>
      <c r="GD78" s="2">
        <v>1</v>
      </c>
      <c r="GE78" s="2"/>
      <c r="GF78" s="2">
        <v>488030606</v>
      </c>
      <c r="GG78" s="2">
        <v>2</v>
      </c>
      <c r="GH78" s="2">
        <v>1</v>
      </c>
      <c r="GI78" s="2">
        <v>-2</v>
      </c>
      <c r="GJ78" s="2">
        <v>0</v>
      </c>
      <c r="GK78" s="2">
        <v>0</v>
      </c>
      <c r="GL78" s="2">
        <f t="shared" si="100"/>
        <v>0</v>
      </c>
      <c r="GM78" s="2">
        <f t="shared" si="101"/>
        <v>96.65</v>
      </c>
      <c r="GN78" s="2">
        <f t="shared" si="102"/>
        <v>96.65</v>
      </c>
      <c r="GO78" s="2">
        <f t="shared" si="103"/>
        <v>0</v>
      </c>
      <c r="GP78" s="2">
        <f t="shared" si="104"/>
        <v>0</v>
      </c>
      <c r="GQ78" s="2"/>
      <c r="GR78" s="2">
        <v>0</v>
      </c>
      <c r="GS78" s="2">
        <v>0</v>
      </c>
      <c r="GT78" s="2">
        <v>0</v>
      </c>
      <c r="GU78" s="2" t="s">
        <v>3</v>
      </c>
      <c r="GV78" s="2">
        <f t="shared" si="105"/>
        <v>0</v>
      </c>
      <c r="GW78" s="2">
        <v>1</v>
      </c>
      <c r="GX78" s="2">
        <f t="shared" si="106"/>
        <v>0</v>
      </c>
      <c r="GY78" s="2"/>
      <c r="GZ78" s="2"/>
      <c r="HA78" s="2">
        <v>0</v>
      </c>
      <c r="HB78" s="2">
        <v>0</v>
      </c>
      <c r="HC78" s="2">
        <f t="shared" si="107"/>
        <v>0</v>
      </c>
      <c r="HD78" s="2"/>
      <c r="HE78" s="2" t="s">
        <v>3</v>
      </c>
      <c r="HF78" s="2" t="s">
        <v>3</v>
      </c>
      <c r="HG78" s="2"/>
      <c r="HH78" s="2"/>
      <c r="HI78" s="2">
        <f t="shared" si="108"/>
        <v>0</v>
      </c>
      <c r="HJ78" s="2">
        <f t="shared" si="109"/>
        <v>31.78</v>
      </c>
      <c r="HK78" s="2">
        <f t="shared" si="110"/>
        <v>32.03</v>
      </c>
      <c r="HL78" s="2">
        <f t="shared" si="111"/>
        <v>17.56</v>
      </c>
      <c r="HM78" s="2" t="s">
        <v>3</v>
      </c>
      <c r="HN78" s="2" t="s">
        <v>46</v>
      </c>
      <c r="HO78" s="2" t="s">
        <v>47</v>
      </c>
      <c r="HP78" s="2" t="s">
        <v>27</v>
      </c>
      <c r="HQ78" s="2" t="s">
        <v>27</v>
      </c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45" ht="12.75">
      <c r="A79">
        <v>17</v>
      </c>
      <c r="B79">
        <v>1</v>
      </c>
      <c r="C79">
        <f>ROW(SmtRes!A136)</f>
        <v>136</v>
      </c>
      <c r="D79">
        <f>ROW(EtalonRes!A136)</f>
        <v>136</v>
      </c>
      <c r="E79" t="s">
        <v>139</v>
      </c>
      <c r="F79" t="s">
        <v>140</v>
      </c>
      <c r="G79" t="s">
        <v>141</v>
      </c>
      <c r="H79" t="s">
        <v>24</v>
      </c>
      <c r="I79">
        <f>ROUND(ROUND(19/100,2),7)</f>
        <v>0.19</v>
      </c>
      <c r="J79">
        <v>0</v>
      </c>
      <c r="K79">
        <f>ROUND(ROUND(19/100,2),7)</f>
        <v>0.19</v>
      </c>
      <c r="O79">
        <f t="shared" si="71"/>
        <v>47.06</v>
      </c>
      <c r="P79">
        <f t="shared" si="72"/>
        <v>15.28</v>
      </c>
      <c r="Q79">
        <f t="shared" si="73"/>
        <v>0</v>
      </c>
      <c r="R79">
        <f t="shared" si="74"/>
        <v>0</v>
      </c>
      <c r="S79">
        <f t="shared" si="75"/>
        <v>31.78</v>
      </c>
      <c r="T79">
        <f t="shared" si="76"/>
        <v>0</v>
      </c>
      <c r="U79">
        <f t="shared" si="77"/>
        <v>3.63584</v>
      </c>
      <c r="V79">
        <f t="shared" si="78"/>
        <v>0</v>
      </c>
      <c r="W79">
        <f t="shared" si="79"/>
        <v>0</v>
      </c>
      <c r="X79">
        <f t="shared" si="80"/>
        <v>32.03</v>
      </c>
      <c r="Y79">
        <f t="shared" si="81"/>
        <v>17.56</v>
      </c>
      <c r="AA79">
        <v>55454919</v>
      </c>
      <c r="AB79">
        <f t="shared" si="82"/>
        <v>247.64</v>
      </c>
      <c r="AC79">
        <f t="shared" si="70"/>
        <v>80.4</v>
      </c>
      <c r="AD79">
        <f>ROUND(((((ET79*ROUND(1.25,7)))-((EU79*ROUND(1.25,7))))+AE79),2)</f>
        <v>0</v>
      </c>
      <c r="AE79">
        <f>ROUND(((EU79*ROUND(1.25,7))),2)</f>
        <v>0</v>
      </c>
      <c r="AF79">
        <f>ROUND(((EV79*ROUND(1.15,7))),2)</f>
        <v>167.24</v>
      </c>
      <c r="AG79">
        <f t="shared" si="85"/>
        <v>0</v>
      </c>
      <c r="AH79">
        <f>((EW79*ROUND(1.15,7)))</f>
        <v>19.136</v>
      </c>
      <c r="AI79">
        <f>((EX79*ROUND(1.25,7)))</f>
        <v>0</v>
      </c>
      <c r="AJ79">
        <f t="shared" si="87"/>
        <v>0</v>
      </c>
      <c r="AK79">
        <v>225.83</v>
      </c>
      <c r="AL79">
        <v>80.4</v>
      </c>
      <c r="AM79">
        <v>0</v>
      </c>
      <c r="AN79">
        <v>0</v>
      </c>
      <c r="AO79">
        <v>145.43</v>
      </c>
      <c r="AP79">
        <v>0</v>
      </c>
      <c r="AQ79">
        <v>16.64</v>
      </c>
      <c r="AR79">
        <v>0</v>
      </c>
      <c r="AS79">
        <v>0</v>
      </c>
      <c r="AT79">
        <v>100.8</v>
      </c>
      <c r="AU79">
        <v>55.25</v>
      </c>
      <c r="AV79">
        <v>1</v>
      </c>
      <c r="AW79">
        <v>1</v>
      </c>
      <c r="AZ79">
        <v>1</v>
      </c>
      <c r="BA79">
        <v>36.47</v>
      </c>
      <c r="BB79">
        <v>1</v>
      </c>
      <c r="BC79">
        <v>1</v>
      </c>
      <c r="BH79">
        <v>0</v>
      </c>
      <c r="BI79">
        <v>1</v>
      </c>
      <c r="BJ79" t="s">
        <v>142</v>
      </c>
      <c r="BM79">
        <v>11001</v>
      </c>
      <c r="BN79">
        <v>0</v>
      </c>
      <c r="BP79">
        <v>0</v>
      </c>
      <c r="BQ79">
        <v>2</v>
      </c>
      <c r="BR79">
        <v>0</v>
      </c>
      <c r="BS79">
        <v>36.47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112</v>
      </c>
      <c r="CA79">
        <v>65</v>
      </c>
      <c r="CE79">
        <v>0</v>
      </c>
      <c r="CF79">
        <v>0</v>
      </c>
      <c r="CG79">
        <v>0</v>
      </c>
      <c r="CM79">
        <v>0</v>
      </c>
      <c r="CN79" t="s">
        <v>409</v>
      </c>
      <c r="CO79">
        <v>0</v>
      </c>
      <c r="CP79">
        <f t="shared" si="88"/>
        <v>47.06</v>
      </c>
      <c r="CQ79">
        <f t="shared" si="89"/>
        <v>80.4</v>
      </c>
      <c r="CR79">
        <f>((((ET79*ROUND(1.25,7)))*BB79-((EU79*ROUND(1.25,7))))+AE79)</f>
        <v>0</v>
      </c>
      <c r="CS79">
        <f t="shared" si="91"/>
        <v>0</v>
      </c>
      <c r="CT79">
        <f t="shared" si="92"/>
        <v>167.24</v>
      </c>
      <c r="CU79">
        <f t="shared" si="93"/>
        <v>0</v>
      </c>
      <c r="CV79">
        <f t="shared" si="94"/>
        <v>19.136</v>
      </c>
      <c r="CW79">
        <f t="shared" si="95"/>
        <v>0</v>
      </c>
      <c r="CX79">
        <f t="shared" si="96"/>
        <v>0</v>
      </c>
      <c r="CY79">
        <f t="shared" si="97"/>
        <v>32.03424</v>
      </c>
      <c r="CZ79">
        <f t="shared" si="98"/>
        <v>17.55845</v>
      </c>
      <c r="DE79" t="s">
        <v>73</v>
      </c>
      <c r="DF79" t="s">
        <v>73</v>
      </c>
      <c r="DG79" t="s">
        <v>74</v>
      </c>
      <c r="DI79" t="s">
        <v>74</v>
      </c>
      <c r="DJ79" t="s">
        <v>73</v>
      </c>
      <c r="DL79" t="s">
        <v>75</v>
      </c>
      <c r="DM79" t="s">
        <v>76</v>
      </c>
      <c r="DN79">
        <v>0</v>
      </c>
      <c r="DO79">
        <v>0</v>
      </c>
      <c r="DP79">
        <v>1</v>
      </c>
      <c r="DQ79">
        <v>1</v>
      </c>
      <c r="DU79">
        <v>1003</v>
      </c>
      <c r="DV79" t="s">
        <v>24</v>
      </c>
      <c r="DW79" t="s">
        <v>24</v>
      </c>
      <c r="DX79">
        <v>100</v>
      </c>
      <c r="EE79">
        <v>55471663</v>
      </c>
      <c r="EF79">
        <v>2</v>
      </c>
      <c r="EG79" t="s">
        <v>43</v>
      </c>
      <c r="EH79">
        <v>11</v>
      </c>
      <c r="EI79" t="s">
        <v>27</v>
      </c>
      <c r="EJ79">
        <v>1</v>
      </c>
      <c r="EK79">
        <v>11001</v>
      </c>
      <c r="EL79" t="s">
        <v>27</v>
      </c>
      <c r="EM79" t="s">
        <v>44</v>
      </c>
      <c r="EO79" t="s">
        <v>77</v>
      </c>
      <c r="EQ79">
        <v>0</v>
      </c>
      <c r="ER79">
        <v>225.83</v>
      </c>
      <c r="ES79">
        <v>80.4</v>
      </c>
      <c r="ET79">
        <v>0</v>
      </c>
      <c r="EU79">
        <v>0</v>
      </c>
      <c r="EV79">
        <v>145.43</v>
      </c>
      <c r="EW79">
        <v>16.64</v>
      </c>
      <c r="EX79">
        <v>0</v>
      </c>
      <c r="EY79">
        <v>0</v>
      </c>
      <c r="FQ79">
        <v>0</v>
      </c>
      <c r="FR79">
        <f t="shared" si="99"/>
        <v>0</v>
      </c>
      <c r="FS79">
        <v>0</v>
      </c>
      <c r="FX79">
        <v>100.8</v>
      </c>
      <c r="FY79">
        <v>55.25</v>
      </c>
      <c r="GD79">
        <v>1</v>
      </c>
      <c r="GF79">
        <v>488030606</v>
      </c>
      <c r="GG79">
        <v>2</v>
      </c>
      <c r="GH79">
        <v>1</v>
      </c>
      <c r="GI79">
        <v>4</v>
      </c>
      <c r="GJ79">
        <v>0</v>
      </c>
      <c r="GK79">
        <v>0</v>
      </c>
      <c r="GL79">
        <f t="shared" si="100"/>
        <v>0</v>
      </c>
      <c r="GM79">
        <f t="shared" si="101"/>
        <v>96.65</v>
      </c>
      <c r="GN79">
        <f t="shared" si="102"/>
        <v>96.65</v>
      </c>
      <c r="GO79">
        <f t="shared" si="103"/>
        <v>0</v>
      </c>
      <c r="GP79">
        <f t="shared" si="104"/>
        <v>0</v>
      </c>
      <c r="GR79">
        <v>0</v>
      </c>
      <c r="GS79">
        <v>0</v>
      </c>
      <c r="GT79">
        <v>0</v>
      </c>
      <c r="GV79">
        <f t="shared" si="105"/>
        <v>0</v>
      </c>
      <c r="GW79">
        <v>1</v>
      </c>
      <c r="GX79">
        <f t="shared" si="106"/>
        <v>0</v>
      </c>
      <c r="HA79">
        <v>0</v>
      </c>
      <c r="HB79">
        <v>0</v>
      </c>
      <c r="HC79">
        <f t="shared" si="107"/>
        <v>0</v>
      </c>
      <c r="HI79">
        <f t="shared" si="108"/>
        <v>0</v>
      </c>
      <c r="HJ79">
        <f t="shared" si="109"/>
        <v>1159.02</v>
      </c>
      <c r="HK79">
        <f t="shared" si="110"/>
        <v>1168.29</v>
      </c>
      <c r="HL79">
        <f t="shared" si="111"/>
        <v>640.36</v>
      </c>
      <c r="HN79" t="s">
        <v>46</v>
      </c>
      <c r="HO79" t="s">
        <v>47</v>
      </c>
      <c r="HP79" t="s">
        <v>27</v>
      </c>
      <c r="HQ79" t="s">
        <v>27</v>
      </c>
      <c r="IK79">
        <v>0</v>
      </c>
    </row>
    <row r="80" spans="1:255" ht="12.75">
      <c r="A80" s="2">
        <v>18</v>
      </c>
      <c r="B80" s="2">
        <v>1</v>
      </c>
      <c r="C80" s="2">
        <v>133</v>
      </c>
      <c r="D80" s="2"/>
      <c r="E80" s="2" t="s">
        <v>143</v>
      </c>
      <c r="F80" s="2" t="s">
        <v>144</v>
      </c>
      <c r="G80" s="2" t="s">
        <v>145</v>
      </c>
      <c r="H80" s="2" t="s">
        <v>146</v>
      </c>
      <c r="I80" s="2">
        <f>I78*J80</f>
        <v>1.9129250000000002</v>
      </c>
      <c r="J80" s="2">
        <v>10.068026315789474</v>
      </c>
      <c r="K80" s="2">
        <v>10.068027</v>
      </c>
      <c r="L80" s="2"/>
      <c r="M80" s="2"/>
      <c r="N80" s="2"/>
      <c r="O80" s="2">
        <f t="shared" si="71"/>
        <v>25.38</v>
      </c>
      <c r="P80" s="2">
        <f t="shared" si="72"/>
        <v>25.38</v>
      </c>
      <c r="Q80" s="2">
        <f t="shared" si="73"/>
        <v>0</v>
      </c>
      <c r="R80" s="2">
        <f t="shared" si="74"/>
        <v>0</v>
      </c>
      <c r="S80" s="2">
        <f t="shared" si="75"/>
        <v>0</v>
      </c>
      <c r="T80" s="2">
        <f t="shared" si="76"/>
        <v>0</v>
      </c>
      <c r="U80" s="2">
        <f t="shared" si="77"/>
        <v>0</v>
      </c>
      <c r="V80" s="2">
        <f t="shared" si="78"/>
        <v>0</v>
      </c>
      <c r="W80" s="2">
        <f t="shared" si="79"/>
        <v>0</v>
      </c>
      <c r="X80" s="2">
        <f t="shared" si="80"/>
        <v>0</v>
      </c>
      <c r="Y80" s="2">
        <f t="shared" si="81"/>
        <v>0</v>
      </c>
      <c r="Z80" s="2"/>
      <c r="AA80" s="2">
        <v>55454918</v>
      </c>
      <c r="AB80" s="2">
        <f t="shared" si="82"/>
        <v>13.27</v>
      </c>
      <c r="AC80" s="2">
        <f t="shared" si="70"/>
        <v>13.27</v>
      </c>
      <c r="AD80" s="2">
        <f>ROUND((((ET80)-(EU80))+AE80),2)</f>
        <v>0</v>
      </c>
      <c r="AE80" s="2">
        <f>ROUND((EU80),2)</f>
        <v>0</v>
      </c>
      <c r="AF80" s="2">
        <f>ROUND((EV80),2)</f>
        <v>0</v>
      </c>
      <c r="AG80" s="2">
        <f t="shared" si="85"/>
        <v>0</v>
      </c>
      <c r="AH80" s="2">
        <f>(EW80)</f>
        <v>0</v>
      </c>
      <c r="AI80" s="2">
        <f>(EX80)</f>
        <v>0</v>
      </c>
      <c r="AJ80" s="2">
        <f t="shared" si="87"/>
        <v>0</v>
      </c>
      <c r="AK80" s="2">
        <v>13.27</v>
      </c>
      <c r="AL80" s="2">
        <v>13.27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112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147</v>
      </c>
      <c r="BK80" s="2"/>
      <c r="BL80" s="2"/>
      <c r="BM80" s="2">
        <v>11001</v>
      </c>
      <c r="BN80" s="2">
        <v>0</v>
      </c>
      <c r="BO80" s="2" t="s">
        <v>3</v>
      </c>
      <c r="BP80" s="2">
        <v>0</v>
      </c>
      <c r="BQ80" s="2">
        <v>2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112</v>
      </c>
      <c r="CA80" s="2">
        <v>65</v>
      </c>
      <c r="CB80" s="2" t="s">
        <v>3</v>
      </c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88"/>
        <v>25.38</v>
      </c>
      <c r="CQ80" s="2">
        <f t="shared" si="89"/>
        <v>13.27</v>
      </c>
      <c r="CR80" s="2">
        <f>(((ET80)*BB80-(EU80))+AE80)</f>
        <v>0</v>
      </c>
      <c r="CS80" s="2">
        <f t="shared" si="91"/>
        <v>0</v>
      </c>
      <c r="CT80" s="2">
        <f t="shared" si="92"/>
        <v>0</v>
      </c>
      <c r="CU80" s="2">
        <f t="shared" si="93"/>
        <v>0</v>
      </c>
      <c r="CV80" s="2">
        <f t="shared" si="94"/>
        <v>0</v>
      </c>
      <c r="CW80" s="2">
        <f t="shared" si="95"/>
        <v>0</v>
      </c>
      <c r="CX80" s="2">
        <f t="shared" si="96"/>
        <v>0</v>
      </c>
      <c r="CY80" s="2">
        <f t="shared" si="97"/>
        <v>0</v>
      </c>
      <c r="CZ80" s="2">
        <f t="shared" si="98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1003</v>
      </c>
      <c r="DV80" s="2" t="s">
        <v>146</v>
      </c>
      <c r="DW80" s="2" t="s">
        <v>146</v>
      </c>
      <c r="DX80" s="2">
        <v>10</v>
      </c>
      <c r="DY80" s="2"/>
      <c r="DZ80" s="2" t="s">
        <v>3</v>
      </c>
      <c r="EA80" s="2" t="s">
        <v>3</v>
      </c>
      <c r="EB80" s="2" t="s">
        <v>3</v>
      </c>
      <c r="EC80" s="2" t="s">
        <v>3</v>
      </c>
      <c r="ED80" s="2"/>
      <c r="EE80" s="2">
        <v>55471663</v>
      </c>
      <c r="EF80" s="2">
        <v>2</v>
      </c>
      <c r="EG80" s="2" t="s">
        <v>43</v>
      </c>
      <c r="EH80" s="2">
        <v>11</v>
      </c>
      <c r="EI80" s="2" t="s">
        <v>27</v>
      </c>
      <c r="EJ80" s="2">
        <v>1</v>
      </c>
      <c r="EK80" s="2">
        <v>11001</v>
      </c>
      <c r="EL80" s="2" t="s">
        <v>27</v>
      </c>
      <c r="EM80" s="2" t="s">
        <v>44</v>
      </c>
      <c r="EN80" s="2"/>
      <c r="EO80" s="2" t="s">
        <v>3</v>
      </c>
      <c r="EP80" s="2"/>
      <c r="EQ80" s="2">
        <v>0</v>
      </c>
      <c r="ER80" s="2">
        <v>13.27</v>
      </c>
      <c r="ES80" s="2">
        <v>13.27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99"/>
        <v>0</v>
      </c>
      <c r="FS80" s="2">
        <v>0</v>
      </c>
      <c r="FT80" s="2"/>
      <c r="FU80" s="2"/>
      <c r="FV80" s="2"/>
      <c r="FW80" s="2"/>
      <c r="FX80" s="2">
        <v>112</v>
      </c>
      <c r="FY80" s="2">
        <v>65</v>
      </c>
      <c r="FZ80" s="2"/>
      <c r="GA80" s="2" t="s">
        <v>3</v>
      </c>
      <c r="GB80" s="2"/>
      <c r="GC80" s="2"/>
      <c r="GD80" s="2">
        <v>1</v>
      </c>
      <c r="GE80" s="2"/>
      <c r="GF80" s="2">
        <v>1397629671</v>
      </c>
      <c r="GG80" s="2">
        <v>2</v>
      </c>
      <c r="GH80" s="2">
        <v>1</v>
      </c>
      <c r="GI80" s="2">
        <v>-2</v>
      </c>
      <c r="GJ80" s="2">
        <v>0</v>
      </c>
      <c r="GK80" s="2">
        <v>0</v>
      </c>
      <c r="GL80" s="2">
        <f t="shared" si="100"/>
        <v>0</v>
      </c>
      <c r="GM80" s="2">
        <f t="shared" si="101"/>
        <v>25.38</v>
      </c>
      <c r="GN80" s="2">
        <f t="shared" si="102"/>
        <v>25.38</v>
      </c>
      <c r="GO80" s="2">
        <f t="shared" si="103"/>
        <v>0</v>
      </c>
      <c r="GP80" s="2">
        <f t="shared" si="104"/>
        <v>0</v>
      </c>
      <c r="GQ80" s="2"/>
      <c r="GR80" s="2">
        <v>0</v>
      </c>
      <c r="GS80" s="2">
        <v>0</v>
      </c>
      <c r="GT80" s="2">
        <v>0</v>
      </c>
      <c r="GU80" s="2" t="s">
        <v>3</v>
      </c>
      <c r="GV80" s="2">
        <f t="shared" si="105"/>
        <v>0</v>
      </c>
      <c r="GW80" s="2">
        <v>1</v>
      </c>
      <c r="GX80" s="2">
        <f t="shared" si="106"/>
        <v>0</v>
      </c>
      <c r="GY80" s="2"/>
      <c r="GZ80" s="2"/>
      <c r="HA80" s="2">
        <v>0</v>
      </c>
      <c r="HB80" s="2">
        <v>0</v>
      </c>
      <c r="HC80" s="2">
        <f t="shared" si="107"/>
        <v>0</v>
      </c>
      <c r="HD80" s="2"/>
      <c r="HE80" s="2" t="s">
        <v>3</v>
      </c>
      <c r="HF80" s="2" t="s">
        <v>3</v>
      </c>
      <c r="HG80" s="2"/>
      <c r="HH80" s="2"/>
      <c r="HI80" s="2">
        <f t="shared" si="108"/>
        <v>0</v>
      </c>
      <c r="HJ80" s="2">
        <f t="shared" si="109"/>
        <v>0</v>
      </c>
      <c r="HK80" s="2">
        <f t="shared" si="110"/>
        <v>0</v>
      </c>
      <c r="HL80" s="2">
        <f t="shared" si="111"/>
        <v>0</v>
      </c>
      <c r="HM80" s="2" t="s">
        <v>3</v>
      </c>
      <c r="HN80" s="2" t="s">
        <v>46</v>
      </c>
      <c r="HO80" s="2" t="s">
        <v>47</v>
      </c>
      <c r="HP80" s="2" t="s">
        <v>27</v>
      </c>
      <c r="HQ80" s="2" t="s">
        <v>27</v>
      </c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45" ht="12.75">
      <c r="A81">
        <v>18</v>
      </c>
      <c r="B81">
        <v>1</v>
      </c>
      <c r="C81">
        <v>136</v>
      </c>
      <c r="E81" t="s">
        <v>143</v>
      </c>
      <c r="F81" t="s">
        <v>144</v>
      </c>
      <c r="G81" t="s">
        <v>145</v>
      </c>
      <c r="H81" t="s">
        <v>146</v>
      </c>
      <c r="I81">
        <f>I79*J81</f>
        <v>1.9129250000000002</v>
      </c>
      <c r="J81">
        <v>10.068026315789474</v>
      </c>
      <c r="K81">
        <v>10.068027</v>
      </c>
      <c r="O81">
        <f t="shared" si="71"/>
        <v>25.38</v>
      </c>
      <c r="P81">
        <f t="shared" si="72"/>
        <v>25.38</v>
      </c>
      <c r="Q81">
        <f t="shared" si="73"/>
        <v>0</v>
      </c>
      <c r="R81">
        <f t="shared" si="74"/>
        <v>0</v>
      </c>
      <c r="S81">
        <f t="shared" si="75"/>
        <v>0</v>
      </c>
      <c r="T81">
        <f t="shared" si="76"/>
        <v>0</v>
      </c>
      <c r="U81">
        <f t="shared" si="77"/>
        <v>0</v>
      </c>
      <c r="V81">
        <f t="shared" si="78"/>
        <v>0</v>
      </c>
      <c r="W81">
        <f t="shared" si="79"/>
        <v>0</v>
      </c>
      <c r="X81">
        <f t="shared" si="80"/>
        <v>0</v>
      </c>
      <c r="Y81">
        <f t="shared" si="81"/>
        <v>0</v>
      </c>
      <c r="AA81">
        <v>55454919</v>
      </c>
      <c r="AB81">
        <f t="shared" si="82"/>
        <v>13.27</v>
      </c>
      <c r="AC81">
        <f t="shared" si="70"/>
        <v>13.27</v>
      </c>
      <c r="AD81">
        <f>ROUND((((ET81)-(EU81))+AE81),2)</f>
        <v>0</v>
      </c>
      <c r="AE81">
        <f>ROUND((EU81),2)</f>
        <v>0</v>
      </c>
      <c r="AF81">
        <f>ROUND((EV81),2)</f>
        <v>0</v>
      </c>
      <c r="AG81">
        <f t="shared" si="85"/>
        <v>0</v>
      </c>
      <c r="AH81">
        <f>(EW81)</f>
        <v>0</v>
      </c>
      <c r="AI81">
        <f>(EX81)</f>
        <v>0</v>
      </c>
      <c r="AJ81">
        <f t="shared" si="87"/>
        <v>0</v>
      </c>
      <c r="AK81">
        <v>13.27</v>
      </c>
      <c r="AL81">
        <v>13.27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112</v>
      </c>
      <c r="AU81">
        <v>65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</v>
      </c>
      <c r="BH81">
        <v>3</v>
      </c>
      <c r="BI81">
        <v>1</v>
      </c>
      <c r="BJ81" t="s">
        <v>147</v>
      </c>
      <c r="BM81">
        <v>11001</v>
      </c>
      <c r="BN81">
        <v>0</v>
      </c>
      <c r="BP81">
        <v>0</v>
      </c>
      <c r="BQ81">
        <v>2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112</v>
      </c>
      <c r="CA81">
        <v>65</v>
      </c>
      <c r="CE81">
        <v>0</v>
      </c>
      <c r="CF81">
        <v>0</v>
      </c>
      <c r="CG81">
        <v>0</v>
      </c>
      <c r="CM81">
        <v>0</v>
      </c>
      <c r="CO81">
        <v>0</v>
      </c>
      <c r="CP81">
        <f t="shared" si="88"/>
        <v>25.38</v>
      </c>
      <c r="CQ81">
        <f t="shared" si="89"/>
        <v>13.27</v>
      </c>
      <c r="CR81">
        <f>(((ET81)*BB81-(EU81))+AE81)</f>
        <v>0</v>
      </c>
      <c r="CS81">
        <f t="shared" si="91"/>
        <v>0</v>
      </c>
      <c r="CT81">
        <f t="shared" si="92"/>
        <v>0</v>
      </c>
      <c r="CU81">
        <f t="shared" si="93"/>
        <v>0</v>
      </c>
      <c r="CV81">
        <f t="shared" si="94"/>
        <v>0</v>
      </c>
      <c r="CW81">
        <f t="shared" si="95"/>
        <v>0</v>
      </c>
      <c r="CX81">
        <f t="shared" si="96"/>
        <v>0</v>
      </c>
      <c r="CY81">
        <f t="shared" si="97"/>
        <v>0</v>
      </c>
      <c r="CZ81">
        <f t="shared" si="98"/>
        <v>0</v>
      </c>
      <c r="DN81">
        <v>0</v>
      </c>
      <c r="DO81">
        <v>0</v>
      </c>
      <c r="DP81">
        <v>1</v>
      </c>
      <c r="DQ81">
        <v>1</v>
      </c>
      <c r="DU81">
        <v>1003</v>
      </c>
      <c r="DV81" t="s">
        <v>146</v>
      </c>
      <c r="DW81" t="s">
        <v>146</v>
      </c>
      <c r="DX81">
        <v>10</v>
      </c>
      <c r="EE81">
        <v>55471663</v>
      </c>
      <c r="EF81">
        <v>2</v>
      </c>
      <c r="EG81" t="s">
        <v>43</v>
      </c>
      <c r="EH81">
        <v>11</v>
      </c>
      <c r="EI81" t="s">
        <v>27</v>
      </c>
      <c r="EJ81">
        <v>1</v>
      </c>
      <c r="EK81">
        <v>11001</v>
      </c>
      <c r="EL81" t="s">
        <v>27</v>
      </c>
      <c r="EM81" t="s">
        <v>44</v>
      </c>
      <c r="EQ81">
        <v>0</v>
      </c>
      <c r="ER81">
        <v>13.27</v>
      </c>
      <c r="ES81">
        <v>13.27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99"/>
        <v>0</v>
      </c>
      <c r="FS81">
        <v>0</v>
      </c>
      <c r="FX81">
        <v>112</v>
      </c>
      <c r="FY81">
        <v>65</v>
      </c>
      <c r="GD81">
        <v>1</v>
      </c>
      <c r="GF81">
        <v>1397629671</v>
      </c>
      <c r="GG81">
        <v>2</v>
      </c>
      <c r="GH81">
        <v>1</v>
      </c>
      <c r="GI81">
        <v>4</v>
      </c>
      <c r="GJ81">
        <v>0</v>
      </c>
      <c r="GK81">
        <v>0</v>
      </c>
      <c r="GL81">
        <f t="shared" si="100"/>
        <v>0</v>
      </c>
      <c r="GM81">
        <f t="shared" si="101"/>
        <v>25.38</v>
      </c>
      <c r="GN81">
        <f t="shared" si="102"/>
        <v>25.38</v>
      </c>
      <c r="GO81">
        <f t="shared" si="103"/>
        <v>0</v>
      </c>
      <c r="GP81">
        <f t="shared" si="104"/>
        <v>0</v>
      </c>
      <c r="GR81">
        <v>0</v>
      </c>
      <c r="GS81">
        <v>0</v>
      </c>
      <c r="GT81">
        <v>0</v>
      </c>
      <c r="GV81">
        <f t="shared" si="105"/>
        <v>0</v>
      </c>
      <c r="GW81">
        <v>1</v>
      </c>
      <c r="GX81">
        <f t="shared" si="106"/>
        <v>0</v>
      </c>
      <c r="HA81">
        <v>0</v>
      </c>
      <c r="HB81">
        <v>0</v>
      </c>
      <c r="HC81">
        <f t="shared" si="107"/>
        <v>0</v>
      </c>
      <c r="HI81">
        <f t="shared" si="108"/>
        <v>0</v>
      </c>
      <c r="HJ81">
        <f t="shared" si="109"/>
        <v>0</v>
      </c>
      <c r="HK81">
        <f t="shared" si="110"/>
        <v>0</v>
      </c>
      <c r="HL81">
        <f t="shared" si="111"/>
        <v>0</v>
      </c>
      <c r="HN81" t="s">
        <v>46</v>
      </c>
      <c r="HO81" t="s">
        <v>47</v>
      </c>
      <c r="HP81" t="s">
        <v>27</v>
      </c>
      <c r="HQ81" t="s">
        <v>27</v>
      </c>
      <c r="IK81">
        <v>0</v>
      </c>
    </row>
    <row r="83" spans="1:206" ht="12.75">
      <c r="A83" s="3">
        <v>51</v>
      </c>
      <c r="B83" s="3">
        <f>B24</f>
        <v>1</v>
      </c>
      <c r="C83" s="3">
        <f>A24</f>
        <v>4</v>
      </c>
      <c r="D83" s="3">
        <f>ROW(A24)</f>
        <v>24</v>
      </c>
      <c r="E83" s="3"/>
      <c r="F83" s="3" t="str">
        <f>IF(F24&lt;&gt;"",F24,"")</f>
        <v>Новый раздел</v>
      </c>
      <c r="G83" s="3" t="str">
        <f>IF(G24&lt;&gt;"",G24,"")</f>
        <v>Лифтовые холлы  5, 6 эт.</v>
      </c>
      <c r="H83" s="3">
        <v>0</v>
      </c>
      <c r="I83" s="3"/>
      <c r="J83" s="3"/>
      <c r="K83" s="3"/>
      <c r="L83" s="3"/>
      <c r="M83" s="3"/>
      <c r="N83" s="3"/>
      <c r="O83" s="3">
        <f aca="true" t="shared" si="114" ref="O83:T83">ROUND(AB83,2)</f>
        <v>55773.07</v>
      </c>
      <c r="P83" s="3">
        <f t="shared" si="114"/>
        <v>25881.41</v>
      </c>
      <c r="Q83" s="3">
        <f t="shared" si="114"/>
        <v>6102.36</v>
      </c>
      <c r="R83" s="3">
        <f t="shared" si="114"/>
        <v>356.48</v>
      </c>
      <c r="S83" s="3">
        <f t="shared" si="114"/>
        <v>23789.3</v>
      </c>
      <c r="T83" s="3">
        <f t="shared" si="114"/>
        <v>0</v>
      </c>
      <c r="U83" s="3">
        <f>AH83</f>
        <v>2742.729385</v>
      </c>
      <c r="V83" s="3">
        <f>AI83</f>
        <v>29.961520000000004</v>
      </c>
      <c r="W83" s="3">
        <f>ROUND(AJ83,2)</f>
        <v>0</v>
      </c>
      <c r="X83" s="3">
        <f>ROUND(AK83,2)</f>
        <v>24089.8</v>
      </c>
      <c r="Y83" s="3">
        <f>ROUND(AL83,2)</f>
        <v>13255.35</v>
      </c>
      <c r="Z83" s="3"/>
      <c r="AA83" s="3"/>
      <c r="AB83" s="3">
        <f>ROUND(SUMIF(AA28:AA81,"=55454918",O28:O81),2)</f>
        <v>55773.07</v>
      </c>
      <c r="AC83" s="3">
        <f>ROUND(SUMIF(AA28:AA81,"=55454918",P28:P81),2)</f>
        <v>25881.41</v>
      </c>
      <c r="AD83" s="3">
        <f>ROUND(SUMIF(AA28:AA81,"=55454918",Q28:Q81),2)</f>
        <v>6102.36</v>
      </c>
      <c r="AE83" s="3">
        <f>ROUND(SUMIF(AA28:AA81,"=55454918",R28:R81),2)</f>
        <v>356.48</v>
      </c>
      <c r="AF83" s="3">
        <f>ROUND(SUMIF(AA28:AA81,"=55454918",S28:S81),2)</f>
        <v>23789.3</v>
      </c>
      <c r="AG83" s="3">
        <f>ROUND(SUMIF(AA28:AA81,"=55454918",T28:T81),2)</f>
        <v>0</v>
      </c>
      <c r="AH83" s="3">
        <f>SUMIF(AA28:AA81,"=55454918",U28:U81)</f>
        <v>2742.729385</v>
      </c>
      <c r="AI83" s="3">
        <f>SUMIF(AA28:AA81,"=55454918",V28:V81)</f>
        <v>29.961520000000004</v>
      </c>
      <c r="AJ83" s="3">
        <f>ROUND(SUMIF(AA28:AA81,"=55454918",W28:W81),2)</f>
        <v>0</v>
      </c>
      <c r="AK83" s="3">
        <f>ROUND(SUMIF(AA28:AA81,"=55454918",X28:X81),2)</f>
        <v>24089.8</v>
      </c>
      <c r="AL83" s="3">
        <f>ROUND(SUMIF(AA28:AA81,"=55454918",Y28:Y81),2)</f>
        <v>13255.35</v>
      </c>
      <c r="AM83" s="3"/>
      <c r="AN83" s="3"/>
      <c r="AO83" s="3">
        <f aca="true" t="shared" si="115" ref="AO83:BD83">ROUND(BX83,2)</f>
        <v>0</v>
      </c>
      <c r="AP83" s="3">
        <f t="shared" si="115"/>
        <v>0</v>
      </c>
      <c r="AQ83" s="3">
        <f t="shared" si="115"/>
        <v>0</v>
      </c>
      <c r="AR83" s="3">
        <f t="shared" si="115"/>
        <v>93118.22</v>
      </c>
      <c r="AS83" s="3">
        <f t="shared" si="115"/>
        <v>93118.22</v>
      </c>
      <c r="AT83" s="3">
        <f t="shared" si="115"/>
        <v>0</v>
      </c>
      <c r="AU83" s="3">
        <f t="shared" si="115"/>
        <v>0</v>
      </c>
      <c r="AV83" s="3">
        <f t="shared" si="115"/>
        <v>25881.41</v>
      </c>
      <c r="AW83" s="3">
        <f t="shared" si="115"/>
        <v>25881.41</v>
      </c>
      <c r="AX83" s="3">
        <f t="shared" si="115"/>
        <v>0</v>
      </c>
      <c r="AY83" s="3">
        <f t="shared" si="115"/>
        <v>25881.41</v>
      </c>
      <c r="AZ83" s="3">
        <f t="shared" si="115"/>
        <v>0</v>
      </c>
      <c r="BA83" s="3">
        <f t="shared" si="115"/>
        <v>0</v>
      </c>
      <c r="BB83" s="3">
        <f t="shared" si="115"/>
        <v>0</v>
      </c>
      <c r="BC83" s="3">
        <f t="shared" si="115"/>
        <v>0</v>
      </c>
      <c r="BD83" s="3">
        <f t="shared" si="115"/>
        <v>0</v>
      </c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>
        <f>ROUND(SUMIF(AA28:AA81,"=55454918",FQ28:FQ81),2)</f>
        <v>0</v>
      </c>
      <c r="BY83" s="3">
        <f>ROUND(SUMIF(AA28:AA81,"=55454918",FR28:FR81),2)</f>
        <v>0</v>
      </c>
      <c r="BZ83" s="3">
        <f>ROUND(SUMIF(AA28:AA81,"=55454918",GL28:GL81),2)</f>
        <v>0</v>
      </c>
      <c r="CA83" s="3">
        <f>ROUND(SUMIF(AA28:AA81,"=55454918",GM28:GM81),2)</f>
        <v>93118.22</v>
      </c>
      <c r="CB83" s="3">
        <f>ROUND(SUMIF(AA28:AA81,"=55454918",GN28:GN81),2)</f>
        <v>93118.22</v>
      </c>
      <c r="CC83" s="3">
        <f>ROUND(SUMIF(AA28:AA81,"=55454918",GO28:GO81),2)</f>
        <v>0</v>
      </c>
      <c r="CD83" s="3">
        <f>ROUND(SUMIF(AA28:AA81,"=55454918",GP28:GP81),2)</f>
        <v>0</v>
      </c>
      <c r="CE83" s="3">
        <f>AC83-BX83</f>
        <v>25881.41</v>
      </c>
      <c r="CF83" s="3">
        <f>AC83-BY83</f>
        <v>25881.41</v>
      </c>
      <c r="CG83" s="3">
        <f>BX83-BZ83</f>
        <v>0</v>
      </c>
      <c r="CH83" s="3">
        <f>AC83-BX83-BY83+BZ83</f>
        <v>25881.41</v>
      </c>
      <c r="CI83" s="3">
        <f>BY83-BZ83</f>
        <v>0</v>
      </c>
      <c r="CJ83" s="3">
        <f>ROUND(SUMIF(AA28:AA81,"=55454918",GX28:GX81),2)</f>
        <v>0</v>
      </c>
      <c r="CK83" s="3">
        <f>ROUND(SUMIF(AA28:AA81,"=55454918",GY28:GY81),2)</f>
        <v>0</v>
      </c>
      <c r="CL83" s="3">
        <f>ROUND(SUMIF(AA28:AA81,"=55454918",GZ28:GZ81),2)</f>
        <v>0</v>
      </c>
      <c r="CM83" s="3">
        <f>ROUND(SUMIF(AA28:AA81,"=55454918",HD28:HD81),2)</f>
        <v>0</v>
      </c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4">
        <f aca="true" t="shared" si="116" ref="DG83:DL83">ROUND(DT83,2)</f>
        <v>55773.07</v>
      </c>
      <c r="DH83" s="4">
        <f t="shared" si="116"/>
        <v>25881.41</v>
      </c>
      <c r="DI83" s="4">
        <f t="shared" si="116"/>
        <v>6102.36</v>
      </c>
      <c r="DJ83" s="4">
        <f t="shared" si="116"/>
        <v>356.48</v>
      </c>
      <c r="DK83" s="4">
        <f t="shared" si="116"/>
        <v>23789.3</v>
      </c>
      <c r="DL83" s="4">
        <f t="shared" si="116"/>
        <v>0</v>
      </c>
      <c r="DM83" s="4">
        <f>DZ83</f>
        <v>2742.729385</v>
      </c>
      <c r="DN83" s="4">
        <f>EA83</f>
        <v>29.961520000000004</v>
      </c>
      <c r="DO83" s="4">
        <f>ROUND(EB83,2)</f>
        <v>0</v>
      </c>
      <c r="DP83" s="4">
        <f>ROUND(EC83,2)</f>
        <v>24089.8</v>
      </c>
      <c r="DQ83" s="4">
        <f>ROUND(ED83,2)</f>
        <v>13255.35</v>
      </c>
      <c r="DR83" s="4"/>
      <c r="DS83" s="4"/>
      <c r="DT83" s="4">
        <f>ROUND(SUMIF(AA28:AA81,"=55454919",O28:O81),2)</f>
        <v>55773.07</v>
      </c>
      <c r="DU83" s="4">
        <f>ROUND(SUMIF(AA28:AA81,"=55454919",P28:P81),2)</f>
        <v>25881.41</v>
      </c>
      <c r="DV83" s="4">
        <f>ROUND(SUMIF(AA28:AA81,"=55454919",Q28:Q81),2)</f>
        <v>6102.36</v>
      </c>
      <c r="DW83" s="4">
        <f>ROUND(SUMIF(AA28:AA81,"=55454919",R28:R81),2)</f>
        <v>356.48</v>
      </c>
      <c r="DX83" s="4">
        <f>ROUND(SUMIF(AA28:AA81,"=55454919",S28:S81),2)</f>
        <v>23789.3</v>
      </c>
      <c r="DY83" s="4">
        <f>ROUND(SUMIF(AA28:AA81,"=55454919",T28:T81),2)</f>
        <v>0</v>
      </c>
      <c r="DZ83" s="4">
        <f>SUMIF(AA28:AA81,"=55454919",U28:U81)</f>
        <v>2742.729385</v>
      </c>
      <c r="EA83" s="4">
        <f>SUMIF(AA28:AA81,"=55454919",V28:V81)</f>
        <v>29.961520000000004</v>
      </c>
      <c r="EB83" s="4">
        <f>ROUND(SUMIF(AA28:AA81,"=55454919",W28:W81),2)</f>
        <v>0</v>
      </c>
      <c r="EC83" s="4">
        <f>ROUND(SUMIF(AA28:AA81,"=55454919",X28:X81),2)</f>
        <v>24089.8</v>
      </c>
      <c r="ED83" s="4">
        <f>ROUND(SUMIF(AA28:AA81,"=55454919",Y28:Y81),2)</f>
        <v>13255.35</v>
      </c>
      <c r="EE83" s="4"/>
      <c r="EF83" s="4"/>
      <c r="EG83" s="4">
        <f aca="true" t="shared" si="117" ref="EG83:EV83">ROUND(FP83,2)</f>
        <v>0</v>
      </c>
      <c r="EH83" s="4">
        <f t="shared" si="117"/>
        <v>0</v>
      </c>
      <c r="EI83" s="4">
        <f t="shared" si="117"/>
        <v>0</v>
      </c>
      <c r="EJ83" s="4">
        <f t="shared" si="117"/>
        <v>93118.22</v>
      </c>
      <c r="EK83" s="4">
        <f t="shared" si="117"/>
        <v>93118.22</v>
      </c>
      <c r="EL83" s="4">
        <f t="shared" si="117"/>
        <v>0</v>
      </c>
      <c r="EM83" s="4">
        <f t="shared" si="117"/>
        <v>0</v>
      </c>
      <c r="EN83" s="4">
        <f t="shared" si="117"/>
        <v>25881.41</v>
      </c>
      <c r="EO83" s="4">
        <f t="shared" si="117"/>
        <v>25881.41</v>
      </c>
      <c r="EP83" s="4">
        <f t="shared" si="117"/>
        <v>0</v>
      </c>
      <c r="EQ83" s="4">
        <f t="shared" si="117"/>
        <v>25881.41</v>
      </c>
      <c r="ER83" s="4">
        <f t="shared" si="117"/>
        <v>0</v>
      </c>
      <c r="ES83" s="4">
        <f t="shared" si="117"/>
        <v>0</v>
      </c>
      <c r="ET83" s="4">
        <f t="shared" si="117"/>
        <v>0</v>
      </c>
      <c r="EU83" s="4">
        <f t="shared" si="117"/>
        <v>0</v>
      </c>
      <c r="EV83" s="4">
        <f t="shared" si="117"/>
        <v>0</v>
      </c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>
        <f>ROUND(SUMIF(AA28:AA81,"=55454919",FQ28:FQ81),2)</f>
        <v>0</v>
      </c>
      <c r="FQ83" s="4">
        <f>ROUND(SUMIF(AA28:AA81,"=55454919",FR28:FR81),2)</f>
        <v>0</v>
      </c>
      <c r="FR83" s="4">
        <f>ROUND(SUMIF(AA28:AA81,"=55454919",GL28:GL81),2)</f>
        <v>0</v>
      </c>
      <c r="FS83" s="4">
        <f>ROUND(SUMIF(AA28:AA81,"=55454919",GM28:GM81),2)</f>
        <v>93118.22</v>
      </c>
      <c r="FT83" s="4">
        <f>ROUND(SUMIF(AA28:AA81,"=55454919",GN28:GN81),2)</f>
        <v>93118.22</v>
      </c>
      <c r="FU83" s="4">
        <f>ROUND(SUMIF(AA28:AA81,"=55454919",GO28:GO81),2)</f>
        <v>0</v>
      </c>
      <c r="FV83" s="4">
        <f>ROUND(SUMIF(AA28:AA81,"=55454919",GP28:GP81),2)</f>
        <v>0</v>
      </c>
      <c r="FW83" s="4">
        <f>DU83-FP83</f>
        <v>25881.41</v>
      </c>
      <c r="FX83" s="4">
        <f>DU83-FQ83</f>
        <v>25881.41</v>
      </c>
      <c r="FY83" s="4">
        <f>FP83-FR83</f>
        <v>0</v>
      </c>
      <c r="FZ83" s="4">
        <f>DU83-FP83-FQ83+FR83</f>
        <v>25881.41</v>
      </c>
      <c r="GA83" s="4">
        <f>FQ83-FR83</f>
        <v>0</v>
      </c>
      <c r="GB83" s="4">
        <f>ROUND(SUMIF(AA28:AA81,"=55454919",GX28:GX81),2)</f>
        <v>0</v>
      </c>
      <c r="GC83" s="4">
        <f>ROUND(SUMIF(AA28:AA81,"=55454919",GY28:GY81),2)</f>
        <v>0</v>
      </c>
      <c r="GD83" s="4">
        <f>ROUND(SUMIF(AA28:AA81,"=55454919",GZ28:GZ81),2)</f>
        <v>0</v>
      </c>
      <c r="GE83" s="4">
        <f>ROUND(SUMIF(AA28:AA81,"=55454919",HD28:HD81),2)</f>
        <v>0</v>
      </c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>
        <v>0</v>
      </c>
    </row>
    <row r="85" spans="1:28" ht="12.75">
      <c r="A85" s="5">
        <v>50</v>
      </c>
      <c r="B85" s="5">
        <v>0</v>
      </c>
      <c r="C85" s="5">
        <v>0</v>
      </c>
      <c r="D85" s="5">
        <v>1</v>
      </c>
      <c r="E85" s="5">
        <v>201</v>
      </c>
      <c r="F85" s="5">
        <f>ROUND(Source!O83,O85)</f>
        <v>55773.07</v>
      </c>
      <c r="G85" s="5" t="s">
        <v>148</v>
      </c>
      <c r="H85" s="5" t="s">
        <v>149</v>
      </c>
      <c r="I85" s="5"/>
      <c r="J85" s="5"/>
      <c r="K85" s="5">
        <v>201</v>
      </c>
      <c r="L85" s="5">
        <v>1</v>
      </c>
      <c r="M85" s="5">
        <v>3</v>
      </c>
      <c r="N85" s="5" t="s">
        <v>3</v>
      </c>
      <c r="O85" s="5">
        <v>2</v>
      </c>
      <c r="P85" s="5">
        <f>ROUND(Source!DG83,O85)</f>
        <v>55773.07</v>
      </c>
      <c r="Q85" s="5"/>
      <c r="R85" s="5"/>
      <c r="S85" s="5"/>
      <c r="T85" s="5"/>
      <c r="U85" s="5"/>
      <c r="V85" s="5"/>
      <c r="W85" s="5">
        <v>55773.07</v>
      </c>
      <c r="X85" s="5">
        <v>1</v>
      </c>
      <c r="Y85" s="5">
        <v>55773.07</v>
      </c>
      <c r="Z85" s="5">
        <v>55773.07</v>
      </c>
      <c r="AA85" s="5">
        <v>1</v>
      </c>
      <c r="AB85" s="5">
        <v>1123254.6099999999</v>
      </c>
    </row>
    <row r="86" spans="1:28" ht="12.75">
      <c r="A86" s="5">
        <v>50</v>
      </c>
      <c r="B86" s="5">
        <v>0</v>
      </c>
      <c r="C86" s="5">
        <v>0</v>
      </c>
      <c r="D86" s="5">
        <v>1</v>
      </c>
      <c r="E86" s="5">
        <v>202</v>
      </c>
      <c r="F86" s="5">
        <f>ROUND(Source!P83,O86)</f>
        <v>25881.41</v>
      </c>
      <c r="G86" s="5" t="s">
        <v>150</v>
      </c>
      <c r="H86" s="5" t="s">
        <v>151</v>
      </c>
      <c r="I86" s="5"/>
      <c r="J86" s="5"/>
      <c r="K86" s="5">
        <v>202</v>
      </c>
      <c r="L86" s="5">
        <v>2</v>
      </c>
      <c r="M86" s="5">
        <v>3</v>
      </c>
      <c r="N86" s="5" t="s">
        <v>3</v>
      </c>
      <c r="O86" s="5">
        <v>2</v>
      </c>
      <c r="P86" s="5">
        <f>ROUND(Source!DH83,O86)</f>
        <v>25881.41</v>
      </c>
      <c r="Q86" s="5"/>
      <c r="R86" s="5"/>
      <c r="S86" s="5"/>
      <c r="T86" s="5"/>
      <c r="U86" s="5"/>
      <c r="V86" s="5"/>
      <c r="W86" s="5">
        <v>25881.41</v>
      </c>
      <c r="X86" s="5">
        <v>1</v>
      </c>
      <c r="Y86" s="5">
        <v>25881.41</v>
      </c>
      <c r="Z86" s="5">
        <v>25881.41</v>
      </c>
      <c r="AA86" s="5">
        <v>1</v>
      </c>
      <c r="AB86" s="5">
        <v>0</v>
      </c>
    </row>
    <row r="87" spans="1:28" ht="12.75">
      <c r="A87" s="5">
        <v>50</v>
      </c>
      <c r="B87" s="5">
        <v>0</v>
      </c>
      <c r="C87" s="5">
        <v>0</v>
      </c>
      <c r="D87" s="5">
        <v>1</v>
      </c>
      <c r="E87" s="5">
        <v>222</v>
      </c>
      <c r="F87" s="5">
        <f>ROUND(Source!AO83,O87)</f>
        <v>0</v>
      </c>
      <c r="G87" s="5" t="s">
        <v>152</v>
      </c>
      <c r="H87" s="5" t="s">
        <v>153</v>
      </c>
      <c r="I87" s="5"/>
      <c r="J87" s="5"/>
      <c r="K87" s="5">
        <v>222</v>
      </c>
      <c r="L87" s="5">
        <v>3</v>
      </c>
      <c r="M87" s="5">
        <v>3</v>
      </c>
      <c r="N87" s="5" t="s">
        <v>3</v>
      </c>
      <c r="O87" s="5">
        <v>2</v>
      </c>
      <c r="P87" s="5">
        <f>ROUND(Source!EG83,O87)</f>
        <v>0</v>
      </c>
      <c r="Q87" s="5"/>
      <c r="R87" s="5"/>
      <c r="S87" s="5"/>
      <c r="T87" s="5"/>
      <c r="U87" s="5"/>
      <c r="V87" s="5"/>
      <c r="W87" s="5">
        <v>0</v>
      </c>
      <c r="X87" s="5">
        <v>1</v>
      </c>
      <c r="Y87" s="5">
        <v>0</v>
      </c>
      <c r="Z87" s="5">
        <v>0</v>
      </c>
      <c r="AA87" s="5">
        <v>1</v>
      </c>
      <c r="AB87" s="5">
        <v>0</v>
      </c>
    </row>
    <row r="88" spans="1:28" ht="12.75">
      <c r="A88" s="5">
        <v>50</v>
      </c>
      <c r="B88" s="5">
        <v>0</v>
      </c>
      <c r="C88" s="5">
        <v>0</v>
      </c>
      <c r="D88" s="5">
        <v>1</v>
      </c>
      <c r="E88" s="5">
        <v>225</v>
      </c>
      <c r="F88" s="5">
        <f>ROUND(Source!AV83,O88)</f>
        <v>25881.41</v>
      </c>
      <c r="G88" s="5" t="s">
        <v>154</v>
      </c>
      <c r="H88" s="5" t="s">
        <v>155</v>
      </c>
      <c r="I88" s="5"/>
      <c r="J88" s="5"/>
      <c r="K88" s="5">
        <v>225</v>
      </c>
      <c r="L88" s="5">
        <v>4</v>
      </c>
      <c r="M88" s="5">
        <v>3</v>
      </c>
      <c r="N88" s="5" t="s">
        <v>3</v>
      </c>
      <c r="O88" s="5">
        <v>2</v>
      </c>
      <c r="P88" s="5">
        <f>ROUND(Source!EN83,O88)</f>
        <v>25881.41</v>
      </c>
      <c r="Q88" s="5"/>
      <c r="R88" s="5"/>
      <c r="S88" s="5"/>
      <c r="T88" s="5"/>
      <c r="U88" s="5"/>
      <c r="V88" s="5"/>
      <c r="W88" s="5">
        <v>25881.41</v>
      </c>
      <c r="X88" s="5">
        <v>1</v>
      </c>
      <c r="Y88" s="5">
        <v>25881.41</v>
      </c>
      <c r="Z88" s="5">
        <v>25881.41</v>
      </c>
      <c r="AA88" s="5">
        <v>1</v>
      </c>
      <c r="AB88" s="5">
        <v>0</v>
      </c>
    </row>
    <row r="89" spans="1:28" ht="12.75">
      <c r="A89" s="5">
        <v>50</v>
      </c>
      <c r="B89" s="5">
        <v>0</v>
      </c>
      <c r="C89" s="5">
        <v>0</v>
      </c>
      <c r="D89" s="5">
        <v>1</v>
      </c>
      <c r="E89" s="5">
        <v>226</v>
      </c>
      <c r="F89" s="5">
        <f>ROUND(Source!AW83,O89)</f>
        <v>25881.41</v>
      </c>
      <c r="G89" s="5" t="s">
        <v>156</v>
      </c>
      <c r="H89" s="5" t="s">
        <v>157</v>
      </c>
      <c r="I89" s="5"/>
      <c r="J89" s="5"/>
      <c r="K89" s="5">
        <v>226</v>
      </c>
      <c r="L89" s="5">
        <v>5</v>
      </c>
      <c r="M89" s="5">
        <v>3</v>
      </c>
      <c r="N89" s="5" t="s">
        <v>3</v>
      </c>
      <c r="O89" s="5">
        <v>2</v>
      </c>
      <c r="P89" s="5">
        <f>ROUND(Source!EO83,O89)</f>
        <v>25881.41</v>
      </c>
      <c r="Q89" s="5"/>
      <c r="R89" s="5"/>
      <c r="S89" s="5"/>
      <c r="T89" s="5"/>
      <c r="U89" s="5"/>
      <c r="V89" s="5"/>
      <c r="W89" s="5">
        <v>25881.41</v>
      </c>
      <c r="X89" s="5">
        <v>1</v>
      </c>
      <c r="Y89" s="5">
        <v>25881.41</v>
      </c>
      <c r="Z89" s="5">
        <v>25881.41</v>
      </c>
      <c r="AA89" s="5">
        <v>1</v>
      </c>
      <c r="AB89" s="5">
        <v>176511.22</v>
      </c>
    </row>
    <row r="90" spans="1:28" ht="12.75">
      <c r="A90" s="5">
        <v>50</v>
      </c>
      <c r="B90" s="5">
        <v>0</v>
      </c>
      <c r="C90" s="5">
        <v>0</v>
      </c>
      <c r="D90" s="5">
        <v>1</v>
      </c>
      <c r="E90" s="5">
        <v>227</v>
      </c>
      <c r="F90" s="5">
        <f>ROUND(Source!AX83,O90)</f>
        <v>0</v>
      </c>
      <c r="G90" s="5" t="s">
        <v>158</v>
      </c>
      <c r="H90" s="5" t="s">
        <v>159</v>
      </c>
      <c r="I90" s="5"/>
      <c r="J90" s="5"/>
      <c r="K90" s="5">
        <v>227</v>
      </c>
      <c r="L90" s="5">
        <v>6</v>
      </c>
      <c r="M90" s="5">
        <v>3</v>
      </c>
      <c r="N90" s="5" t="s">
        <v>3</v>
      </c>
      <c r="O90" s="5">
        <v>2</v>
      </c>
      <c r="P90" s="5">
        <f>ROUND(Source!EP83,O90)</f>
        <v>0</v>
      </c>
      <c r="Q90" s="5"/>
      <c r="R90" s="5"/>
      <c r="S90" s="5"/>
      <c r="T90" s="5"/>
      <c r="U90" s="5"/>
      <c r="V90" s="5"/>
      <c r="W90" s="5">
        <v>0</v>
      </c>
      <c r="X90" s="5">
        <v>1</v>
      </c>
      <c r="Y90" s="5">
        <v>0</v>
      </c>
      <c r="Z90" s="5">
        <v>0</v>
      </c>
      <c r="AA90" s="5">
        <v>1</v>
      </c>
      <c r="AB90" s="5">
        <v>0</v>
      </c>
    </row>
    <row r="91" spans="1:28" ht="12.75">
      <c r="A91" s="5">
        <v>50</v>
      </c>
      <c r="B91" s="5">
        <v>0</v>
      </c>
      <c r="C91" s="5">
        <v>0</v>
      </c>
      <c r="D91" s="5">
        <v>1</v>
      </c>
      <c r="E91" s="5">
        <v>228</v>
      </c>
      <c r="F91" s="5">
        <f>ROUND(Source!AY83,O91)</f>
        <v>25881.41</v>
      </c>
      <c r="G91" s="5" t="s">
        <v>160</v>
      </c>
      <c r="H91" s="5" t="s">
        <v>161</v>
      </c>
      <c r="I91" s="5"/>
      <c r="J91" s="5"/>
      <c r="K91" s="5">
        <v>228</v>
      </c>
      <c r="L91" s="5">
        <v>7</v>
      </c>
      <c r="M91" s="5">
        <v>3</v>
      </c>
      <c r="N91" s="5" t="s">
        <v>3</v>
      </c>
      <c r="O91" s="5">
        <v>2</v>
      </c>
      <c r="P91" s="5">
        <f>ROUND(Source!EQ83,O91)</f>
        <v>25881.41</v>
      </c>
      <c r="Q91" s="5"/>
      <c r="R91" s="5"/>
      <c r="S91" s="5"/>
      <c r="T91" s="5"/>
      <c r="U91" s="5"/>
      <c r="V91" s="5"/>
      <c r="W91" s="5">
        <v>25881.41</v>
      </c>
      <c r="X91" s="5">
        <v>1</v>
      </c>
      <c r="Y91" s="5">
        <v>25881.41</v>
      </c>
      <c r="Z91" s="5">
        <v>25881.41</v>
      </c>
      <c r="AA91" s="5">
        <v>1</v>
      </c>
      <c r="AB91" s="5">
        <v>176511.22</v>
      </c>
    </row>
    <row r="92" spans="1:28" ht="12.75">
      <c r="A92" s="5">
        <v>50</v>
      </c>
      <c r="B92" s="5">
        <v>0</v>
      </c>
      <c r="C92" s="5">
        <v>0</v>
      </c>
      <c r="D92" s="5">
        <v>1</v>
      </c>
      <c r="E92" s="5">
        <v>216</v>
      </c>
      <c r="F92" s="5">
        <f>ROUND(Source!AP83,O92)</f>
        <v>0</v>
      </c>
      <c r="G92" s="5" t="s">
        <v>162</v>
      </c>
      <c r="H92" s="5" t="s">
        <v>163</v>
      </c>
      <c r="I92" s="5"/>
      <c r="J92" s="5"/>
      <c r="K92" s="5">
        <v>216</v>
      </c>
      <c r="L92" s="5">
        <v>8</v>
      </c>
      <c r="M92" s="5">
        <v>3</v>
      </c>
      <c r="N92" s="5" t="s">
        <v>3</v>
      </c>
      <c r="O92" s="5">
        <v>2</v>
      </c>
      <c r="P92" s="5">
        <f>ROUND(Source!EH83,O92)</f>
        <v>0</v>
      </c>
      <c r="Q92" s="5"/>
      <c r="R92" s="5"/>
      <c r="S92" s="5"/>
      <c r="T92" s="5"/>
      <c r="U92" s="5"/>
      <c r="V92" s="5"/>
      <c r="W92" s="5">
        <v>0</v>
      </c>
      <c r="X92" s="5">
        <v>1</v>
      </c>
      <c r="Y92" s="5">
        <v>0</v>
      </c>
      <c r="Z92" s="5">
        <v>0</v>
      </c>
      <c r="AA92" s="5">
        <v>1</v>
      </c>
      <c r="AB92" s="5">
        <v>0</v>
      </c>
    </row>
    <row r="93" spans="1:28" ht="12.75">
      <c r="A93" s="5">
        <v>50</v>
      </c>
      <c r="B93" s="5">
        <v>0</v>
      </c>
      <c r="C93" s="5">
        <v>0</v>
      </c>
      <c r="D93" s="5">
        <v>1</v>
      </c>
      <c r="E93" s="5">
        <v>223</v>
      </c>
      <c r="F93" s="5">
        <f>ROUND(Source!AQ83,O93)</f>
        <v>0</v>
      </c>
      <c r="G93" s="5" t="s">
        <v>164</v>
      </c>
      <c r="H93" s="5" t="s">
        <v>165</v>
      </c>
      <c r="I93" s="5"/>
      <c r="J93" s="5"/>
      <c r="K93" s="5">
        <v>223</v>
      </c>
      <c r="L93" s="5">
        <v>9</v>
      </c>
      <c r="M93" s="5">
        <v>3</v>
      </c>
      <c r="N93" s="5" t="s">
        <v>3</v>
      </c>
      <c r="O93" s="5">
        <v>2</v>
      </c>
      <c r="P93" s="5">
        <f>ROUND(Source!EI83,O93)</f>
        <v>0</v>
      </c>
      <c r="Q93" s="5"/>
      <c r="R93" s="5"/>
      <c r="S93" s="5"/>
      <c r="T93" s="5"/>
      <c r="U93" s="5"/>
      <c r="V93" s="5"/>
      <c r="W93" s="5">
        <v>0</v>
      </c>
      <c r="X93" s="5">
        <v>1</v>
      </c>
      <c r="Y93" s="5">
        <v>0</v>
      </c>
      <c r="Z93" s="5">
        <v>0</v>
      </c>
      <c r="AA93" s="5">
        <v>1</v>
      </c>
      <c r="AB93" s="5">
        <v>0</v>
      </c>
    </row>
    <row r="94" spans="1:28" ht="12.75">
      <c r="A94" s="5">
        <v>50</v>
      </c>
      <c r="B94" s="5">
        <v>0</v>
      </c>
      <c r="C94" s="5">
        <v>0</v>
      </c>
      <c r="D94" s="5">
        <v>1</v>
      </c>
      <c r="E94" s="5">
        <v>229</v>
      </c>
      <c r="F94" s="5">
        <f>ROUND(Source!AZ83,O94)</f>
        <v>0</v>
      </c>
      <c r="G94" s="5" t="s">
        <v>166</v>
      </c>
      <c r="H94" s="5" t="s">
        <v>167</v>
      </c>
      <c r="I94" s="5"/>
      <c r="J94" s="5"/>
      <c r="K94" s="5">
        <v>229</v>
      </c>
      <c r="L94" s="5">
        <v>10</v>
      </c>
      <c r="M94" s="5">
        <v>3</v>
      </c>
      <c r="N94" s="5" t="s">
        <v>3</v>
      </c>
      <c r="O94" s="5">
        <v>2</v>
      </c>
      <c r="P94" s="5">
        <f>ROUND(Source!ER83,O94)</f>
        <v>0</v>
      </c>
      <c r="Q94" s="5"/>
      <c r="R94" s="5"/>
      <c r="S94" s="5"/>
      <c r="T94" s="5"/>
      <c r="U94" s="5"/>
      <c r="V94" s="5"/>
      <c r="W94" s="5">
        <v>0</v>
      </c>
      <c r="X94" s="5">
        <v>1</v>
      </c>
      <c r="Y94" s="5">
        <v>0</v>
      </c>
      <c r="Z94" s="5">
        <v>0</v>
      </c>
      <c r="AA94" s="5">
        <v>1</v>
      </c>
      <c r="AB94" s="5">
        <v>0</v>
      </c>
    </row>
    <row r="95" spans="1:28" ht="12.75">
      <c r="A95" s="5">
        <v>50</v>
      </c>
      <c r="B95" s="5">
        <v>0</v>
      </c>
      <c r="C95" s="5">
        <v>0</v>
      </c>
      <c r="D95" s="5">
        <v>1</v>
      </c>
      <c r="E95" s="5">
        <v>203</v>
      </c>
      <c r="F95" s="5">
        <f>ROUND(Source!Q83,O95)</f>
        <v>6102.36</v>
      </c>
      <c r="G95" s="5" t="s">
        <v>168</v>
      </c>
      <c r="H95" s="5" t="s">
        <v>169</v>
      </c>
      <c r="I95" s="5"/>
      <c r="J95" s="5"/>
      <c r="K95" s="5">
        <v>203</v>
      </c>
      <c r="L95" s="5">
        <v>11</v>
      </c>
      <c r="M95" s="5">
        <v>3</v>
      </c>
      <c r="N95" s="5" t="s">
        <v>3</v>
      </c>
      <c r="O95" s="5">
        <v>2</v>
      </c>
      <c r="P95" s="5">
        <f>ROUND(Source!DI83,O95)</f>
        <v>6102.36</v>
      </c>
      <c r="Q95" s="5"/>
      <c r="R95" s="5"/>
      <c r="S95" s="5"/>
      <c r="T95" s="5"/>
      <c r="U95" s="5"/>
      <c r="V95" s="5"/>
      <c r="W95" s="5">
        <v>6102.360000000001</v>
      </c>
      <c r="X95" s="5">
        <v>1</v>
      </c>
      <c r="Y95" s="5">
        <v>6102.360000000001</v>
      </c>
      <c r="Z95" s="5">
        <v>6102.360000000001</v>
      </c>
      <c r="AA95" s="5">
        <v>1</v>
      </c>
      <c r="AB95" s="5">
        <v>79147.61</v>
      </c>
    </row>
    <row r="96" spans="1:28" ht="12.75">
      <c r="A96" s="5">
        <v>50</v>
      </c>
      <c r="B96" s="5">
        <v>0</v>
      </c>
      <c r="C96" s="5">
        <v>0</v>
      </c>
      <c r="D96" s="5">
        <v>1</v>
      </c>
      <c r="E96" s="5">
        <v>231</v>
      </c>
      <c r="F96" s="5">
        <f>ROUND(Source!BB83,O96)</f>
        <v>0</v>
      </c>
      <c r="G96" s="5" t="s">
        <v>170</v>
      </c>
      <c r="H96" s="5" t="s">
        <v>171</v>
      </c>
      <c r="I96" s="5"/>
      <c r="J96" s="5"/>
      <c r="K96" s="5">
        <v>231</v>
      </c>
      <c r="L96" s="5">
        <v>12</v>
      </c>
      <c r="M96" s="5">
        <v>3</v>
      </c>
      <c r="N96" s="5" t="s">
        <v>3</v>
      </c>
      <c r="O96" s="5">
        <v>2</v>
      </c>
      <c r="P96" s="5">
        <f>ROUND(Source!ET83,O96)</f>
        <v>0</v>
      </c>
      <c r="Q96" s="5"/>
      <c r="R96" s="5"/>
      <c r="S96" s="5"/>
      <c r="T96" s="5"/>
      <c r="U96" s="5"/>
      <c r="V96" s="5"/>
      <c r="W96" s="5">
        <v>0</v>
      </c>
      <c r="X96" s="5">
        <v>1</v>
      </c>
      <c r="Y96" s="5">
        <v>0</v>
      </c>
      <c r="Z96" s="5">
        <v>0</v>
      </c>
      <c r="AA96" s="5">
        <v>1</v>
      </c>
      <c r="AB96" s="5">
        <v>0</v>
      </c>
    </row>
    <row r="97" spans="1:28" ht="12.75">
      <c r="A97" s="5">
        <v>50</v>
      </c>
      <c r="B97" s="5">
        <v>0</v>
      </c>
      <c r="C97" s="5">
        <v>0</v>
      </c>
      <c r="D97" s="5">
        <v>1</v>
      </c>
      <c r="E97" s="5">
        <v>204</v>
      </c>
      <c r="F97" s="5">
        <f>ROUND(Source!R83,O97)</f>
        <v>356.48</v>
      </c>
      <c r="G97" s="5" t="s">
        <v>172</v>
      </c>
      <c r="H97" s="5" t="s">
        <v>173</v>
      </c>
      <c r="I97" s="5"/>
      <c r="J97" s="5"/>
      <c r="K97" s="5">
        <v>204</v>
      </c>
      <c r="L97" s="5">
        <v>13</v>
      </c>
      <c r="M97" s="5">
        <v>3</v>
      </c>
      <c r="N97" s="5" t="s">
        <v>3</v>
      </c>
      <c r="O97" s="5">
        <v>2</v>
      </c>
      <c r="P97" s="5">
        <f>ROUND(Source!DJ83,O97)</f>
        <v>356.48</v>
      </c>
      <c r="Q97" s="5"/>
      <c r="R97" s="5"/>
      <c r="S97" s="5"/>
      <c r="T97" s="5"/>
      <c r="U97" s="5"/>
      <c r="V97" s="5"/>
      <c r="W97" s="5">
        <v>356.48</v>
      </c>
      <c r="X97" s="5">
        <v>1</v>
      </c>
      <c r="Y97" s="5">
        <v>356.48</v>
      </c>
      <c r="Z97" s="5">
        <v>356.48</v>
      </c>
      <c r="AA97" s="5">
        <v>1</v>
      </c>
      <c r="AB97" s="5">
        <v>13000.830000000002</v>
      </c>
    </row>
    <row r="98" spans="1:28" ht="12.75">
      <c r="A98" s="5">
        <v>50</v>
      </c>
      <c r="B98" s="5">
        <v>0</v>
      </c>
      <c r="C98" s="5">
        <v>0</v>
      </c>
      <c r="D98" s="5">
        <v>1</v>
      </c>
      <c r="E98" s="5">
        <v>205</v>
      </c>
      <c r="F98" s="5">
        <f>ROUND(Source!S83,O98)</f>
        <v>23789.3</v>
      </c>
      <c r="G98" s="5" t="s">
        <v>174</v>
      </c>
      <c r="H98" s="5" t="s">
        <v>175</v>
      </c>
      <c r="I98" s="5"/>
      <c r="J98" s="5"/>
      <c r="K98" s="5">
        <v>205</v>
      </c>
      <c r="L98" s="5">
        <v>14</v>
      </c>
      <c r="M98" s="5">
        <v>3</v>
      </c>
      <c r="N98" s="5" t="s">
        <v>3</v>
      </c>
      <c r="O98" s="5">
        <v>2</v>
      </c>
      <c r="P98" s="5">
        <f>ROUND(Source!DK83,O98)</f>
        <v>23789.3</v>
      </c>
      <c r="Q98" s="5"/>
      <c r="R98" s="5"/>
      <c r="S98" s="5"/>
      <c r="T98" s="5"/>
      <c r="U98" s="5"/>
      <c r="V98" s="5"/>
      <c r="W98" s="5">
        <v>23789.3</v>
      </c>
      <c r="X98" s="5">
        <v>1</v>
      </c>
      <c r="Y98" s="5">
        <v>23789.3</v>
      </c>
      <c r="Z98" s="5">
        <v>23789.3</v>
      </c>
      <c r="AA98" s="5">
        <v>1</v>
      </c>
      <c r="AB98" s="5">
        <v>867595.7799999999</v>
      </c>
    </row>
    <row r="99" spans="1:28" ht="12.75">
      <c r="A99" s="5">
        <v>50</v>
      </c>
      <c r="B99" s="5">
        <v>0</v>
      </c>
      <c r="C99" s="5">
        <v>0</v>
      </c>
      <c r="D99" s="5">
        <v>1</v>
      </c>
      <c r="E99" s="5">
        <v>232</v>
      </c>
      <c r="F99" s="5">
        <f>ROUND(Source!BC83,O99)</f>
        <v>0</v>
      </c>
      <c r="G99" s="5" t="s">
        <v>176</v>
      </c>
      <c r="H99" s="5" t="s">
        <v>177</v>
      </c>
      <c r="I99" s="5"/>
      <c r="J99" s="5"/>
      <c r="K99" s="5">
        <v>232</v>
      </c>
      <c r="L99" s="5">
        <v>15</v>
      </c>
      <c r="M99" s="5">
        <v>3</v>
      </c>
      <c r="N99" s="5" t="s">
        <v>3</v>
      </c>
      <c r="O99" s="5">
        <v>2</v>
      </c>
      <c r="P99" s="5">
        <f>ROUND(Source!EU83,O99)</f>
        <v>0</v>
      </c>
      <c r="Q99" s="5"/>
      <c r="R99" s="5"/>
      <c r="S99" s="5"/>
      <c r="T99" s="5"/>
      <c r="U99" s="5"/>
      <c r="V99" s="5"/>
      <c r="W99" s="5">
        <v>0</v>
      </c>
      <c r="X99" s="5">
        <v>1</v>
      </c>
      <c r="Y99" s="5">
        <v>0</v>
      </c>
      <c r="Z99" s="5">
        <v>0</v>
      </c>
      <c r="AA99" s="5">
        <v>1</v>
      </c>
      <c r="AB99" s="5">
        <v>0</v>
      </c>
    </row>
    <row r="100" spans="1:28" ht="12.75">
      <c r="A100" s="5">
        <v>50</v>
      </c>
      <c r="B100" s="5">
        <v>0</v>
      </c>
      <c r="C100" s="5">
        <v>0</v>
      </c>
      <c r="D100" s="5">
        <v>1</v>
      </c>
      <c r="E100" s="5">
        <v>214</v>
      </c>
      <c r="F100" s="5">
        <f>ROUND(Source!AS83,O100)</f>
        <v>93118.22</v>
      </c>
      <c r="G100" s="5" t="s">
        <v>178</v>
      </c>
      <c r="H100" s="5" t="s">
        <v>179</v>
      </c>
      <c r="I100" s="5"/>
      <c r="J100" s="5"/>
      <c r="K100" s="5">
        <v>214</v>
      </c>
      <c r="L100" s="5">
        <v>16</v>
      </c>
      <c r="M100" s="5">
        <v>3</v>
      </c>
      <c r="N100" s="5" t="s">
        <v>3</v>
      </c>
      <c r="O100" s="5">
        <v>2</v>
      </c>
      <c r="P100" s="5">
        <f>ROUND(Source!EK83,O100)</f>
        <v>93118.22</v>
      </c>
      <c r="Q100" s="5"/>
      <c r="R100" s="5"/>
      <c r="S100" s="5"/>
      <c r="T100" s="5"/>
      <c r="U100" s="5"/>
      <c r="V100" s="5"/>
      <c r="W100" s="5">
        <v>93118.22</v>
      </c>
      <c r="X100" s="5">
        <v>1</v>
      </c>
      <c r="Y100" s="5">
        <v>93118.22</v>
      </c>
      <c r="Z100" s="5">
        <v>93118.22</v>
      </c>
      <c r="AA100" s="5">
        <v>1</v>
      </c>
      <c r="AB100" s="5">
        <v>2485231.98</v>
      </c>
    </row>
    <row r="101" spans="1:28" ht="12.75">
      <c r="A101" s="5">
        <v>50</v>
      </c>
      <c r="B101" s="5">
        <v>0</v>
      </c>
      <c r="C101" s="5">
        <v>0</v>
      </c>
      <c r="D101" s="5">
        <v>1</v>
      </c>
      <c r="E101" s="5">
        <v>215</v>
      </c>
      <c r="F101" s="5">
        <f>ROUND(Source!AT83,O101)</f>
        <v>0</v>
      </c>
      <c r="G101" s="5" t="s">
        <v>180</v>
      </c>
      <c r="H101" s="5" t="s">
        <v>181</v>
      </c>
      <c r="I101" s="5"/>
      <c r="J101" s="5"/>
      <c r="K101" s="5">
        <v>215</v>
      </c>
      <c r="L101" s="5">
        <v>17</v>
      </c>
      <c r="M101" s="5">
        <v>3</v>
      </c>
      <c r="N101" s="5" t="s">
        <v>3</v>
      </c>
      <c r="O101" s="5">
        <v>2</v>
      </c>
      <c r="P101" s="5">
        <f>ROUND(Source!EL83,O101)</f>
        <v>0</v>
      </c>
      <c r="Q101" s="5"/>
      <c r="R101" s="5"/>
      <c r="S101" s="5"/>
      <c r="T101" s="5"/>
      <c r="U101" s="5"/>
      <c r="V101" s="5"/>
      <c r="W101" s="5">
        <v>0</v>
      </c>
      <c r="X101" s="5">
        <v>1</v>
      </c>
      <c r="Y101" s="5">
        <v>0</v>
      </c>
      <c r="Z101" s="5">
        <v>0</v>
      </c>
      <c r="AA101" s="5">
        <v>1</v>
      </c>
      <c r="AB101" s="5">
        <v>0</v>
      </c>
    </row>
    <row r="102" spans="1:28" ht="12.75">
      <c r="A102" s="5">
        <v>50</v>
      </c>
      <c r="B102" s="5">
        <v>0</v>
      </c>
      <c r="C102" s="5">
        <v>0</v>
      </c>
      <c r="D102" s="5">
        <v>1</v>
      </c>
      <c r="E102" s="5">
        <v>217</v>
      </c>
      <c r="F102" s="5">
        <f>ROUND(Source!AU83,O102)</f>
        <v>0</v>
      </c>
      <c r="G102" s="5" t="s">
        <v>182</v>
      </c>
      <c r="H102" s="5" t="s">
        <v>183</v>
      </c>
      <c r="I102" s="5"/>
      <c r="J102" s="5"/>
      <c r="K102" s="5">
        <v>217</v>
      </c>
      <c r="L102" s="5">
        <v>18</v>
      </c>
      <c r="M102" s="5">
        <v>3</v>
      </c>
      <c r="N102" s="5" t="s">
        <v>3</v>
      </c>
      <c r="O102" s="5">
        <v>2</v>
      </c>
      <c r="P102" s="5">
        <f>ROUND(Source!EM83,O102)</f>
        <v>0</v>
      </c>
      <c r="Q102" s="5"/>
      <c r="R102" s="5"/>
      <c r="S102" s="5"/>
      <c r="T102" s="5"/>
      <c r="U102" s="5"/>
      <c r="V102" s="5"/>
      <c r="W102" s="5">
        <v>0</v>
      </c>
      <c r="X102" s="5">
        <v>1</v>
      </c>
      <c r="Y102" s="5">
        <v>0</v>
      </c>
      <c r="Z102" s="5">
        <v>0</v>
      </c>
      <c r="AA102" s="5">
        <v>1</v>
      </c>
      <c r="AB102" s="5">
        <v>0</v>
      </c>
    </row>
    <row r="103" spans="1:28" ht="12.75">
      <c r="A103" s="5">
        <v>50</v>
      </c>
      <c r="B103" s="5">
        <v>0</v>
      </c>
      <c r="C103" s="5">
        <v>0</v>
      </c>
      <c r="D103" s="5">
        <v>1</v>
      </c>
      <c r="E103" s="5">
        <v>230</v>
      </c>
      <c r="F103" s="5">
        <f>ROUND(Source!BA83,O103)</f>
        <v>0</v>
      </c>
      <c r="G103" s="5" t="s">
        <v>184</v>
      </c>
      <c r="H103" s="5" t="s">
        <v>185</v>
      </c>
      <c r="I103" s="5"/>
      <c r="J103" s="5"/>
      <c r="K103" s="5">
        <v>230</v>
      </c>
      <c r="L103" s="5">
        <v>19</v>
      </c>
      <c r="M103" s="5">
        <v>3</v>
      </c>
      <c r="N103" s="5" t="s">
        <v>3</v>
      </c>
      <c r="O103" s="5">
        <v>2</v>
      </c>
      <c r="P103" s="5">
        <f>ROUND(Source!ES83,O103)</f>
        <v>0</v>
      </c>
      <c r="Q103" s="5"/>
      <c r="R103" s="5"/>
      <c r="S103" s="5"/>
      <c r="T103" s="5"/>
      <c r="U103" s="5"/>
      <c r="V103" s="5"/>
      <c r="W103" s="5">
        <v>0</v>
      </c>
      <c r="X103" s="5">
        <v>1</v>
      </c>
      <c r="Y103" s="5">
        <v>0</v>
      </c>
      <c r="Z103" s="5">
        <v>0</v>
      </c>
      <c r="AA103" s="5">
        <v>1</v>
      </c>
      <c r="AB103" s="5">
        <v>0</v>
      </c>
    </row>
    <row r="104" spans="1:28" ht="12.75">
      <c r="A104" s="5">
        <v>50</v>
      </c>
      <c r="B104" s="5">
        <v>0</v>
      </c>
      <c r="C104" s="5">
        <v>0</v>
      </c>
      <c r="D104" s="5">
        <v>1</v>
      </c>
      <c r="E104" s="5">
        <v>206</v>
      </c>
      <c r="F104" s="5">
        <f>ROUND(Source!T83,O104)</f>
        <v>0</v>
      </c>
      <c r="G104" s="5" t="s">
        <v>186</v>
      </c>
      <c r="H104" s="5" t="s">
        <v>187</v>
      </c>
      <c r="I104" s="5"/>
      <c r="J104" s="5"/>
      <c r="K104" s="5">
        <v>206</v>
      </c>
      <c r="L104" s="5">
        <v>20</v>
      </c>
      <c r="M104" s="5">
        <v>3</v>
      </c>
      <c r="N104" s="5" t="s">
        <v>3</v>
      </c>
      <c r="O104" s="5">
        <v>2</v>
      </c>
      <c r="P104" s="5">
        <f>ROUND(Source!DL83,O104)</f>
        <v>0</v>
      </c>
      <c r="Q104" s="5"/>
      <c r="R104" s="5"/>
      <c r="S104" s="5"/>
      <c r="T104" s="5"/>
      <c r="U104" s="5"/>
      <c r="V104" s="5"/>
      <c r="W104" s="5">
        <v>0</v>
      </c>
      <c r="X104" s="5">
        <v>1</v>
      </c>
      <c r="Y104" s="5">
        <v>0</v>
      </c>
      <c r="Z104" s="5">
        <v>0</v>
      </c>
      <c r="AA104" s="5">
        <v>1</v>
      </c>
      <c r="AB104" s="5">
        <v>0</v>
      </c>
    </row>
    <row r="105" spans="1:28" ht="12.75">
      <c r="A105" s="5">
        <v>50</v>
      </c>
      <c r="B105" s="5">
        <v>0</v>
      </c>
      <c r="C105" s="5">
        <v>0</v>
      </c>
      <c r="D105" s="5">
        <v>1</v>
      </c>
      <c r="E105" s="5">
        <v>207</v>
      </c>
      <c r="F105" s="5">
        <f>Source!U83</f>
        <v>2742.729385</v>
      </c>
      <c r="G105" s="5" t="s">
        <v>188</v>
      </c>
      <c r="H105" s="5" t="s">
        <v>189</v>
      </c>
      <c r="I105" s="5"/>
      <c r="J105" s="5"/>
      <c r="K105" s="5">
        <v>207</v>
      </c>
      <c r="L105" s="5">
        <v>21</v>
      </c>
      <c r="M105" s="5">
        <v>3</v>
      </c>
      <c r="N105" s="5" t="s">
        <v>3</v>
      </c>
      <c r="O105" s="5">
        <v>-1</v>
      </c>
      <c r="P105" s="5">
        <f>Source!DM83</f>
        <v>2742.729385</v>
      </c>
      <c r="Q105" s="5"/>
      <c r="R105" s="5"/>
      <c r="S105" s="5"/>
      <c r="T105" s="5"/>
      <c r="U105" s="5"/>
      <c r="V105" s="5"/>
      <c r="W105" s="5">
        <v>2742.729385</v>
      </c>
      <c r="X105" s="5">
        <v>1</v>
      </c>
      <c r="Y105" s="5">
        <v>2742.729385</v>
      </c>
      <c r="Z105" s="5">
        <v>2742.729385</v>
      </c>
      <c r="AA105" s="5">
        <v>1</v>
      </c>
      <c r="AB105" s="5">
        <v>2742.729385</v>
      </c>
    </row>
    <row r="106" spans="1:28" ht="12.75">
      <c r="A106" s="5">
        <v>50</v>
      </c>
      <c r="B106" s="5">
        <v>0</v>
      </c>
      <c r="C106" s="5">
        <v>0</v>
      </c>
      <c r="D106" s="5">
        <v>1</v>
      </c>
      <c r="E106" s="5">
        <v>208</v>
      </c>
      <c r="F106" s="5">
        <f>Source!V83</f>
        <v>29.961520000000004</v>
      </c>
      <c r="G106" s="5" t="s">
        <v>190</v>
      </c>
      <c r="H106" s="5" t="s">
        <v>191</v>
      </c>
      <c r="I106" s="5"/>
      <c r="J106" s="5"/>
      <c r="K106" s="5">
        <v>208</v>
      </c>
      <c r="L106" s="5">
        <v>22</v>
      </c>
      <c r="M106" s="5">
        <v>3</v>
      </c>
      <c r="N106" s="5" t="s">
        <v>3</v>
      </c>
      <c r="O106" s="5">
        <v>-1</v>
      </c>
      <c r="P106" s="5">
        <f>Source!DN83</f>
        <v>29.961520000000004</v>
      </c>
      <c r="Q106" s="5"/>
      <c r="R106" s="5"/>
      <c r="S106" s="5"/>
      <c r="T106" s="5"/>
      <c r="U106" s="5"/>
      <c r="V106" s="5"/>
      <c r="W106" s="5">
        <v>29.96152</v>
      </c>
      <c r="X106" s="5">
        <v>1</v>
      </c>
      <c r="Y106" s="5">
        <v>29.96152</v>
      </c>
      <c r="Z106" s="5">
        <v>29.96152</v>
      </c>
      <c r="AA106" s="5">
        <v>1</v>
      </c>
      <c r="AB106" s="5">
        <v>29.96152</v>
      </c>
    </row>
    <row r="107" spans="1:28" ht="12.75">
      <c r="A107" s="5">
        <v>50</v>
      </c>
      <c r="B107" s="5">
        <v>0</v>
      </c>
      <c r="C107" s="5">
        <v>0</v>
      </c>
      <c r="D107" s="5">
        <v>1</v>
      </c>
      <c r="E107" s="5">
        <v>209</v>
      </c>
      <c r="F107" s="5">
        <f>ROUND(Source!W83,O107)</f>
        <v>0</v>
      </c>
      <c r="G107" s="5" t="s">
        <v>192</v>
      </c>
      <c r="H107" s="5" t="s">
        <v>193</v>
      </c>
      <c r="I107" s="5"/>
      <c r="J107" s="5"/>
      <c r="K107" s="5">
        <v>209</v>
      </c>
      <c r="L107" s="5">
        <v>23</v>
      </c>
      <c r="M107" s="5">
        <v>3</v>
      </c>
      <c r="N107" s="5" t="s">
        <v>3</v>
      </c>
      <c r="O107" s="5">
        <v>2</v>
      </c>
      <c r="P107" s="5">
        <f>ROUND(Source!DO83,O107)</f>
        <v>0</v>
      </c>
      <c r="Q107" s="5"/>
      <c r="R107" s="5"/>
      <c r="S107" s="5"/>
      <c r="T107" s="5"/>
      <c r="U107" s="5"/>
      <c r="V107" s="5"/>
      <c r="W107" s="5">
        <v>0</v>
      </c>
      <c r="X107" s="5">
        <v>1</v>
      </c>
      <c r="Y107" s="5">
        <v>0</v>
      </c>
      <c r="Z107" s="5">
        <v>0</v>
      </c>
      <c r="AA107" s="5">
        <v>1</v>
      </c>
      <c r="AB107" s="5">
        <v>0</v>
      </c>
    </row>
    <row r="108" spans="1:28" ht="12.75">
      <c r="A108" s="5">
        <v>50</v>
      </c>
      <c r="B108" s="5">
        <v>0</v>
      </c>
      <c r="C108" s="5">
        <v>0</v>
      </c>
      <c r="D108" s="5">
        <v>1</v>
      </c>
      <c r="E108" s="5">
        <v>233</v>
      </c>
      <c r="F108" s="5">
        <f>ROUND(Source!BD83,O108)</f>
        <v>0</v>
      </c>
      <c r="G108" s="5" t="s">
        <v>194</v>
      </c>
      <c r="H108" s="5" t="s">
        <v>195</v>
      </c>
      <c r="I108" s="5"/>
      <c r="J108" s="5"/>
      <c r="K108" s="5">
        <v>233</v>
      </c>
      <c r="L108" s="5">
        <v>24</v>
      </c>
      <c r="M108" s="5">
        <v>3</v>
      </c>
      <c r="N108" s="5" t="s">
        <v>3</v>
      </c>
      <c r="O108" s="5">
        <v>2</v>
      </c>
      <c r="P108" s="5">
        <f>ROUND(Source!EV83,O108)</f>
        <v>0</v>
      </c>
      <c r="Q108" s="5"/>
      <c r="R108" s="5"/>
      <c r="S108" s="5"/>
      <c r="T108" s="5"/>
      <c r="U108" s="5"/>
      <c r="V108" s="5"/>
      <c r="W108" s="5">
        <v>0</v>
      </c>
      <c r="X108" s="5">
        <v>1</v>
      </c>
      <c r="Y108" s="5">
        <v>0</v>
      </c>
      <c r="Z108" s="5">
        <v>0</v>
      </c>
      <c r="AA108" s="5">
        <v>1</v>
      </c>
      <c r="AB108" s="5">
        <v>0</v>
      </c>
    </row>
    <row r="109" spans="1:28" ht="12.75">
      <c r="A109" s="5">
        <v>50</v>
      </c>
      <c r="B109" s="5">
        <v>0</v>
      </c>
      <c r="C109" s="5">
        <v>0</v>
      </c>
      <c r="D109" s="5">
        <v>1</v>
      </c>
      <c r="E109" s="5">
        <v>210</v>
      </c>
      <c r="F109" s="5">
        <f>ROUND(Source!X83,O109)</f>
        <v>24089.8</v>
      </c>
      <c r="G109" s="5" t="s">
        <v>196</v>
      </c>
      <c r="H109" s="5" t="s">
        <v>197</v>
      </c>
      <c r="I109" s="5"/>
      <c r="J109" s="5"/>
      <c r="K109" s="5">
        <v>210</v>
      </c>
      <c r="L109" s="5">
        <v>25</v>
      </c>
      <c r="M109" s="5">
        <v>3</v>
      </c>
      <c r="N109" s="5" t="s">
        <v>3</v>
      </c>
      <c r="O109" s="5">
        <v>2</v>
      </c>
      <c r="P109" s="5">
        <f>ROUND(Source!DP83,O109)</f>
        <v>24089.8</v>
      </c>
      <c r="Q109" s="5"/>
      <c r="R109" s="5"/>
      <c r="S109" s="5"/>
      <c r="T109" s="5"/>
      <c r="U109" s="5"/>
      <c r="V109" s="5"/>
      <c r="W109" s="5">
        <v>24089.8</v>
      </c>
      <c r="X109" s="5">
        <v>1</v>
      </c>
      <c r="Y109" s="5">
        <v>24089.8</v>
      </c>
      <c r="Z109" s="5">
        <v>24089.8</v>
      </c>
      <c r="AA109" s="5">
        <v>1</v>
      </c>
      <c r="AB109" s="5">
        <v>878555.1000000001</v>
      </c>
    </row>
    <row r="110" spans="1:28" ht="12.75">
      <c r="A110" s="5">
        <v>50</v>
      </c>
      <c r="B110" s="5">
        <v>0</v>
      </c>
      <c r="C110" s="5">
        <v>0</v>
      </c>
      <c r="D110" s="5">
        <v>1</v>
      </c>
      <c r="E110" s="5">
        <v>211</v>
      </c>
      <c r="F110" s="5">
        <f>ROUND(Source!Y83,O110)</f>
        <v>13255.35</v>
      </c>
      <c r="G110" s="5" t="s">
        <v>198</v>
      </c>
      <c r="H110" s="5" t="s">
        <v>199</v>
      </c>
      <c r="I110" s="5"/>
      <c r="J110" s="5"/>
      <c r="K110" s="5">
        <v>211</v>
      </c>
      <c r="L110" s="5">
        <v>26</v>
      </c>
      <c r="M110" s="5">
        <v>3</v>
      </c>
      <c r="N110" s="5" t="s">
        <v>3</v>
      </c>
      <c r="O110" s="5">
        <v>2</v>
      </c>
      <c r="P110" s="5">
        <f>ROUND(Source!DQ83,O110)</f>
        <v>13255.35</v>
      </c>
      <c r="Q110" s="5"/>
      <c r="R110" s="5"/>
      <c r="S110" s="5"/>
      <c r="T110" s="5"/>
      <c r="U110" s="5"/>
      <c r="V110" s="5"/>
      <c r="W110" s="5">
        <v>13255.35</v>
      </c>
      <c r="X110" s="5">
        <v>1</v>
      </c>
      <c r="Y110" s="5">
        <v>13255.35</v>
      </c>
      <c r="Z110" s="5">
        <v>13255.35</v>
      </c>
      <c r="AA110" s="5">
        <v>1</v>
      </c>
      <c r="AB110" s="5">
        <v>483422.27</v>
      </c>
    </row>
    <row r="111" spans="1:28" ht="12.75">
      <c r="A111" s="5">
        <v>50</v>
      </c>
      <c r="B111" s="5">
        <v>0</v>
      </c>
      <c r="C111" s="5">
        <v>0</v>
      </c>
      <c r="D111" s="5">
        <v>1</v>
      </c>
      <c r="E111" s="5">
        <v>224</v>
      </c>
      <c r="F111" s="5">
        <f>ROUND(Source!AR83,O111)</f>
        <v>93118.22</v>
      </c>
      <c r="G111" s="5" t="s">
        <v>200</v>
      </c>
      <c r="H111" s="5" t="s">
        <v>201</v>
      </c>
      <c r="I111" s="5"/>
      <c r="J111" s="5"/>
      <c r="K111" s="5">
        <v>224</v>
      </c>
      <c r="L111" s="5">
        <v>27</v>
      </c>
      <c r="M111" s="5">
        <v>3</v>
      </c>
      <c r="N111" s="5" t="s">
        <v>3</v>
      </c>
      <c r="O111" s="5">
        <v>2</v>
      </c>
      <c r="P111" s="5">
        <f>ROUND(Source!EJ83,O111)</f>
        <v>93118.22</v>
      </c>
      <c r="Q111" s="5"/>
      <c r="R111" s="5"/>
      <c r="S111" s="5"/>
      <c r="T111" s="5"/>
      <c r="U111" s="5"/>
      <c r="V111" s="5"/>
      <c r="W111" s="5">
        <v>93118.22</v>
      </c>
      <c r="X111" s="5">
        <v>1</v>
      </c>
      <c r="Y111" s="5">
        <v>93118.22</v>
      </c>
      <c r="Z111" s="5">
        <v>93118.22</v>
      </c>
      <c r="AA111" s="5">
        <v>1</v>
      </c>
      <c r="AB111" s="5">
        <v>2485231.98</v>
      </c>
    </row>
    <row r="113" spans="1:88" ht="12.75">
      <c r="A113" s="1">
        <v>4</v>
      </c>
      <c r="B113" s="1">
        <v>1</v>
      </c>
      <c r="C113" s="1"/>
      <c r="D113" s="1">
        <f>ROW(A128)</f>
        <v>128</v>
      </c>
      <c r="E113" s="1"/>
      <c r="F113" s="1" t="s">
        <v>19</v>
      </c>
      <c r="G113" s="1" t="s">
        <v>202</v>
      </c>
      <c r="H113" s="1" t="s">
        <v>3</v>
      </c>
      <c r="I113" s="1">
        <v>0</v>
      </c>
      <c r="J113" s="1"/>
      <c r="K113" s="1">
        <v>0</v>
      </c>
      <c r="L113" s="1"/>
      <c r="M113" s="1" t="s">
        <v>3</v>
      </c>
      <c r="N113" s="1"/>
      <c r="O113" s="1"/>
      <c r="P113" s="1"/>
      <c r="Q113" s="1"/>
      <c r="R113" s="1"/>
      <c r="S113" s="1">
        <v>0</v>
      </c>
      <c r="T113" s="1">
        <v>55454920</v>
      </c>
      <c r="U113" s="1" t="s">
        <v>3</v>
      </c>
      <c r="V113" s="1">
        <v>0</v>
      </c>
      <c r="W113" s="1"/>
      <c r="X113" s="1"/>
      <c r="Y113" s="1"/>
      <c r="Z113" s="1"/>
      <c r="AA113" s="1"/>
      <c r="AB113" s="1" t="s">
        <v>3</v>
      </c>
      <c r="AC113" s="1" t="s">
        <v>3</v>
      </c>
      <c r="AD113" s="1" t="s">
        <v>3</v>
      </c>
      <c r="AE113" s="1" t="s">
        <v>3</v>
      </c>
      <c r="AF113" s="1" t="s">
        <v>3</v>
      </c>
      <c r="AG113" s="1" t="s">
        <v>3</v>
      </c>
      <c r="AH113" s="1"/>
      <c r="AI113" s="1"/>
      <c r="AJ113" s="1"/>
      <c r="AK113" s="1"/>
      <c r="AL113" s="1"/>
      <c r="AM113" s="1"/>
      <c r="AN113" s="1"/>
      <c r="AO113" s="1"/>
      <c r="AP113" s="1" t="s">
        <v>3</v>
      </c>
      <c r="AQ113" s="1" t="s">
        <v>3</v>
      </c>
      <c r="AR113" s="1" t="s">
        <v>3</v>
      </c>
      <c r="AS113" s="1"/>
      <c r="AT113" s="1"/>
      <c r="AU113" s="1"/>
      <c r="AV113" s="1"/>
      <c r="AW113" s="1"/>
      <c r="AX113" s="1"/>
      <c r="AY113" s="1"/>
      <c r="AZ113" s="1" t="s">
        <v>3</v>
      </c>
      <c r="BA113" s="1"/>
      <c r="BB113" s="1" t="s">
        <v>3</v>
      </c>
      <c r="BC113" s="1" t="s">
        <v>3</v>
      </c>
      <c r="BD113" s="1" t="s">
        <v>3</v>
      </c>
      <c r="BE113" s="1" t="s">
        <v>3</v>
      </c>
      <c r="BF113" s="1" t="s">
        <v>3</v>
      </c>
      <c r="BG113" s="1" t="s">
        <v>3</v>
      </c>
      <c r="BH113" s="1" t="s">
        <v>3</v>
      </c>
      <c r="BI113" s="1" t="s">
        <v>3</v>
      </c>
      <c r="BJ113" s="1" t="s">
        <v>3</v>
      </c>
      <c r="BK113" s="1" t="s">
        <v>3</v>
      </c>
      <c r="BL113" s="1" t="s">
        <v>3</v>
      </c>
      <c r="BM113" s="1" t="s">
        <v>3</v>
      </c>
      <c r="BN113" s="1" t="s">
        <v>3</v>
      </c>
      <c r="BO113" s="1" t="s">
        <v>3</v>
      </c>
      <c r="BP113" s="1" t="s">
        <v>3</v>
      </c>
      <c r="BQ113" s="1"/>
      <c r="BR113" s="1"/>
      <c r="BS113" s="1"/>
      <c r="BT113" s="1"/>
      <c r="BU113" s="1"/>
      <c r="BV113" s="1"/>
      <c r="BW113" s="1"/>
      <c r="BX113" s="1"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>
        <v>0</v>
      </c>
    </row>
    <row r="115" spans="1:206" ht="12.75">
      <c r="A115" s="3">
        <v>52</v>
      </c>
      <c r="B115" s="3">
        <f aca="true" t="shared" si="118" ref="B115:G115">B128</f>
        <v>1</v>
      </c>
      <c r="C115" s="3">
        <f t="shared" si="118"/>
        <v>4</v>
      </c>
      <c r="D115" s="3">
        <f t="shared" si="118"/>
        <v>113</v>
      </c>
      <c r="E115" s="3">
        <f t="shared" si="118"/>
        <v>0</v>
      </c>
      <c r="F115" s="3" t="str">
        <f t="shared" si="118"/>
        <v>Новый раздел</v>
      </c>
      <c r="G115" s="3" t="str">
        <f t="shared" si="118"/>
        <v>Разные работы</v>
      </c>
      <c r="H115" s="3"/>
      <c r="I115" s="3"/>
      <c r="J115" s="3"/>
      <c r="K115" s="3"/>
      <c r="L115" s="3"/>
      <c r="M115" s="3"/>
      <c r="N115" s="3"/>
      <c r="O115" s="3">
        <f aca="true" t="shared" si="119" ref="O115:AT115">O128</f>
        <v>6121.78</v>
      </c>
      <c r="P115" s="3">
        <f t="shared" si="119"/>
        <v>5397.27</v>
      </c>
      <c r="Q115" s="3">
        <f t="shared" si="119"/>
        <v>5.41</v>
      </c>
      <c r="R115" s="3">
        <f t="shared" si="119"/>
        <v>0.96</v>
      </c>
      <c r="S115" s="3">
        <f t="shared" si="119"/>
        <v>719.1</v>
      </c>
      <c r="T115" s="3">
        <f t="shared" si="119"/>
        <v>0</v>
      </c>
      <c r="U115" s="3">
        <f t="shared" si="119"/>
        <v>97.10445000000001</v>
      </c>
      <c r="V115" s="3">
        <f t="shared" si="119"/>
        <v>0.0825</v>
      </c>
      <c r="W115" s="3">
        <f t="shared" si="119"/>
        <v>0</v>
      </c>
      <c r="X115" s="3">
        <f t="shared" si="119"/>
        <v>672.37</v>
      </c>
      <c r="Y115" s="3">
        <f t="shared" si="119"/>
        <v>329.5</v>
      </c>
      <c r="Z115" s="3">
        <f t="shared" si="119"/>
        <v>0</v>
      </c>
      <c r="AA115" s="3">
        <f t="shared" si="119"/>
        <v>0</v>
      </c>
      <c r="AB115" s="3">
        <f t="shared" si="119"/>
        <v>6121.78</v>
      </c>
      <c r="AC115" s="3">
        <f t="shared" si="119"/>
        <v>5397.27</v>
      </c>
      <c r="AD115" s="3">
        <f t="shared" si="119"/>
        <v>5.41</v>
      </c>
      <c r="AE115" s="3">
        <f t="shared" si="119"/>
        <v>0.96</v>
      </c>
      <c r="AF115" s="3">
        <f t="shared" si="119"/>
        <v>719.1</v>
      </c>
      <c r="AG115" s="3">
        <f t="shared" si="119"/>
        <v>0</v>
      </c>
      <c r="AH115" s="3">
        <f t="shared" si="119"/>
        <v>97.10445000000001</v>
      </c>
      <c r="AI115" s="3">
        <f t="shared" si="119"/>
        <v>0.0825</v>
      </c>
      <c r="AJ115" s="3">
        <f t="shared" si="119"/>
        <v>0</v>
      </c>
      <c r="AK115" s="3">
        <f t="shared" si="119"/>
        <v>672.37</v>
      </c>
      <c r="AL115" s="3">
        <f t="shared" si="119"/>
        <v>329.5</v>
      </c>
      <c r="AM115" s="3">
        <f t="shared" si="119"/>
        <v>0</v>
      </c>
      <c r="AN115" s="3">
        <f t="shared" si="119"/>
        <v>0</v>
      </c>
      <c r="AO115" s="3">
        <f t="shared" si="119"/>
        <v>0</v>
      </c>
      <c r="AP115" s="3">
        <f t="shared" si="119"/>
        <v>0</v>
      </c>
      <c r="AQ115" s="3">
        <f t="shared" si="119"/>
        <v>0</v>
      </c>
      <c r="AR115" s="3">
        <f t="shared" si="119"/>
        <v>7807</v>
      </c>
      <c r="AS115" s="3">
        <f t="shared" si="119"/>
        <v>7807</v>
      </c>
      <c r="AT115" s="3">
        <f t="shared" si="119"/>
        <v>0</v>
      </c>
      <c r="AU115" s="3">
        <f aca="true" t="shared" si="120" ref="AU115:BZ115">AU128</f>
        <v>0</v>
      </c>
      <c r="AV115" s="3">
        <f t="shared" si="120"/>
        <v>5397.27</v>
      </c>
      <c r="AW115" s="3">
        <f t="shared" si="120"/>
        <v>5397.27</v>
      </c>
      <c r="AX115" s="3">
        <f t="shared" si="120"/>
        <v>0</v>
      </c>
      <c r="AY115" s="3">
        <f t="shared" si="120"/>
        <v>5397.27</v>
      </c>
      <c r="AZ115" s="3">
        <f t="shared" si="120"/>
        <v>0</v>
      </c>
      <c r="BA115" s="3">
        <f t="shared" si="120"/>
        <v>0</v>
      </c>
      <c r="BB115" s="3">
        <f t="shared" si="120"/>
        <v>0</v>
      </c>
      <c r="BC115" s="3">
        <f t="shared" si="120"/>
        <v>0</v>
      </c>
      <c r="BD115" s="3">
        <f t="shared" si="120"/>
        <v>683.35</v>
      </c>
      <c r="BE115" s="3">
        <f t="shared" si="120"/>
        <v>0</v>
      </c>
      <c r="BF115" s="3">
        <f t="shared" si="120"/>
        <v>0</v>
      </c>
      <c r="BG115" s="3">
        <f t="shared" si="120"/>
        <v>0</v>
      </c>
      <c r="BH115" s="3">
        <f t="shared" si="120"/>
        <v>0</v>
      </c>
      <c r="BI115" s="3">
        <f t="shared" si="120"/>
        <v>0</v>
      </c>
      <c r="BJ115" s="3">
        <f t="shared" si="120"/>
        <v>0</v>
      </c>
      <c r="BK115" s="3">
        <f t="shared" si="120"/>
        <v>0</v>
      </c>
      <c r="BL115" s="3">
        <f t="shared" si="120"/>
        <v>0</v>
      </c>
      <c r="BM115" s="3">
        <f t="shared" si="120"/>
        <v>0</v>
      </c>
      <c r="BN115" s="3">
        <f t="shared" si="120"/>
        <v>0</v>
      </c>
      <c r="BO115" s="3">
        <f t="shared" si="120"/>
        <v>0</v>
      </c>
      <c r="BP115" s="3">
        <f t="shared" si="120"/>
        <v>0</v>
      </c>
      <c r="BQ115" s="3">
        <f t="shared" si="120"/>
        <v>0</v>
      </c>
      <c r="BR115" s="3">
        <f t="shared" si="120"/>
        <v>0</v>
      </c>
      <c r="BS115" s="3">
        <f t="shared" si="120"/>
        <v>0</v>
      </c>
      <c r="BT115" s="3">
        <f t="shared" si="120"/>
        <v>0</v>
      </c>
      <c r="BU115" s="3">
        <f t="shared" si="120"/>
        <v>0</v>
      </c>
      <c r="BV115" s="3">
        <f t="shared" si="120"/>
        <v>0</v>
      </c>
      <c r="BW115" s="3">
        <f t="shared" si="120"/>
        <v>0</v>
      </c>
      <c r="BX115" s="3">
        <f t="shared" si="120"/>
        <v>0</v>
      </c>
      <c r="BY115" s="3">
        <f t="shared" si="120"/>
        <v>0</v>
      </c>
      <c r="BZ115" s="3">
        <f t="shared" si="120"/>
        <v>0</v>
      </c>
      <c r="CA115" s="3">
        <f aca="true" t="shared" si="121" ref="CA115:DF115">CA128</f>
        <v>7807</v>
      </c>
      <c r="CB115" s="3">
        <f t="shared" si="121"/>
        <v>7807</v>
      </c>
      <c r="CC115" s="3">
        <f t="shared" si="121"/>
        <v>0</v>
      </c>
      <c r="CD115" s="3">
        <f t="shared" si="121"/>
        <v>0</v>
      </c>
      <c r="CE115" s="3">
        <f t="shared" si="121"/>
        <v>5397.27</v>
      </c>
      <c r="CF115" s="3">
        <f t="shared" si="121"/>
        <v>5397.27</v>
      </c>
      <c r="CG115" s="3">
        <f t="shared" si="121"/>
        <v>0</v>
      </c>
      <c r="CH115" s="3">
        <f t="shared" si="121"/>
        <v>5397.27</v>
      </c>
      <c r="CI115" s="3">
        <f t="shared" si="121"/>
        <v>0</v>
      </c>
      <c r="CJ115" s="3">
        <f t="shared" si="121"/>
        <v>0</v>
      </c>
      <c r="CK115" s="3">
        <f t="shared" si="121"/>
        <v>0</v>
      </c>
      <c r="CL115" s="3">
        <f t="shared" si="121"/>
        <v>0</v>
      </c>
      <c r="CM115" s="3">
        <f t="shared" si="121"/>
        <v>683.35</v>
      </c>
      <c r="CN115" s="3">
        <f t="shared" si="121"/>
        <v>0</v>
      </c>
      <c r="CO115" s="3">
        <f t="shared" si="121"/>
        <v>0</v>
      </c>
      <c r="CP115" s="3">
        <f t="shared" si="121"/>
        <v>0</v>
      </c>
      <c r="CQ115" s="3">
        <f t="shared" si="121"/>
        <v>0</v>
      </c>
      <c r="CR115" s="3">
        <f t="shared" si="121"/>
        <v>0</v>
      </c>
      <c r="CS115" s="3">
        <f t="shared" si="121"/>
        <v>0</v>
      </c>
      <c r="CT115" s="3">
        <f t="shared" si="121"/>
        <v>0</v>
      </c>
      <c r="CU115" s="3">
        <f t="shared" si="121"/>
        <v>0</v>
      </c>
      <c r="CV115" s="3">
        <f t="shared" si="121"/>
        <v>0</v>
      </c>
      <c r="CW115" s="3">
        <f t="shared" si="121"/>
        <v>0</v>
      </c>
      <c r="CX115" s="3">
        <f t="shared" si="121"/>
        <v>0</v>
      </c>
      <c r="CY115" s="3">
        <f t="shared" si="121"/>
        <v>0</v>
      </c>
      <c r="CZ115" s="3">
        <f t="shared" si="121"/>
        <v>0</v>
      </c>
      <c r="DA115" s="3">
        <f t="shared" si="121"/>
        <v>0</v>
      </c>
      <c r="DB115" s="3">
        <f t="shared" si="121"/>
        <v>0</v>
      </c>
      <c r="DC115" s="3">
        <f t="shared" si="121"/>
        <v>0</v>
      </c>
      <c r="DD115" s="3">
        <f t="shared" si="121"/>
        <v>0</v>
      </c>
      <c r="DE115" s="3">
        <f t="shared" si="121"/>
        <v>0</v>
      </c>
      <c r="DF115" s="3">
        <f t="shared" si="121"/>
        <v>0</v>
      </c>
      <c r="DG115" s="4">
        <f aca="true" t="shared" si="122" ref="DG115:EL115">DG128</f>
        <v>6121.78</v>
      </c>
      <c r="DH115" s="4">
        <f t="shared" si="122"/>
        <v>5397.27</v>
      </c>
      <c r="DI115" s="4">
        <f t="shared" si="122"/>
        <v>5.41</v>
      </c>
      <c r="DJ115" s="4">
        <f t="shared" si="122"/>
        <v>0.96</v>
      </c>
      <c r="DK115" s="4">
        <f t="shared" si="122"/>
        <v>719.1</v>
      </c>
      <c r="DL115" s="4">
        <f t="shared" si="122"/>
        <v>0</v>
      </c>
      <c r="DM115" s="4">
        <f t="shared" si="122"/>
        <v>97.10445000000001</v>
      </c>
      <c r="DN115" s="4">
        <f t="shared" si="122"/>
        <v>0.0825</v>
      </c>
      <c r="DO115" s="4">
        <f t="shared" si="122"/>
        <v>0</v>
      </c>
      <c r="DP115" s="4">
        <f t="shared" si="122"/>
        <v>672.37</v>
      </c>
      <c r="DQ115" s="4">
        <f t="shared" si="122"/>
        <v>329.5</v>
      </c>
      <c r="DR115" s="4">
        <f t="shared" si="122"/>
        <v>0</v>
      </c>
      <c r="DS115" s="4">
        <f t="shared" si="122"/>
        <v>0</v>
      </c>
      <c r="DT115" s="4">
        <f t="shared" si="122"/>
        <v>6121.78</v>
      </c>
      <c r="DU115" s="4">
        <f t="shared" si="122"/>
        <v>5397.27</v>
      </c>
      <c r="DV115" s="4">
        <f t="shared" si="122"/>
        <v>5.41</v>
      </c>
      <c r="DW115" s="4">
        <f t="shared" si="122"/>
        <v>0.96</v>
      </c>
      <c r="DX115" s="4">
        <f t="shared" si="122"/>
        <v>719.1</v>
      </c>
      <c r="DY115" s="4">
        <f t="shared" si="122"/>
        <v>0</v>
      </c>
      <c r="DZ115" s="4">
        <f t="shared" si="122"/>
        <v>97.10445000000001</v>
      </c>
      <c r="EA115" s="4">
        <f t="shared" si="122"/>
        <v>0.0825</v>
      </c>
      <c r="EB115" s="4">
        <f t="shared" si="122"/>
        <v>0</v>
      </c>
      <c r="EC115" s="4">
        <f t="shared" si="122"/>
        <v>672.37</v>
      </c>
      <c r="ED115" s="4">
        <f t="shared" si="122"/>
        <v>329.5</v>
      </c>
      <c r="EE115" s="4">
        <f t="shared" si="122"/>
        <v>0</v>
      </c>
      <c r="EF115" s="4">
        <f t="shared" si="122"/>
        <v>0</v>
      </c>
      <c r="EG115" s="4">
        <f t="shared" si="122"/>
        <v>0</v>
      </c>
      <c r="EH115" s="4">
        <f t="shared" si="122"/>
        <v>0</v>
      </c>
      <c r="EI115" s="4">
        <f t="shared" si="122"/>
        <v>0</v>
      </c>
      <c r="EJ115" s="4">
        <f t="shared" si="122"/>
        <v>7807</v>
      </c>
      <c r="EK115" s="4">
        <f t="shared" si="122"/>
        <v>7807</v>
      </c>
      <c r="EL115" s="4">
        <f t="shared" si="122"/>
        <v>0</v>
      </c>
      <c r="EM115" s="4">
        <f aca="true" t="shared" si="123" ref="EM115:FR115">EM128</f>
        <v>0</v>
      </c>
      <c r="EN115" s="4">
        <f t="shared" si="123"/>
        <v>5397.27</v>
      </c>
      <c r="EO115" s="4">
        <f t="shared" si="123"/>
        <v>5397.27</v>
      </c>
      <c r="EP115" s="4">
        <f t="shared" si="123"/>
        <v>0</v>
      </c>
      <c r="EQ115" s="4">
        <f t="shared" si="123"/>
        <v>5397.27</v>
      </c>
      <c r="ER115" s="4">
        <f t="shared" si="123"/>
        <v>0</v>
      </c>
      <c r="ES115" s="4">
        <f t="shared" si="123"/>
        <v>0</v>
      </c>
      <c r="ET115" s="4">
        <f t="shared" si="123"/>
        <v>0</v>
      </c>
      <c r="EU115" s="4">
        <f t="shared" si="123"/>
        <v>0</v>
      </c>
      <c r="EV115" s="4">
        <f t="shared" si="123"/>
        <v>683.35</v>
      </c>
      <c r="EW115" s="4">
        <f t="shared" si="123"/>
        <v>0</v>
      </c>
      <c r="EX115" s="4">
        <f t="shared" si="123"/>
        <v>0</v>
      </c>
      <c r="EY115" s="4">
        <f t="shared" si="123"/>
        <v>0</v>
      </c>
      <c r="EZ115" s="4">
        <f t="shared" si="123"/>
        <v>0</v>
      </c>
      <c r="FA115" s="4">
        <f t="shared" si="123"/>
        <v>0</v>
      </c>
      <c r="FB115" s="4">
        <f t="shared" si="123"/>
        <v>0</v>
      </c>
      <c r="FC115" s="4">
        <f t="shared" si="123"/>
        <v>0</v>
      </c>
      <c r="FD115" s="4">
        <f t="shared" si="123"/>
        <v>0</v>
      </c>
      <c r="FE115" s="4">
        <f t="shared" si="123"/>
        <v>0</v>
      </c>
      <c r="FF115" s="4">
        <f t="shared" si="123"/>
        <v>0</v>
      </c>
      <c r="FG115" s="4">
        <f t="shared" si="123"/>
        <v>0</v>
      </c>
      <c r="FH115" s="4">
        <f t="shared" si="123"/>
        <v>0</v>
      </c>
      <c r="FI115" s="4">
        <f t="shared" si="123"/>
        <v>0</v>
      </c>
      <c r="FJ115" s="4">
        <f t="shared" si="123"/>
        <v>0</v>
      </c>
      <c r="FK115" s="4">
        <f t="shared" si="123"/>
        <v>0</v>
      </c>
      <c r="FL115" s="4">
        <f t="shared" si="123"/>
        <v>0</v>
      </c>
      <c r="FM115" s="4">
        <f t="shared" si="123"/>
        <v>0</v>
      </c>
      <c r="FN115" s="4">
        <f t="shared" si="123"/>
        <v>0</v>
      </c>
      <c r="FO115" s="4">
        <f t="shared" si="123"/>
        <v>0</v>
      </c>
      <c r="FP115" s="4">
        <f t="shared" si="123"/>
        <v>0</v>
      </c>
      <c r="FQ115" s="4">
        <f t="shared" si="123"/>
        <v>0</v>
      </c>
      <c r="FR115" s="4">
        <f t="shared" si="123"/>
        <v>0</v>
      </c>
      <c r="FS115" s="4">
        <f aca="true" t="shared" si="124" ref="FS115:GX115">FS128</f>
        <v>7807</v>
      </c>
      <c r="FT115" s="4">
        <f t="shared" si="124"/>
        <v>7807</v>
      </c>
      <c r="FU115" s="4">
        <f t="shared" si="124"/>
        <v>0</v>
      </c>
      <c r="FV115" s="4">
        <f t="shared" si="124"/>
        <v>0</v>
      </c>
      <c r="FW115" s="4">
        <f t="shared" si="124"/>
        <v>5397.27</v>
      </c>
      <c r="FX115" s="4">
        <f t="shared" si="124"/>
        <v>5397.27</v>
      </c>
      <c r="FY115" s="4">
        <f t="shared" si="124"/>
        <v>0</v>
      </c>
      <c r="FZ115" s="4">
        <f t="shared" si="124"/>
        <v>5397.27</v>
      </c>
      <c r="GA115" s="4">
        <f t="shared" si="124"/>
        <v>0</v>
      </c>
      <c r="GB115" s="4">
        <f t="shared" si="124"/>
        <v>0</v>
      </c>
      <c r="GC115" s="4">
        <f t="shared" si="124"/>
        <v>0</v>
      </c>
      <c r="GD115" s="4">
        <f t="shared" si="124"/>
        <v>0</v>
      </c>
      <c r="GE115" s="4">
        <f t="shared" si="124"/>
        <v>683.35</v>
      </c>
      <c r="GF115" s="4">
        <f t="shared" si="124"/>
        <v>0</v>
      </c>
      <c r="GG115" s="4">
        <f t="shared" si="124"/>
        <v>0</v>
      </c>
      <c r="GH115" s="4">
        <f t="shared" si="124"/>
        <v>0</v>
      </c>
      <c r="GI115" s="4">
        <f t="shared" si="124"/>
        <v>0</v>
      </c>
      <c r="GJ115" s="4">
        <f t="shared" si="124"/>
        <v>0</v>
      </c>
      <c r="GK115" s="4">
        <f t="shared" si="124"/>
        <v>0</v>
      </c>
      <c r="GL115" s="4">
        <f t="shared" si="124"/>
        <v>0</v>
      </c>
      <c r="GM115" s="4">
        <f t="shared" si="124"/>
        <v>0</v>
      </c>
      <c r="GN115" s="4">
        <f t="shared" si="124"/>
        <v>0</v>
      </c>
      <c r="GO115" s="4">
        <f t="shared" si="124"/>
        <v>0</v>
      </c>
      <c r="GP115" s="4">
        <f t="shared" si="124"/>
        <v>0</v>
      </c>
      <c r="GQ115" s="4">
        <f t="shared" si="124"/>
        <v>0</v>
      </c>
      <c r="GR115" s="4">
        <f t="shared" si="124"/>
        <v>0</v>
      </c>
      <c r="GS115" s="4">
        <f t="shared" si="124"/>
        <v>0</v>
      </c>
      <c r="GT115" s="4">
        <f t="shared" si="124"/>
        <v>0</v>
      </c>
      <c r="GU115" s="4">
        <f t="shared" si="124"/>
        <v>0</v>
      </c>
      <c r="GV115" s="4">
        <f t="shared" si="124"/>
        <v>0</v>
      </c>
      <c r="GW115" s="4">
        <f t="shared" si="124"/>
        <v>0</v>
      </c>
      <c r="GX115" s="4">
        <f t="shared" si="124"/>
        <v>0</v>
      </c>
    </row>
    <row r="117" spans="1:255" ht="12.75">
      <c r="A117" s="2">
        <v>17</v>
      </c>
      <c r="B117" s="2">
        <v>1</v>
      </c>
      <c r="C117" s="2">
        <f>ROW(SmtRes!A140)</f>
        <v>140</v>
      </c>
      <c r="D117" s="2">
        <f>ROW(EtalonRes!A140)</f>
        <v>140</v>
      </c>
      <c r="E117" s="2" t="s">
        <v>203</v>
      </c>
      <c r="F117" s="2" t="s">
        <v>204</v>
      </c>
      <c r="G117" s="2" t="s">
        <v>205</v>
      </c>
      <c r="H117" s="2" t="s">
        <v>38</v>
      </c>
      <c r="I117" s="2">
        <f>ROUND(ROUND(330/100,2),7)</f>
        <v>3.3</v>
      </c>
      <c r="J117" s="2">
        <v>0</v>
      </c>
      <c r="K117" s="2">
        <f>ROUND(ROUND(330/100,2),7)</f>
        <v>3.3</v>
      </c>
      <c r="L117" s="2"/>
      <c r="M117" s="2"/>
      <c r="N117" s="2"/>
      <c r="O117" s="2">
        <f aca="true" t="shared" si="125" ref="O117:O124">ROUND(CP117,2)</f>
        <v>5040.88</v>
      </c>
      <c r="P117" s="2">
        <f aca="true" t="shared" si="126" ref="P117:P124">ROUND(CQ117*I117,2)</f>
        <v>4923.8</v>
      </c>
      <c r="Q117" s="2">
        <f aca="true" t="shared" si="127" ref="Q117:Q124">ROUND(CR117*I117,2)</f>
        <v>5.41</v>
      </c>
      <c r="R117" s="2">
        <f aca="true" t="shared" si="128" ref="R117:R124">ROUND(CS117*I117,2)</f>
        <v>0.96</v>
      </c>
      <c r="S117" s="2">
        <f aca="true" t="shared" si="129" ref="S117:S124">ROUND(CT117*I117,2)</f>
        <v>111.67</v>
      </c>
      <c r="T117" s="2">
        <f aca="true" t="shared" si="130" ref="T117:T124">ROUND(CU117*I117,2)</f>
        <v>0</v>
      </c>
      <c r="U117" s="2">
        <f aca="true" t="shared" si="131" ref="U117:U124">CV117*I117</f>
        <v>13.092749999999999</v>
      </c>
      <c r="V117" s="2">
        <f aca="true" t="shared" si="132" ref="V117:V124">CW117*I117</f>
        <v>0.0825</v>
      </c>
      <c r="W117" s="2">
        <f aca="true" t="shared" si="133" ref="W117:W124">ROUND(CX117*I117,2)</f>
        <v>0</v>
      </c>
      <c r="X117" s="2">
        <f aca="true" t="shared" si="134" ref="X117:Y124">ROUND(CY117,2)</f>
        <v>113.53</v>
      </c>
      <c r="Y117" s="2">
        <f t="shared" si="134"/>
        <v>62.23</v>
      </c>
      <c r="Z117" s="2"/>
      <c r="AA117" s="2">
        <v>55454918</v>
      </c>
      <c r="AB117" s="2">
        <f aca="true" t="shared" si="135" ref="AB117:AB124">ROUND((AC117+AD117+AF117),2)</f>
        <v>1527.54</v>
      </c>
      <c r="AC117" s="2">
        <f aca="true" t="shared" si="136" ref="AC117:AC124">ROUND((ES117),2)</f>
        <v>1492.06</v>
      </c>
      <c r="AD117" s="2">
        <f>ROUND(((((ET117*ROUND(1.25,7)))-((EU117*ROUND(1.25,7))))+AE117),2)</f>
        <v>1.64</v>
      </c>
      <c r="AE117" s="2">
        <f>ROUND(((EU117*ROUND(1.25,7))),2)</f>
        <v>0.29</v>
      </c>
      <c r="AF117" s="2">
        <f>ROUND(((EV117*ROUND(1.15,7))),2)</f>
        <v>33.84</v>
      </c>
      <c r="AG117" s="2">
        <f aca="true" t="shared" si="137" ref="AG117:AG124">ROUND((AP117),2)</f>
        <v>0</v>
      </c>
      <c r="AH117" s="2">
        <f>((EW117*ROUND(1.15,7)))</f>
        <v>3.9675</v>
      </c>
      <c r="AI117" s="2">
        <f>((EX117*ROUND(1.25,7)))</f>
        <v>0.025</v>
      </c>
      <c r="AJ117" s="2">
        <f aca="true" t="shared" si="138" ref="AJ117:AJ124">(AS117)</f>
        <v>0</v>
      </c>
      <c r="AK117" s="2">
        <v>1522.8</v>
      </c>
      <c r="AL117" s="2">
        <v>1492.06</v>
      </c>
      <c r="AM117" s="2">
        <v>1.31</v>
      </c>
      <c r="AN117" s="2">
        <v>0.23</v>
      </c>
      <c r="AO117" s="2">
        <v>29.43</v>
      </c>
      <c r="AP117" s="2">
        <v>0</v>
      </c>
      <c r="AQ117" s="2">
        <v>3.45</v>
      </c>
      <c r="AR117" s="2">
        <v>0.02</v>
      </c>
      <c r="AS117" s="2">
        <v>0</v>
      </c>
      <c r="AT117" s="2">
        <v>100.8</v>
      </c>
      <c r="AU117" s="2">
        <v>55.25</v>
      </c>
      <c r="AV117" s="2">
        <v>1</v>
      </c>
      <c r="AW117" s="2">
        <v>1</v>
      </c>
      <c r="AX117" s="2"/>
      <c r="AY117" s="2"/>
      <c r="AZ117" s="2">
        <v>1</v>
      </c>
      <c r="BA117" s="2">
        <v>1</v>
      </c>
      <c r="BB117" s="2">
        <v>1</v>
      </c>
      <c r="BC117" s="2">
        <v>1</v>
      </c>
      <c r="BD117" s="2" t="s">
        <v>3</v>
      </c>
      <c r="BE117" s="2" t="s">
        <v>3</v>
      </c>
      <c r="BF117" s="2" t="s">
        <v>3</v>
      </c>
      <c r="BG117" s="2" t="s">
        <v>3</v>
      </c>
      <c r="BH117" s="2">
        <v>0</v>
      </c>
      <c r="BI117" s="2">
        <v>1</v>
      </c>
      <c r="BJ117" s="2" t="s">
        <v>206</v>
      </c>
      <c r="BK117" s="2"/>
      <c r="BL117" s="2"/>
      <c r="BM117" s="2">
        <v>11001</v>
      </c>
      <c r="BN117" s="2">
        <v>0</v>
      </c>
      <c r="BO117" s="2" t="s">
        <v>3</v>
      </c>
      <c r="BP117" s="2">
        <v>0</v>
      </c>
      <c r="BQ117" s="2">
        <v>2</v>
      </c>
      <c r="BR117" s="2">
        <v>0</v>
      </c>
      <c r="BS117" s="2">
        <v>1</v>
      </c>
      <c r="BT117" s="2">
        <v>1</v>
      </c>
      <c r="BU117" s="2">
        <v>1</v>
      </c>
      <c r="BV117" s="2">
        <v>1</v>
      </c>
      <c r="BW117" s="2">
        <v>1</v>
      </c>
      <c r="BX117" s="2">
        <v>1</v>
      </c>
      <c r="BY117" s="2" t="s">
        <v>3</v>
      </c>
      <c r="BZ117" s="2">
        <v>112</v>
      </c>
      <c r="CA117" s="2">
        <v>65</v>
      </c>
      <c r="CB117" s="2" t="s">
        <v>3</v>
      </c>
      <c r="CC117" s="2"/>
      <c r="CD117" s="2"/>
      <c r="CE117" s="2">
        <v>0</v>
      </c>
      <c r="CF117" s="2">
        <v>0</v>
      </c>
      <c r="CG117" s="2">
        <v>0</v>
      </c>
      <c r="CH117" s="2"/>
      <c r="CI117" s="2"/>
      <c r="CJ117" s="2"/>
      <c r="CK117" s="2"/>
      <c r="CL117" s="2"/>
      <c r="CM117" s="2">
        <v>0</v>
      </c>
      <c r="CN117" s="2" t="s">
        <v>409</v>
      </c>
      <c r="CO117" s="2">
        <v>0</v>
      </c>
      <c r="CP117" s="2">
        <f aca="true" t="shared" si="139" ref="CP117:CP124">(P117+Q117+S117)</f>
        <v>5040.88</v>
      </c>
      <c r="CQ117" s="2">
        <f aca="true" t="shared" si="140" ref="CQ117:CQ124">AC117*BC117</f>
        <v>1492.06</v>
      </c>
      <c r="CR117" s="2">
        <f>((((ET117*ROUND(1.25,7)))*BB117-((EU117*ROUND(1.25,7))))+AE117)</f>
        <v>1.6400000000000001</v>
      </c>
      <c r="CS117" s="2">
        <f aca="true" t="shared" si="141" ref="CS117:CX124">AE117</f>
        <v>0.29</v>
      </c>
      <c r="CT117" s="2">
        <f t="shared" si="141"/>
        <v>33.84</v>
      </c>
      <c r="CU117" s="2">
        <f t="shared" si="141"/>
        <v>0</v>
      </c>
      <c r="CV117" s="2">
        <f t="shared" si="141"/>
        <v>3.9675</v>
      </c>
      <c r="CW117" s="2">
        <f t="shared" si="141"/>
        <v>0.025</v>
      </c>
      <c r="CX117" s="2">
        <f t="shared" si="141"/>
        <v>0</v>
      </c>
      <c r="CY117" s="2">
        <f aca="true" t="shared" si="142" ref="CY117:CY124">(((S117+R117)*AT117)/100)</f>
        <v>113.53103999999999</v>
      </c>
      <c r="CZ117" s="2">
        <f aca="true" t="shared" si="143" ref="CZ117:CZ124">(((S117+R117)*AU117)/100)</f>
        <v>62.228075</v>
      </c>
      <c r="DA117" s="2"/>
      <c r="DB117" s="2"/>
      <c r="DC117" s="2" t="s">
        <v>3</v>
      </c>
      <c r="DD117" s="2" t="s">
        <v>3</v>
      </c>
      <c r="DE117" s="2" t="s">
        <v>73</v>
      </c>
      <c r="DF117" s="2" t="s">
        <v>73</v>
      </c>
      <c r="DG117" s="2" t="s">
        <v>74</v>
      </c>
      <c r="DH117" s="2" t="s">
        <v>3</v>
      </c>
      <c r="DI117" s="2" t="s">
        <v>74</v>
      </c>
      <c r="DJ117" s="2" t="s">
        <v>73</v>
      </c>
      <c r="DK117" s="2" t="s">
        <v>3</v>
      </c>
      <c r="DL117" s="2" t="s">
        <v>75</v>
      </c>
      <c r="DM117" s="2" t="s">
        <v>76</v>
      </c>
      <c r="DN117" s="2">
        <v>0</v>
      </c>
      <c r="DO117" s="2">
        <v>0</v>
      </c>
      <c r="DP117" s="2">
        <v>1</v>
      </c>
      <c r="DQ117" s="2">
        <v>1</v>
      </c>
      <c r="DR117" s="2"/>
      <c r="DS117" s="2"/>
      <c r="DT117" s="2"/>
      <c r="DU117" s="2">
        <v>1005</v>
      </c>
      <c r="DV117" s="2" t="s">
        <v>38</v>
      </c>
      <c r="DW117" s="2" t="s">
        <v>38</v>
      </c>
      <c r="DX117" s="2">
        <v>100</v>
      </c>
      <c r="DY117" s="2"/>
      <c r="DZ117" s="2" t="s">
        <v>3</v>
      </c>
      <c r="EA117" s="2" t="s">
        <v>3</v>
      </c>
      <c r="EB117" s="2" t="s">
        <v>3</v>
      </c>
      <c r="EC117" s="2" t="s">
        <v>3</v>
      </c>
      <c r="ED117" s="2"/>
      <c r="EE117" s="2">
        <v>55471663</v>
      </c>
      <c r="EF117" s="2">
        <v>2</v>
      </c>
      <c r="EG117" s="2" t="s">
        <v>43</v>
      </c>
      <c r="EH117" s="2">
        <v>11</v>
      </c>
      <c r="EI117" s="2" t="s">
        <v>27</v>
      </c>
      <c r="EJ117" s="2">
        <v>1</v>
      </c>
      <c r="EK117" s="2">
        <v>11001</v>
      </c>
      <c r="EL117" s="2" t="s">
        <v>27</v>
      </c>
      <c r="EM117" s="2" t="s">
        <v>44</v>
      </c>
      <c r="EN117" s="2"/>
      <c r="EO117" s="2" t="s">
        <v>77</v>
      </c>
      <c r="EP117" s="2"/>
      <c r="EQ117" s="2">
        <v>0</v>
      </c>
      <c r="ER117" s="2">
        <v>1522.8</v>
      </c>
      <c r="ES117" s="2">
        <v>1492.06</v>
      </c>
      <c r="ET117" s="2">
        <v>1.31</v>
      </c>
      <c r="EU117" s="2">
        <v>0.23</v>
      </c>
      <c r="EV117" s="2">
        <v>29.43</v>
      </c>
      <c r="EW117" s="2">
        <v>3.45</v>
      </c>
      <c r="EX117" s="2">
        <v>0.02</v>
      </c>
      <c r="EY117" s="2">
        <v>0</v>
      </c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>
        <v>0</v>
      </c>
      <c r="FR117" s="2">
        <f aca="true" t="shared" si="144" ref="FR117:FR126">ROUND(IF(AND(BH117=3,BI117=3),P117,0),2)</f>
        <v>0</v>
      </c>
      <c r="FS117" s="2">
        <v>0</v>
      </c>
      <c r="FT117" s="2"/>
      <c r="FU117" s="2"/>
      <c r="FV117" s="2"/>
      <c r="FW117" s="2"/>
      <c r="FX117" s="2">
        <v>100.8</v>
      </c>
      <c r="FY117" s="2">
        <v>55.25</v>
      </c>
      <c r="FZ117" s="2"/>
      <c r="GA117" s="2" t="s">
        <v>3</v>
      </c>
      <c r="GB117" s="2"/>
      <c r="GC117" s="2"/>
      <c r="GD117" s="2">
        <v>1</v>
      </c>
      <c r="GE117" s="2"/>
      <c r="GF117" s="2">
        <v>2096840001</v>
      </c>
      <c r="GG117" s="2">
        <v>2</v>
      </c>
      <c r="GH117" s="2">
        <v>1</v>
      </c>
      <c r="GI117" s="2">
        <v>-2</v>
      </c>
      <c r="GJ117" s="2">
        <v>0</v>
      </c>
      <c r="GK117" s="2">
        <v>0</v>
      </c>
      <c r="GL117" s="2">
        <f aca="true" t="shared" si="145" ref="GL117:GL126">ROUND(IF(AND(BH117=3,BI117=3,FS117&lt;&gt;0),P117,0),2)</f>
        <v>0</v>
      </c>
      <c r="GM117" s="2">
        <f aca="true" t="shared" si="146" ref="GM117:GM124">ROUND(O117+X117+Y117,2)+GX117</f>
        <v>5216.64</v>
      </c>
      <c r="GN117" s="2">
        <f aca="true" t="shared" si="147" ref="GN117:GN124">IF(OR(BI117=0,BI117=1),ROUND(O117+X117+Y117,2),0)</f>
        <v>5216.64</v>
      </c>
      <c r="GO117" s="2">
        <f aca="true" t="shared" si="148" ref="GO117:GO124">IF(BI117=2,ROUND(O117+X117+Y117,2),0)</f>
        <v>0</v>
      </c>
      <c r="GP117" s="2">
        <f aca="true" t="shared" si="149" ref="GP117:GP124">IF(BI117=4,ROUND(O117+X117+Y117,2)+GX117,0)</f>
        <v>0</v>
      </c>
      <c r="GQ117" s="2"/>
      <c r="GR117" s="2">
        <v>0</v>
      </c>
      <c r="GS117" s="2">
        <v>3</v>
      </c>
      <c r="GT117" s="2">
        <v>0</v>
      </c>
      <c r="GU117" s="2" t="s">
        <v>3</v>
      </c>
      <c r="GV117" s="2">
        <f aca="true" t="shared" si="150" ref="GV117:GV124">ROUND((GT117),2)</f>
        <v>0</v>
      </c>
      <c r="GW117" s="2">
        <v>1</v>
      </c>
      <c r="GX117" s="2">
        <f aca="true" t="shared" si="151" ref="GX117:GX124">ROUND(HC117*I117,2)</f>
        <v>0</v>
      </c>
      <c r="GY117" s="2"/>
      <c r="GZ117" s="2"/>
      <c r="HA117" s="2">
        <v>0</v>
      </c>
      <c r="HB117" s="2">
        <v>0</v>
      </c>
      <c r="HC117" s="2">
        <f aca="true" t="shared" si="152" ref="HC117:HC124">GV117*GW117</f>
        <v>0</v>
      </c>
      <c r="HD117" s="2"/>
      <c r="HE117" s="2" t="s">
        <v>3</v>
      </c>
      <c r="HF117" s="2" t="s">
        <v>3</v>
      </c>
      <c r="HG117" s="2"/>
      <c r="HH117" s="2"/>
      <c r="HI117" s="2">
        <f aca="true" t="shared" si="153" ref="HI117:HI126">ROUND(R117*BS117,2)</f>
        <v>0.96</v>
      </c>
      <c r="HJ117" s="2">
        <f aca="true" t="shared" si="154" ref="HJ117:HJ126">ROUND(S117*BA117,2)</f>
        <v>111.67</v>
      </c>
      <c r="HK117" s="2">
        <f aca="true" t="shared" si="155" ref="HK117:HK124">ROUND((((HJ117+HI117)*AT117)/100),2)</f>
        <v>113.53</v>
      </c>
      <c r="HL117" s="2">
        <f aca="true" t="shared" si="156" ref="HL117:HL124">ROUND((((HJ117+HI117)*AU117)/100),2)</f>
        <v>62.23</v>
      </c>
      <c r="HM117" s="2" t="s">
        <v>3</v>
      </c>
      <c r="HN117" s="2" t="s">
        <v>46</v>
      </c>
      <c r="HO117" s="2" t="s">
        <v>47</v>
      </c>
      <c r="HP117" s="2" t="s">
        <v>27</v>
      </c>
      <c r="HQ117" s="2" t="s">
        <v>27</v>
      </c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>
        <v>0</v>
      </c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45" ht="12.75">
      <c r="A118">
        <v>17</v>
      </c>
      <c r="B118">
        <v>1</v>
      </c>
      <c r="C118">
        <f>ROW(SmtRes!A144)</f>
        <v>144</v>
      </c>
      <c r="D118">
        <f>ROW(EtalonRes!A144)</f>
        <v>144</v>
      </c>
      <c r="E118" t="s">
        <v>203</v>
      </c>
      <c r="F118" t="s">
        <v>204</v>
      </c>
      <c r="G118" t="s">
        <v>205</v>
      </c>
      <c r="H118" t="s">
        <v>38</v>
      </c>
      <c r="I118">
        <f>ROUND(ROUND(330/100,2),7)</f>
        <v>3.3</v>
      </c>
      <c r="J118">
        <v>0</v>
      </c>
      <c r="K118">
        <f>ROUND(ROUND(330/100,2),7)</f>
        <v>3.3</v>
      </c>
      <c r="O118">
        <f t="shared" si="125"/>
        <v>5040.88</v>
      </c>
      <c r="P118">
        <f t="shared" si="126"/>
        <v>4923.8</v>
      </c>
      <c r="Q118">
        <f t="shared" si="127"/>
        <v>5.41</v>
      </c>
      <c r="R118">
        <f t="shared" si="128"/>
        <v>0.96</v>
      </c>
      <c r="S118">
        <f t="shared" si="129"/>
        <v>111.67</v>
      </c>
      <c r="T118">
        <f t="shared" si="130"/>
        <v>0</v>
      </c>
      <c r="U118">
        <f t="shared" si="131"/>
        <v>13.092749999999999</v>
      </c>
      <c r="V118">
        <f t="shared" si="132"/>
        <v>0.0825</v>
      </c>
      <c r="W118">
        <f t="shared" si="133"/>
        <v>0</v>
      </c>
      <c r="X118">
        <f t="shared" si="134"/>
        <v>113.53</v>
      </c>
      <c r="Y118">
        <f t="shared" si="134"/>
        <v>62.23</v>
      </c>
      <c r="AA118">
        <v>55454919</v>
      </c>
      <c r="AB118">
        <f t="shared" si="135"/>
        <v>1527.54</v>
      </c>
      <c r="AC118">
        <f t="shared" si="136"/>
        <v>1492.06</v>
      </c>
      <c r="AD118">
        <f>ROUND(((((ET118*ROUND(1.25,7)))-((EU118*ROUND(1.25,7))))+AE118),2)</f>
        <v>1.64</v>
      </c>
      <c r="AE118">
        <f>ROUND(((EU118*ROUND(1.25,7))),2)</f>
        <v>0.29</v>
      </c>
      <c r="AF118">
        <f>ROUND(((EV118*ROUND(1.15,7))),2)</f>
        <v>33.84</v>
      </c>
      <c r="AG118">
        <f t="shared" si="137"/>
        <v>0</v>
      </c>
      <c r="AH118">
        <f>((EW118*ROUND(1.15,7)))</f>
        <v>3.9675</v>
      </c>
      <c r="AI118">
        <f>((EX118*ROUND(1.25,7)))</f>
        <v>0.025</v>
      </c>
      <c r="AJ118">
        <f t="shared" si="138"/>
        <v>0</v>
      </c>
      <c r="AK118">
        <v>1522.8</v>
      </c>
      <c r="AL118">
        <v>1492.06</v>
      </c>
      <c r="AM118">
        <v>1.31</v>
      </c>
      <c r="AN118">
        <v>0.23</v>
      </c>
      <c r="AO118">
        <v>29.43</v>
      </c>
      <c r="AP118">
        <v>0</v>
      </c>
      <c r="AQ118">
        <v>3.45</v>
      </c>
      <c r="AR118">
        <v>0.02</v>
      </c>
      <c r="AS118">
        <v>0</v>
      </c>
      <c r="AT118">
        <v>100.8</v>
      </c>
      <c r="AU118">
        <v>55.25</v>
      </c>
      <c r="AV118">
        <v>1</v>
      </c>
      <c r="AW118">
        <v>1</v>
      </c>
      <c r="AZ118">
        <v>1</v>
      </c>
      <c r="BA118">
        <v>36.47</v>
      </c>
      <c r="BB118">
        <v>1</v>
      </c>
      <c r="BC118">
        <v>1</v>
      </c>
      <c r="BH118">
        <v>0</v>
      </c>
      <c r="BI118">
        <v>1</v>
      </c>
      <c r="BJ118" t="s">
        <v>206</v>
      </c>
      <c r="BM118">
        <v>11001</v>
      </c>
      <c r="BN118">
        <v>0</v>
      </c>
      <c r="BP118">
        <v>0</v>
      </c>
      <c r="BQ118">
        <v>2</v>
      </c>
      <c r="BR118">
        <v>0</v>
      </c>
      <c r="BS118">
        <v>36.47</v>
      </c>
      <c r="BT118">
        <v>1</v>
      </c>
      <c r="BU118">
        <v>1</v>
      </c>
      <c r="BV118">
        <v>1</v>
      </c>
      <c r="BW118">
        <v>1</v>
      </c>
      <c r="BX118">
        <v>1</v>
      </c>
      <c r="BZ118">
        <v>112</v>
      </c>
      <c r="CA118">
        <v>65</v>
      </c>
      <c r="CE118">
        <v>0</v>
      </c>
      <c r="CF118">
        <v>0</v>
      </c>
      <c r="CG118">
        <v>0</v>
      </c>
      <c r="CM118">
        <v>0</v>
      </c>
      <c r="CN118" t="s">
        <v>409</v>
      </c>
      <c r="CO118">
        <v>0</v>
      </c>
      <c r="CP118">
        <f t="shared" si="139"/>
        <v>5040.88</v>
      </c>
      <c r="CQ118">
        <f t="shared" si="140"/>
        <v>1492.06</v>
      </c>
      <c r="CR118">
        <f>((((ET118*ROUND(1.25,7)))*BB118-((EU118*ROUND(1.25,7))))+AE118)</f>
        <v>1.6400000000000001</v>
      </c>
      <c r="CS118">
        <f t="shared" si="141"/>
        <v>0.29</v>
      </c>
      <c r="CT118">
        <f t="shared" si="141"/>
        <v>33.84</v>
      </c>
      <c r="CU118">
        <f t="shared" si="141"/>
        <v>0</v>
      </c>
      <c r="CV118">
        <f t="shared" si="141"/>
        <v>3.9675</v>
      </c>
      <c r="CW118">
        <f t="shared" si="141"/>
        <v>0.025</v>
      </c>
      <c r="CX118">
        <f t="shared" si="141"/>
        <v>0</v>
      </c>
      <c r="CY118">
        <f t="shared" si="142"/>
        <v>113.53103999999999</v>
      </c>
      <c r="CZ118">
        <f t="shared" si="143"/>
        <v>62.228075</v>
      </c>
      <c r="DE118" t="s">
        <v>73</v>
      </c>
      <c r="DF118" t="s">
        <v>73</v>
      </c>
      <c r="DG118" t="s">
        <v>74</v>
      </c>
      <c r="DI118" t="s">
        <v>74</v>
      </c>
      <c r="DJ118" t="s">
        <v>73</v>
      </c>
      <c r="DL118" t="s">
        <v>75</v>
      </c>
      <c r="DM118" t="s">
        <v>76</v>
      </c>
      <c r="DN118">
        <v>0</v>
      </c>
      <c r="DO118">
        <v>0</v>
      </c>
      <c r="DP118">
        <v>1</v>
      </c>
      <c r="DQ118">
        <v>1</v>
      </c>
      <c r="DU118">
        <v>1005</v>
      </c>
      <c r="DV118" t="s">
        <v>38</v>
      </c>
      <c r="DW118" t="s">
        <v>38</v>
      </c>
      <c r="DX118">
        <v>100</v>
      </c>
      <c r="EE118">
        <v>55471663</v>
      </c>
      <c r="EF118">
        <v>2</v>
      </c>
      <c r="EG118" t="s">
        <v>43</v>
      </c>
      <c r="EH118">
        <v>11</v>
      </c>
      <c r="EI118" t="s">
        <v>27</v>
      </c>
      <c r="EJ118">
        <v>1</v>
      </c>
      <c r="EK118">
        <v>11001</v>
      </c>
      <c r="EL118" t="s">
        <v>27</v>
      </c>
      <c r="EM118" t="s">
        <v>44</v>
      </c>
      <c r="EO118" t="s">
        <v>77</v>
      </c>
      <c r="EQ118">
        <v>0</v>
      </c>
      <c r="ER118">
        <v>1522.8</v>
      </c>
      <c r="ES118">
        <v>1492.06</v>
      </c>
      <c r="ET118">
        <v>1.31</v>
      </c>
      <c r="EU118">
        <v>0.23</v>
      </c>
      <c r="EV118">
        <v>29.43</v>
      </c>
      <c r="EW118">
        <v>3.45</v>
      </c>
      <c r="EX118">
        <v>0.02</v>
      </c>
      <c r="EY118">
        <v>0</v>
      </c>
      <c r="FQ118">
        <v>0</v>
      </c>
      <c r="FR118">
        <f t="shared" si="144"/>
        <v>0</v>
      </c>
      <c r="FS118">
        <v>0</v>
      </c>
      <c r="FX118">
        <v>100.8</v>
      </c>
      <c r="FY118">
        <v>55.25</v>
      </c>
      <c r="GD118">
        <v>1</v>
      </c>
      <c r="GF118">
        <v>2096840001</v>
      </c>
      <c r="GG118">
        <v>2</v>
      </c>
      <c r="GH118">
        <v>1</v>
      </c>
      <c r="GI118">
        <v>4</v>
      </c>
      <c r="GJ118">
        <v>0</v>
      </c>
      <c r="GK118">
        <v>0</v>
      </c>
      <c r="GL118">
        <f t="shared" si="145"/>
        <v>0</v>
      </c>
      <c r="GM118">
        <f t="shared" si="146"/>
        <v>5216.64</v>
      </c>
      <c r="GN118">
        <f t="shared" si="147"/>
        <v>5216.64</v>
      </c>
      <c r="GO118">
        <f t="shared" si="148"/>
        <v>0</v>
      </c>
      <c r="GP118">
        <f t="shared" si="149"/>
        <v>0</v>
      </c>
      <c r="GR118">
        <v>0</v>
      </c>
      <c r="GS118">
        <v>0</v>
      </c>
      <c r="GT118">
        <v>0</v>
      </c>
      <c r="GV118">
        <f t="shared" si="150"/>
        <v>0</v>
      </c>
      <c r="GW118">
        <v>1</v>
      </c>
      <c r="GX118">
        <f t="shared" si="151"/>
        <v>0</v>
      </c>
      <c r="HA118">
        <v>0</v>
      </c>
      <c r="HB118">
        <v>0</v>
      </c>
      <c r="HC118">
        <f t="shared" si="152"/>
        <v>0</v>
      </c>
      <c r="HI118">
        <f t="shared" si="153"/>
        <v>35.01</v>
      </c>
      <c r="HJ118">
        <f t="shared" si="154"/>
        <v>4072.6</v>
      </c>
      <c r="HK118">
        <f t="shared" si="155"/>
        <v>4140.47</v>
      </c>
      <c r="HL118">
        <f t="shared" si="156"/>
        <v>2269.45</v>
      </c>
      <c r="HN118" t="s">
        <v>46</v>
      </c>
      <c r="HO118" t="s">
        <v>47</v>
      </c>
      <c r="HP118" t="s">
        <v>27</v>
      </c>
      <c r="HQ118" t="s">
        <v>27</v>
      </c>
      <c r="IK118">
        <v>0</v>
      </c>
    </row>
    <row r="119" spans="1:255" ht="12.75">
      <c r="A119" s="2">
        <v>17</v>
      </c>
      <c r="B119" s="2">
        <v>1</v>
      </c>
      <c r="C119" s="2">
        <f>ROW(SmtRes!A146)</f>
        <v>146</v>
      </c>
      <c r="D119" s="2">
        <f>ROW(EtalonRes!A146)</f>
        <v>146</v>
      </c>
      <c r="E119" s="2" t="s">
        <v>207</v>
      </c>
      <c r="F119" s="2" t="s">
        <v>208</v>
      </c>
      <c r="G119" s="2" t="s">
        <v>209</v>
      </c>
      <c r="H119" s="2" t="s">
        <v>210</v>
      </c>
      <c r="I119" s="2">
        <f>ROUND(28.87/100,7)</f>
        <v>0.2887</v>
      </c>
      <c r="J119" s="2">
        <v>0</v>
      </c>
      <c r="K119" s="2">
        <f>ROUND(28.87/100,7)</f>
        <v>0.2887</v>
      </c>
      <c r="L119" s="2"/>
      <c r="M119" s="2"/>
      <c r="N119" s="2"/>
      <c r="O119" s="2">
        <f t="shared" si="125"/>
        <v>393.5</v>
      </c>
      <c r="P119" s="2">
        <f t="shared" si="126"/>
        <v>0</v>
      </c>
      <c r="Q119" s="2">
        <f t="shared" si="127"/>
        <v>0</v>
      </c>
      <c r="R119" s="2">
        <f t="shared" si="128"/>
        <v>0</v>
      </c>
      <c r="S119" s="2">
        <f t="shared" si="129"/>
        <v>393.5</v>
      </c>
      <c r="T119" s="2">
        <f t="shared" si="130"/>
        <v>0</v>
      </c>
      <c r="U119" s="2">
        <f t="shared" si="131"/>
        <v>54.275600000000004</v>
      </c>
      <c r="V119" s="2">
        <f t="shared" si="132"/>
        <v>0</v>
      </c>
      <c r="W119" s="2">
        <f t="shared" si="133"/>
        <v>0</v>
      </c>
      <c r="X119" s="2">
        <f t="shared" si="134"/>
        <v>362.02</v>
      </c>
      <c r="Y119" s="2">
        <f t="shared" si="134"/>
        <v>173.14</v>
      </c>
      <c r="Z119" s="2"/>
      <c r="AA119" s="2">
        <v>55454918</v>
      </c>
      <c r="AB119" s="2">
        <f t="shared" si="135"/>
        <v>1363</v>
      </c>
      <c r="AC119" s="2">
        <f t="shared" si="136"/>
        <v>0</v>
      </c>
      <c r="AD119" s="2">
        <f aca="true" t="shared" si="157" ref="AD119:AD124">ROUND((((ET119)-(EU119))+AE119),2)</f>
        <v>0</v>
      </c>
      <c r="AE119" s="2">
        <f aca="true" t="shared" si="158" ref="AE119:AF124">ROUND((EU119),2)</f>
        <v>0</v>
      </c>
      <c r="AF119" s="2">
        <f t="shared" si="158"/>
        <v>1363</v>
      </c>
      <c r="AG119" s="2">
        <f t="shared" si="137"/>
        <v>0</v>
      </c>
      <c r="AH119" s="2">
        <f aca="true" t="shared" si="159" ref="AH119:AI124">(EW119)</f>
        <v>188</v>
      </c>
      <c r="AI119" s="2">
        <f t="shared" si="159"/>
        <v>0</v>
      </c>
      <c r="AJ119" s="2">
        <f t="shared" si="138"/>
        <v>0</v>
      </c>
      <c r="AK119" s="2">
        <v>1363</v>
      </c>
      <c r="AL119" s="2">
        <v>0</v>
      </c>
      <c r="AM119" s="2">
        <v>0</v>
      </c>
      <c r="AN119" s="2">
        <v>0</v>
      </c>
      <c r="AO119" s="2">
        <v>1363</v>
      </c>
      <c r="AP119" s="2">
        <v>0</v>
      </c>
      <c r="AQ119" s="2">
        <v>188</v>
      </c>
      <c r="AR119" s="2">
        <v>0</v>
      </c>
      <c r="AS119" s="2">
        <v>0</v>
      </c>
      <c r="AT119" s="2">
        <v>92</v>
      </c>
      <c r="AU119" s="2">
        <v>44</v>
      </c>
      <c r="AV119" s="2">
        <v>1</v>
      </c>
      <c r="AW119" s="2">
        <v>1</v>
      </c>
      <c r="AX119" s="2"/>
      <c r="AY119" s="2"/>
      <c r="AZ119" s="2">
        <v>1</v>
      </c>
      <c r="BA119" s="2">
        <v>1</v>
      </c>
      <c r="BB119" s="2">
        <v>1</v>
      </c>
      <c r="BC119" s="2">
        <v>1</v>
      </c>
      <c r="BD119" s="2" t="s">
        <v>3</v>
      </c>
      <c r="BE119" s="2" t="s">
        <v>3</v>
      </c>
      <c r="BF119" s="2" t="s">
        <v>3</v>
      </c>
      <c r="BG119" s="2" t="s">
        <v>3</v>
      </c>
      <c r="BH119" s="2">
        <v>0</v>
      </c>
      <c r="BI119" s="2">
        <v>1</v>
      </c>
      <c r="BJ119" s="2" t="s">
        <v>211</v>
      </c>
      <c r="BK119" s="2"/>
      <c r="BL119" s="2"/>
      <c r="BM119" s="2">
        <v>69001</v>
      </c>
      <c r="BN119" s="2">
        <v>0</v>
      </c>
      <c r="BO119" s="2" t="s">
        <v>3</v>
      </c>
      <c r="BP119" s="2">
        <v>0</v>
      </c>
      <c r="BQ119" s="2">
        <v>6</v>
      </c>
      <c r="BR119" s="2">
        <v>0</v>
      </c>
      <c r="BS119" s="2">
        <v>1</v>
      </c>
      <c r="BT119" s="2">
        <v>1</v>
      </c>
      <c r="BU119" s="2">
        <v>1</v>
      </c>
      <c r="BV119" s="2">
        <v>1</v>
      </c>
      <c r="BW119" s="2">
        <v>1</v>
      </c>
      <c r="BX119" s="2">
        <v>1</v>
      </c>
      <c r="BY119" s="2" t="s">
        <v>3</v>
      </c>
      <c r="BZ119" s="2">
        <v>92</v>
      </c>
      <c r="CA119" s="2">
        <v>44</v>
      </c>
      <c r="CB119" s="2" t="s">
        <v>3</v>
      </c>
      <c r="CC119" s="2"/>
      <c r="CD119" s="2"/>
      <c r="CE119" s="2">
        <v>0</v>
      </c>
      <c r="CF119" s="2">
        <v>0</v>
      </c>
      <c r="CG119" s="2">
        <v>0</v>
      </c>
      <c r="CH119" s="2"/>
      <c r="CI119" s="2"/>
      <c r="CJ119" s="2"/>
      <c r="CK119" s="2"/>
      <c r="CL119" s="2"/>
      <c r="CM119" s="2">
        <v>0</v>
      </c>
      <c r="CN119" s="2" t="s">
        <v>3</v>
      </c>
      <c r="CO119" s="2">
        <v>0</v>
      </c>
      <c r="CP119" s="2">
        <f t="shared" si="139"/>
        <v>393.5</v>
      </c>
      <c r="CQ119" s="2">
        <f t="shared" si="140"/>
        <v>0</v>
      </c>
      <c r="CR119" s="2">
        <f aca="true" t="shared" si="160" ref="CR119:CR124">(((ET119)*BB119-(EU119))+AE119)</f>
        <v>0</v>
      </c>
      <c r="CS119" s="2">
        <f t="shared" si="141"/>
        <v>0</v>
      </c>
      <c r="CT119" s="2">
        <f t="shared" si="141"/>
        <v>1363</v>
      </c>
      <c r="CU119" s="2">
        <f t="shared" si="141"/>
        <v>0</v>
      </c>
      <c r="CV119" s="2">
        <f t="shared" si="141"/>
        <v>188</v>
      </c>
      <c r="CW119" s="2">
        <f t="shared" si="141"/>
        <v>0</v>
      </c>
      <c r="CX119" s="2">
        <f t="shared" si="141"/>
        <v>0</v>
      </c>
      <c r="CY119" s="2">
        <f t="shared" si="142"/>
        <v>362.02</v>
      </c>
      <c r="CZ119" s="2">
        <f t="shared" si="143"/>
        <v>173.14</v>
      </c>
      <c r="DA119" s="2"/>
      <c r="DB119" s="2"/>
      <c r="DC119" s="2" t="s">
        <v>3</v>
      </c>
      <c r="DD119" s="2" t="s">
        <v>3</v>
      </c>
      <c r="DE119" s="2" t="s">
        <v>3</v>
      </c>
      <c r="DF119" s="2" t="s">
        <v>3</v>
      </c>
      <c r="DG119" s="2" t="s">
        <v>3</v>
      </c>
      <c r="DH119" s="2" t="s">
        <v>3</v>
      </c>
      <c r="DI119" s="2" t="s">
        <v>3</v>
      </c>
      <c r="DJ119" s="2" t="s">
        <v>3</v>
      </c>
      <c r="DK119" s="2" t="s">
        <v>3</v>
      </c>
      <c r="DL119" s="2" t="s">
        <v>3</v>
      </c>
      <c r="DM119" s="2" t="s">
        <v>3</v>
      </c>
      <c r="DN119" s="2">
        <v>0</v>
      </c>
      <c r="DO119" s="2">
        <v>0</v>
      </c>
      <c r="DP119" s="2">
        <v>1</v>
      </c>
      <c r="DQ119" s="2">
        <v>1</v>
      </c>
      <c r="DR119" s="2"/>
      <c r="DS119" s="2"/>
      <c r="DT119" s="2"/>
      <c r="DU119" s="2">
        <v>1009</v>
      </c>
      <c r="DV119" s="2" t="s">
        <v>210</v>
      </c>
      <c r="DW119" s="2" t="s">
        <v>210</v>
      </c>
      <c r="DX119" s="2">
        <v>100000</v>
      </c>
      <c r="DY119" s="2"/>
      <c r="DZ119" s="2" t="s">
        <v>3</v>
      </c>
      <c r="EA119" s="2" t="s">
        <v>3</v>
      </c>
      <c r="EB119" s="2" t="s">
        <v>3</v>
      </c>
      <c r="EC119" s="2" t="s">
        <v>3</v>
      </c>
      <c r="ED119" s="2"/>
      <c r="EE119" s="2">
        <v>55471848</v>
      </c>
      <c r="EF119" s="2">
        <v>6</v>
      </c>
      <c r="EG119" s="2" t="s">
        <v>26</v>
      </c>
      <c r="EH119" s="2">
        <v>103</v>
      </c>
      <c r="EI119" s="2" t="s">
        <v>212</v>
      </c>
      <c r="EJ119" s="2">
        <v>1</v>
      </c>
      <c r="EK119" s="2">
        <v>69001</v>
      </c>
      <c r="EL119" s="2" t="s">
        <v>212</v>
      </c>
      <c r="EM119" s="2" t="s">
        <v>213</v>
      </c>
      <c r="EN119" s="2"/>
      <c r="EO119" s="2" t="s">
        <v>3</v>
      </c>
      <c r="EP119" s="2"/>
      <c r="EQ119" s="2">
        <v>0</v>
      </c>
      <c r="ER119" s="2">
        <v>1363</v>
      </c>
      <c r="ES119" s="2">
        <v>0</v>
      </c>
      <c r="ET119" s="2">
        <v>0</v>
      </c>
      <c r="EU119" s="2">
        <v>0</v>
      </c>
      <c r="EV119" s="2">
        <v>1363</v>
      </c>
      <c r="EW119" s="2">
        <v>188</v>
      </c>
      <c r="EX119" s="2">
        <v>0</v>
      </c>
      <c r="EY119" s="2">
        <v>0</v>
      </c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>
        <v>0</v>
      </c>
      <c r="FR119" s="2">
        <f t="shared" si="144"/>
        <v>0</v>
      </c>
      <c r="FS119" s="2">
        <v>0</v>
      </c>
      <c r="FT119" s="2"/>
      <c r="FU119" s="2"/>
      <c r="FV119" s="2"/>
      <c r="FW119" s="2"/>
      <c r="FX119" s="2">
        <v>92</v>
      </c>
      <c r="FY119" s="2">
        <v>44</v>
      </c>
      <c r="FZ119" s="2"/>
      <c r="GA119" s="2" t="s">
        <v>3</v>
      </c>
      <c r="GB119" s="2"/>
      <c r="GC119" s="2"/>
      <c r="GD119" s="2">
        <v>1</v>
      </c>
      <c r="GE119" s="2"/>
      <c r="GF119" s="2">
        <v>399013033</v>
      </c>
      <c r="GG119" s="2">
        <v>2</v>
      </c>
      <c r="GH119" s="2">
        <v>1</v>
      </c>
      <c r="GI119" s="2">
        <v>-2</v>
      </c>
      <c r="GJ119" s="2">
        <v>0</v>
      </c>
      <c r="GK119" s="2">
        <v>0</v>
      </c>
      <c r="GL119" s="2">
        <f t="shared" si="145"/>
        <v>0</v>
      </c>
      <c r="GM119" s="2">
        <f t="shared" si="146"/>
        <v>928.66</v>
      </c>
      <c r="GN119" s="2">
        <f t="shared" si="147"/>
        <v>928.66</v>
      </c>
      <c r="GO119" s="2">
        <f t="shared" si="148"/>
        <v>0</v>
      </c>
      <c r="GP119" s="2">
        <f t="shared" si="149"/>
        <v>0</v>
      </c>
      <c r="GQ119" s="2"/>
      <c r="GR119" s="2">
        <v>0</v>
      </c>
      <c r="GS119" s="2">
        <v>3</v>
      </c>
      <c r="GT119" s="2">
        <v>0</v>
      </c>
      <c r="GU119" s="2" t="s">
        <v>3</v>
      </c>
      <c r="GV119" s="2">
        <f t="shared" si="150"/>
        <v>0</v>
      </c>
      <c r="GW119" s="2">
        <v>1</v>
      </c>
      <c r="GX119" s="2">
        <f t="shared" si="151"/>
        <v>0</v>
      </c>
      <c r="GY119" s="2"/>
      <c r="GZ119" s="2"/>
      <c r="HA119" s="2">
        <v>0</v>
      </c>
      <c r="HB119" s="2">
        <v>0</v>
      </c>
      <c r="HC119" s="2">
        <f t="shared" si="152"/>
        <v>0</v>
      </c>
      <c r="HD119" s="2"/>
      <c r="HE119" s="2" t="s">
        <v>3</v>
      </c>
      <c r="HF119" s="2" t="s">
        <v>3</v>
      </c>
      <c r="HG119" s="2"/>
      <c r="HH119" s="2"/>
      <c r="HI119" s="2">
        <f t="shared" si="153"/>
        <v>0</v>
      </c>
      <c r="HJ119" s="2">
        <f t="shared" si="154"/>
        <v>393.5</v>
      </c>
      <c r="HK119" s="2">
        <f t="shared" si="155"/>
        <v>362.02</v>
      </c>
      <c r="HL119" s="2">
        <f t="shared" si="156"/>
        <v>173.14</v>
      </c>
      <c r="HM119" s="2" t="s">
        <v>3</v>
      </c>
      <c r="HN119" s="2" t="s">
        <v>214</v>
      </c>
      <c r="HO119" s="2" t="s">
        <v>215</v>
      </c>
      <c r="HP119" s="2" t="s">
        <v>212</v>
      </c>
      <c r="HQ119" s="2" t="s">
        <v>212</v>
      </c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>
        <v>0</v>
      </c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45" ht="12.75">
      <c r="A120">
        <v>17</v>
      </c>
      <c r="B120">
        <v>1</v>
      </c>
      <c r="C120">
        <f>ROW(SmtRes!A148)</f>
        <v>148</v>
      </c>
      <c r="D120">
        <f>ROW(EtalonRes!A148)</f>
        <v>148</v>
      </c>
      <c r="E120" t="s">
        <v>207</v>
      </c>
      <c r="F120" t="s">
        <v>208</v>
      </c>
      <c r="G120" t="s">
        <v>209</v>
      </c>
      <c r="H120" t="s">
        <v>210</v>
      </c>
      <c r="I120">
        <f>ROUND(28.87/100,7)</f>
        <v>0.2887</v>
      </c>
      <c r="J120">
        <v>0</v>
      </c>
      <c r="K120">
        <f>ROUND(28.87/100,7)</f>
        <v>0.2887</v>
      </c>
      <c r="O120">
        <f t="shared" si="125"/>
        <v>393.5</v>
      </c>
      <c r="P120">
        <f t="shared" si="126"/>
        <v>0</v>
      </c>
      <c r="Q120">
        <f t="shared" si="127"/>
        <v>0</v>
      </c>
      <c r="R120">
        <f t="shared" si="128"/>
        <v>0</v>
      </c>
      <c r="S120">
        <f t="shared" si="129"/>
        <v>393.5</v>
      </c>
      <c r="T120">
        <f t="shared" si="130"/>
        <v>0</v>
      </c>
      <c r="U120">
        <f t="shared" si="131"/>
        <v>54.275600000000004</v>
      </c>
      <c r="V120">
        <f t="shared" si="132"/>
        <v>0</v>
      </c>
      <c r="W120">
        <f t="shared" si="133"/>
        <v>0</v>
      </c>
      <c r="X120">
        <f t="shared" si="134"/>
        <v>362.02</v>
      </c>
      <c r="Y120">
        <f t="shared" si="134"/>
        <v>173.14</v>
      </c>
      <c r="AA120">
        <v>55454919</v>
      </c>
      <c r="AB120">
        <f t="shared" si="135"/>
        <v>1363</v>
      </c>
      <c r="AC120">
        <f t="shared" si="136"/>
        <v>0</v>
      </c>
      <c r="AD120">
        <f t="shared" si="157"/>
        <v>0</v>
      </c>
      <c r="AE120">
        <f t="shared" si="158"/>
        <v>0</v>
      </c>
      <c r="AF120">
        <f t="shared" si="158"/>
        <v>1363</v>
      </c>
      <c r="AG120">
        <f t="shared" si="137"/>
        <v>0</v>
      </c>
      <c r="AH120">
        <f t="shared" si="159"/>
        <v>188</v>
      </c>
      <c r="AI120">
        <f t="shared" si="159"/>
        <v>0</v>
      </c>
      <c r="AJ120">
        <f t="shared" si="138"/>
        <v>0</v>
      </c>
      <c r="AK120">
        <v>1363</v>
      </c>
      <c r="AL120">
        <v>0</v>
      </c>
      <c r="AM120">
        <v>0</v>
      </c>
      <c r="AN120">
        <v>0</v>
      </c>
      <c r="AO120">
        <v>1363</v>
      </c>
      <c r="AP120">
        <v>0</v>
      </c>
      <c r="AQ120">
        <v>188</v>
      </c>
      <c r="AR120">
        <v>0</v>
      </c>
      <c r="AS120">
        <v>0</v>
      </c>
      <c r="AT120">
        <v>92</v>
      </c>
      <c r="AU120">
        <v>44</v>
      </c>
      <c r="AV120">
        <v>1</v>
      </c>
      <c r="AW120">
        <v>1</v>
      </c>
      <c r="AZ120">
        <v>1</v>
      </c>
      <c r="BA120">
        <v>36.47</v>
      </c>
      <c r="BB120">
        <v>1</v>
      </c>
      <c r="BC120">
        <v>1</v>
      </c>
      <c r="BH120">
        <v>0</v>
      </c>
      <c r="BI120">
        <v>1</v>
      </c>
      <c r="BJ120" t="s">
        <v>211</v>
      </c>
      <c r="BM120">
        <v>69001</v>
      </c>
      <c r="BN120">
        <v>0</v>
      </c>
      <c r="BP120">
        <v>0</v>
      </c>
      <c r="BQ120">
        <v>6</v>
      </c>
      <c r="BR120">
        <v>0</v>
      </c>
      <c r="BS120">
        <v>36.47</v>
      </c>
      <c r="BT120">
        <v>1</v>
      </c>
      <c r="BU120">
        <v>1</v>
      </c>
      <c r="BV120">
        <v>1</v>
      </c>
      <c r="BW120">
        <v>1</v>
      </c>
      <c r="BX120">
        <v>1</v>
      </c>
      <c r="BZ120">
        <v>92</v>
      </c>
      <c r="CA120">
        <v>44</v>
      </c>
      <c r="CE120">
        <v>0</v>
      </c>
      <c r="CF120">
        <v>0</v>
      </c>
      <c r="CG120">
        <v>0</v>
      </c>
      <c r="CM120">
        <v>0</v>
      </c>
      <c r="CO120">
        <v>0</v>
      </c>
      <c r="CP120">
        <f t="shared" si="139"/>
        <v>393.5</v>
      </c>
      <c r="CQ120">
        <f t="shared" si="140"/>
        <v>0</v>
      </c>
      <c r="CR120">
        <f t="shared" si="160"/>
        <v>0</v>
      </c>
      <c r="CS120">
        <f t="shared" si="141"/>
        <v>0</v>
      </c>
      <c r="CT120">
        <f t="shared" si="141"/>
        <v>1363</v>
      </c>
      <c r="CU120">
        <f t="shared" si="141"/>
        <v>0</v>
      </c>
      <c r="CV120">
        <f t="shared" si="141"/>
        <v>188</v>
      </c>
      <c r="CW120">
        <f t="shared" si="141"/>
        <v>0</v>
      </c>
      <c r="CX120">
        <f t="shared" si="141"/>
        <v>0</v>
      </c>
      <c r="CY120">
        <f t="shared" si="142"/>
        <v>362.02</v>
      </c>
      <c r="CZ120">
        <f t="shared" si="143"/>
        <v>173.14</v>
      </c>
      <c r="DN120">
        <v>0</v>
      </c>
      <c r="DO120">
        <v>0</v>
      </c>
      <c r="DP120">
        <v>1</v>
      </c>
      <c r="DQ120">
        <v>1</v>
      </c>
      <c r="DU120">
        <v>1009</v>
      </c>
      <c r="DV120" t="s">
        <v>210</v>
      </c>
      <c r="DW120" t="s">
        <v>210</v>
      </c>
      <c r="DX120">
        <v>100000</v>
      </c>
      <c r="EE120">
        <v>55471848</v>
      </c>
      <c r="EF120">
        <v>6</v>
      </c>
      <c r="EG120" t="s">
        <v>26</v>
      </c>
      <c r="EH120">
        <v>103</v>
      </c>
      <c r="EI120" t="s">
        <v>212</v>
      </c>
      <c r="EJ120">
        <v>1</v>
      </c>
      <c r="EK120">
        <v>69001</v>
      </c>
      <c r="EL120" t="s">
        <v>212</v>
      </c>
      <c r="EM120" t="s">
        <v>213</v>
      </c>
      <c r="EQ120">
        <v>0</v>
      </c>
      <c r="ER120">
        <v>1363</v>
      </c>
      <c r="ES120">
        <v>0</v>
      </c>
      <c r="ET120">
        <v>0</v>
      </c>
      <c r="EU120">
        <v>0</v>
      </c>
      <c r="EV120">
        <v>1363</v>
      </c>
      <c r="EW120">
        <v>188</v>
      </c>
      <c r="EX120">
        <v>0</v>
      </c>
      <c r="EY120">
        <v>0</v>
      </c>
      <c r="FQ120">
        <v>0</v>
      </c>
      <c r="FR120">
        <f t="shared" si="144"/>
        <v>0</v>
      </c>
      <c r="FS120">
        <v>0</v>
      </c>
      <c r="FX120">
        <v>92</v>
      </c>
      <c r="FY120">
        <v>44</v>
      </c>
      <c r="GD120">
        <v>1</v>
      </c>
      <c r="GF120">
        <v>399013033</v>
      </c>
      <c r="GG120">
        <v>2</v>
      </c>
      <c r="GH120">
        <v>1</v>
      </c>
      <c r="GI120">
        <v>4</v>
      </c>
      <c r="GJ120">
        <v>0</v>
      </c>
      <c r="GK120">
        <v>0</v>
      </c>
      <c r="GL120">
        <f t="shared" si="145"/>
        <v>0</v>
      </c>
      <c r="GM120">
        <f t="shared" si="146"/>
        <v>928.66</v>
      </c>
      <c r="GN120">
        <f t="shared" si="147"/>
        <v>928.66</v>
      </c>
      <c r="GO120">
        <f t="shared" si="148"/>
        <v>0</v>
      </c>
      <c r="GP120">
        <f t="shared" si="149"/>
        <v>0</v>
      </c>
      <c r="GR120">
        <v>0</v>
      </c>
      <c r="GS120">
        <v>0</v>
      </c>
      <c r="GT120">
        <v>0</v>
      </c>
      <c r="GV120">
        <f t="shared" si="150"/>
        <v>0</v>
      </c>
      <c r="GW120">
        <v>1</v>
      </c>
      <c r="GX120">
        <f t="shared" si="151"/>
        <v>0</v>
      </c>
      <c r="HA120">
        <v>0</v>
      </c>
      <c r="HB120">
        <v>0</v>
      </c>
      <c r="HC120">
        <f t="shared" si="152"/>
        <v>0</v>
      </c>
      <c r="HI120">
        <f t="shared" si="153"/>
        <v>0</v>
      </c>
      <c r="HJ120">
        <f t="shared" si="154"/>
        <v>14350.95</v>
      </c>
      <c r="HK120">
        <f t="shared" si="155"/>
        <v>13202.87</v>
      </c>
      <c r="HL120">
        <f t="shared" si="156"/>
        <v>6314.42</v>
      </c>
      <c r="HN120" t="s">
        <v>214</v>
      </c>
      <c r="HO120" t="s">
        <v>215</v>
      </c>
      <c r="HP120" t="s">
        <v>212</v>
      </c>
      <c r="HQ120" t="s">
        <v>212</v>
      </c>
      <c r="IK120">
        <v>0</v>
      </c>
    </row>
    <row r="121" spans="1:255" ht="12.75">
      <c r="A121" s="2">
        <v>18</v>
      </c>
      <c r="B121" s="2">
        <v>1</v>
      </c>
      <c r="C121" s="2">
        <v>146</v>
      </c>
      <c r="D121" s="2"/>
      <c r="E121" s="2" t="s">
        <v>216</v>
      </c>
      <c r="F121" s="2" t="s">
        <v>217</v>
      </c>
      <c r="G121" s="2" t="s">
        <v>33</v>
      </c>
      <c r="H121" s="2" t="s">
        <v>34</v>
      </c>
      <c r="I121" s="2">
        <f>I119*J121</f>
        <v>28.87</v>
      </c>
      <c r="J121" s="2">
        <v>100</v>
      </c>
      <c r="K121" s="2">
        <v>100</v>
      </c>
      <c r="L121" s="2"/>
      <c r="M121" s="2"/>
      <c r="N121" s="2"/>
      <c r="O121" s="2">
        <f t="shared" si="125"/>
        <v>0</v>
      </c>
      <c r="P121" s="2">
        <f t="shared" si="126"/>
        <v>0</v>
      </c>
      <c r="Q121" s="2">
        <f t="shared" si="127"/>
        <v>0</v>
      </c>
      <c r="R121" s="2">
        <f t="shared" si="128"/>
        <v>0</v>
      </c>
      <c r="S121" s="2">
        <f t="shared" si="129"/>
        <v>0</v>
      </c>
      <c r="T121" s="2">
        <f t="shared" si="130"/>
        <v>0</v>
      </c>
      <c r="U121" s="2">
        <f t="shared" si="131"/>
        <v>0</v>
      </c>
      <c r="V121" s="2">
        <f t="shared" si="132"/>
        <v>0</v>
      </c>
      <c r="W121" s="2">
        <f t="shared" si="133"/>
        <v>0</v>
      </c>
      <c r="X121" s="2">
        <f t="shared" si="134"/>
        <v>0</v>
      </c>
      <c r="Y121" s="2">
        <f t="shared" si="134"/>
        <v>0</v>
      </c>
      <c r="Z121" s="2"/>
      <c r="AA121" s="2">
        <v>55454918</v>
      </c>
      <c r="AB121" s="2">
        <f t="shared" si="135"/>
        <v>0</v>
      </c>
      <c r="AC121" s="2">
        <f t="shared" si="136"/>
        <v>0</v>
      </c>
      <c r="AD121" s="2">
        <f t="shared" si="157"/>
        <v>0</v>
      </c>
      <c r="AE121" s="2">
        <f t="shared" si="158"/>
        <v>0</v>
      </c>
      <c r="AF121" s="2">
        <f t="shared" si="158"/>
        <v>0</v>
      </c>
      <c r="AG121" s="2">
        <f t="shared" si="137"/>
        <v>0</v>
      </c>
      <c r="AH121" s="2">
        <f t="shared" si="159"/>
        <v>0</v>
      </c>
      <c r="AI121" s="2">
        <f t="shared" si="159"/>
        <v>0</v>
      </c>
      <c r="AJ121" s="2">
        <f t="shared" si="138"/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92</v>
      </c>
      <c r="AU121" s="2">
        <v>44</v>
      </c>
      <c r="AV121" s="2">
        <v>1</v>
      </c>
      <c r="AW121" s="2">
        <v>1</v>
      </c>
      <c r="AX121" s="2"/>
      <c r="AY121" s="2"/>
      <c r="AZ121" s="2">
        <v>1</v>
      </c>
      <c r="BA121" s="2">
        <v>1</v>
      </c>
      <c r="BB121" s="2">
        <v>1</v>
      </c>
      <c r="BC121" s="2">
        <v>1</v>
      </c>
      <c r="BD121" s="2" t="s">
        <v>3</v>
      </c>
      <c r="BE121" s="2" t="s">
        <v>3</v>
      </c>
      <c r="BF121" s="2" t="s">
        <v>3</v>
      </c>
      <c r="BG121" s="2" t="s">
        <v>3</v>
      </c>
      <c r="BH121" s="2">
        <v>3</v>
      </c>
      <c r="BI121" s="2">
        <v>1</v>
      </c>
      <c r="BJ121" s="2" t="s">
        <v>3</v>
      </c>
      <c r="BK121" s="2"/>
      <c r="BL121" s="2"/>
      <c r="BM121" s="2">
        <v>69001</v>
      </c>
      <c r="BN121" s="2">
        <v>0</v>
      </c>
      <c r="BO121" s="2" t="s">
        <v>3</v>
      </c>
      <c r="BP121" s="2">
        <v>0</v>
      </c>
      <c r="BQ121" s="2">
        <v>6</v>
      </c>
      <c r="BR121" s="2">
        <v>0</v>
      </c>
      <c r="BS121" s="2">
        <v>1</v>
      </c>
      <c r="BT121" s="2">
        <v>1</v>
      </c>
      <c r="BU121" s="2">
        <v>1</v>
      </c>
      <c r="BV121" s="2">
        <v>1</v>
      </c>
      <c r="BW121" s="2">
        <v>1</v>
      </c>
      <c r="BX121" s="2">
        <v>1</v>
      </c>
      <c r="BY121" s="2" t="s">
        <v>3</v>
      </c>
      <c r="BZ121" s="2">
        <v>92</v>
      </c>
      <c r="CA121" s="2">
        <v>44</v>
      </c>
      <c r="CB121" s="2" t="s">
        <v>3</v>
      </c>
      <c r="CC121" s="2"/>
      <c r="CD121" s="2"/>
      <c r="CE121" s="2">
        <v>0</v>
      </c>
      <c r="CF121" s="2">
        <v>0</v>
      </c>
      <c r="CG121" s="2">
        <v>0</v>
      </c>
      <c r="CH121" s="2"/>
      <c r="CI121" s="2"/>
      <c r="CJ121" s="2"/>
      <c r="CK121" s="2"/>
      <c r="CL121" s="2"/>
      <c r="CM121" s="2">
        <v>0</v>
      </c>
      <c r="CN121" s="2" t="s">
        <v>3</v>
      </c>
      <c r="CO121" s="2">
        <v>0</v>
      </c>
      <c r="CP121" s="2">
        <f t="shared" si="139"/>
        <v>0</v>
      </c>
      <c r="CQ121" s="2">
        <f t="shared" si="140"/>
        <v>0</v>
      </c>
      <c r="CR121" s="2">
        <f t="shared" si="160"/>
        <v>0</v>
      </c>
      <c r="CS121" s="2">
        <f t="shared" si="141"/>
        <v>0</v>
      </c>
      <c r="CT121" s="2">
        <f t="shared" si="141"/>
        <v>0</v>
      </c>
      <c r="CU121" s="2">
        <f t="shared" si="141"/>
        <v>0</v>
      </c>
      <c r="CV121" s="2">
        <f t="shared" si="141"/>
        <v>0</v>
      </c>
      <c r="CW121" s="2">
        <f t="shared" si="141"/>
        <v>0</v>
      </c>
      <c r="CX121" s="2">
        <f t="shared" si="141"/>
        <v>0</v>
      </c>
      <c r="CY121" s="2">
        <f t="shared" si="142"/>
        <v>0</v>
      </c>
      <c r="CZ121" s="2">
        <f t="shared" si="143"/>
        <v>0</v>
      </c>
      <c r="DA121" s="2"/>
      <c r="DB121" s="2"/>
      <c r="DC121" s="2" t="s">
        <v>3</v>
      </c>
      <c r="DD121" s="2" t="s">
        <v>3</v>
      </c>
      <c r="DE121" s="2" t="s">
        <v>3</v>
      </c>
      <c r="DF121" s="2" t="s">
        <v>3</v>
      </c>
      <c r="DG121" s="2" t="s">
        <v>3</v>
      </c>
      <c r="DH121" s="2" t="s">
        <v>3</v>
      </c>
      <c r="DI121" s="2" t="s">
        <v>3</v>
      </c>
      <c r="DJ121" s="2" t="s">
        <v>3</v>
      </c>
      <c r="DK121" s="2" t="s">
        <v>3</v>
      </c>
      <c r="DL121" s="2" t="s">
        <v>3</v>
      </c>
      <c r="DM121" s="2" t="s">
        <v>3</v>
      </c>
      <c r="DN121" s="2">
        <v>0</v>
      </c>
      <c r="DO121" s="2">
        <v>0</v>
      </c>
      <c r="DP121" s="2">
        <v>1</v>
      </c>
      <c r="DQ121" s="2">
        <v>1</v>
      </c>
      <c r="DR121" s="2"/>
      <c r="DS121" s="2"/>
      <c r="DT121" s="2"/>
      <c r="DU121" s="2">
        <v>1009</v>
      </c>
      <c r="DV121" s="2" t="s">
        <v>34</v>
      </c>
      <c r="DW121" s="2" t="s">
        <v>34</v>
      </c>
      <c r="DX121" s="2">
        <v>1000</v>
      </c>
      <c r="DY121" s="2"/>
      <c r="DZ121" s="2" t="s">
        <v>3</v>
      </c>
      <c r="EA121" s="2" t="s">
        <v>3</v>
      </c>
      <c r="EB121" s="2" t="s">
        <v>3</v>
      </c>
      <c r="EC121" s="2" t="s">
        <v>3</v>
      </c>
      <c r="ED121" s="2"/>
      <c r="EE121" s="2">
        <v>55471848</v>
      </c>
      <c r="EF121" s="2">
        <v>6</v>
      </c>
      <c r="EG121" s="2" t="s">
        <v>26</v>
      </c>
      <c r="EH121" s="2">
        <v>103</v>
      </c>
      <c r="EI121" s="2" t="s">
        <v>212</v>
      </c>
      <c r="EJ121" s="2">
        <v>1</v>
      </c>
      <c r="EK121" s="2">
        <v>69001</v>
      </c>
      <c r="EL121" s="2" t="s">
        <v>212</v>
      </c>
      <c r="EM121" s="2" t="s">
        <v>213</v>
      </c>
      <c r="EN121" s="2"/>
      <c r="EO121" s="2" t="s">
        <v>3</v>
      </c>
      <c r="EP121" s="2"/>
      <c r="EQ121" s="2">
        <v>0</v>
      </c>
      <c r="ER121" s="2">
        <v>0</v>
      </c>
      <c r="ES121" s="2">
        <v>0</v>
      </c>
      <c r="ET121" s="2">
        <v>0</v>
      </c>
      <c r="EU121" s="2">
        <v>0</v>
      </c>
      <c r="EV121" s="2">
        <v>0</v>
      </c>
      <c r="EW121" s="2">
        <v>0</v>
      </c>
      <c r="EX121" s="2">
        <v>0</v>
      </c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>
        <v>0</v>
      </c>
      <c r="FR121" s="2">
        <f t="shared" si="144"/>
        <v>0</v>
      </c>
      <c r="FS121" s="2">
        <v>0</v>
      </c>
      <c r="FT121" s="2"/>
      <c r="FU121" s="2"/>
      <c r="FV121" s="2"/>
      <c r="FW121" s="2"/>
      <c r="FX121" s="2">
        <v>92</v>
      </c>
      <c r="FY121" s="2">
        <v>44</v>
      </c>
      <c r="FZ121" s="2"/>
      <c r="GA121" s="2" t="s">
        <v>3</v>
      </c>
      <c r="GB121" s="2"/>
      <c r="GC121" s="2"/>
      <c r="GD121" s="2">
        <v>1</v>
      </c>
      <c r="GE121" s="2"/>
      <c r="GF121" s="2">
        <v>-179832266</v>
      </c>
      <c r="GG121" s="2">
        <v>2</v>
      </c>
      <c r="GH121" s="2">
        <v>1</v>
      </c>
      <c r="GI121" s="2">
        <v>-2</v>
      </c>
      <c r="GJ121" s="2">
        <v>0</v>
      </c>
      <c r="GK121" s="2">
        <v>0</v>
      </c>
      <c r="GL121" s="2">
        <f t="shared" si="145"/>
        <v>0</v>
      </c>
      <c r="GM121" s="2">
        <f t="shared" si="146"/>
        <v>0</v>
      </c>
      <c r="GN121" s="2">
        <f t="shared" si="147"/>
        <v>0</v>
      </c>
      <c r="GO121" s="2">
        <f t="shared" si="148"/>
        <v>0</v>
      </c>
      <c r="GP121" s="2">
        <f t="shared" si="149"/>
        <v>0</v>
      </c>
      <c r="GQ121" s="2"/>
      <c r="GR121" s="2">
        <v>0</v>
      </c>
      <c r="GS121" s="2">
        <v>3</v>
      </c>
      <c r="GT121" s="2">
        <v>0</v>
      </c>
      <c r="GU121" s="2" t="s">
        <v>3</v>
      </c>
      <c r="GV121" s="2">
        <f t="shared" si="150"/>
        <v>0</v>
      </c>
      <c r="GW121" s="2">
        <v>1</v>
      </c>
      <c r="GX121" s="2">
        <f t="shared" si="151"/>
        <v>0</v>
      </c>
      <c r="GY121" s="2"/>
      <c r="GZ121" s="2"/>
      <c r="HA121" s="2">
        <v>0</v>
      </c>
      <c r="HB121" s="2">
        <v>0</v>
      </c>
      <c r="HC121" s="2">
        <f t="shared" si="152"/>
        <v>0</v>
      </c>
      <c r="HD121" s="2"/>
      <c r="HE121" s="2" t="s">
        <v>3</v>
      </c>
      <c r="HF121" s="2" t="s">
        <v>3</v>
      </c>
      <c r="HG121" s="2"/>
      <c r="HH121" s="2"/>
      <c r="HI121" s="2">
        <f t="shared" si="153"/>
        <v>0</v>
      </c>
      <c r="HJ121" s="2">
        <f t="shared" si="154"/>
        <v>0</v>
      </c>
      <c r="HK121" s="2">
        <f t="shared" si="155"/>
        <v>0</v>
      </c>
      <c r="HL121" s="2">
        <f t="shared" si="156"/>
        <v>0</v>
      </c>
      <c r="HM121" s="2" t="s">
        <v>3</v>
      </c>
      <c r="HN121" s="2" t="s">
        <v>214</v>
      </c>
      <c r="HO121" s="2" t="s">
        <v>215</v>
      </c>
      <c r="HP121" s="2" t="s">
        <v>212</v>
      </c>
      <c r="HQ121" s="2" t="s">
        <v>212</v>
      </c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>
        <v>0</v>
      </c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45" ht="12.75">
      <c r="A122">
        <v>18</v>
      </c>
      <c r="B122">
        <v>1</v>
      </c>
      <c r="C122">
        <v>148</v>
      </c>
      <c r="E122" t="s">
        <v>216</v>
      </c>
      <c r="F122" t="s">
        <v>217</v>
      </c>
      <c r="G122" t="s">
        <v>33</v>
      </c>
      <c r="H122" t="s">
        <v>34</v>
      </c>
      <c r="I122">
        <f>I120*J122</f>
        <v>28.87</v>
      </c>
      <c r="J122">
        <v>100</v>
      </c>
      <c r="K122">
        <v>100</v>
      </c>
      <c r="O122">
        <f t="shared" si="125"/>
        <v>0</v>
      </c>
      <c r="P122">
        <f t="shared" si="126"/>
        <v>0</v>
      </c>
      <c r="Q122">
        <f t="shared" si="127"/>
        <v>0</v>
      </c>
      <c r="R122">
        <f t="shared" si="128"/>
        <v>0</v>
      </c>
      <c r="S122">
        <f t="shared" si="129"/>
        <v>0</v>
      </c>
      <c r="T122">
        <f t="shared" si="130"/>
        <v>0</v>
      </c>
      <c r="U122">
        <f t="shared" si="131"/>
        <v>0</v>
      </c>
      <c r="V122">
        <f t="shared" si="132"/>
        <v>0</v>
      </c>
      <c r="W122">
        <f t="shared" si="133"/>
        <v>0</v>
      </c>
      <c r="X122">
        <f t="shared" si="134"/>
        <v>0</v>
      </c>
      <c r="Y122">
        <f t="shared" si="134"/>
        <v>0</v>
      </c>
      <c r="AA122">
        <v>55454919</v>
      </c>
      <c r="AB122">
        <f t="shared" si="135"/>
        <v>0</v>
      </c>
      <c r="AC122">
        <f t="shared" si="136"/>
        <v>0</v>
      </c>
      <c r="AD122">
        <f t="shared" si="157"/>
        <v>0</v>
      </c>
      <c r="AE122">
        <f t="shared" si="158"/>
        <v>0</v>
      </c>
      <c r="AF122">
        <f t="shared" si="158"/>
        <v>0</v>
      </c>
      <c r="AG122">
        <f t="shared" si="137"/>
        <v>0</v>
      </c>
      <c r="AH122">
        <f t="shared" si="159"/>
        <v>0</v>
      </c>
      <c r="AI122">
        <f t="shared" si="159"/>
        <v>0</v>
      </c>
      <c r="AJ122">
        <f t="shared" si="138"/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92</v>
      </c>
      <c r="AU122">
        <v>44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1</v>
      </c>
      <c r="BH122">
        <v>3</v>
      </c>
      <c r="BI122">
        <v>1</v>
      </c>
      <c r="BM122">
        <v>69001</v>
      </c>
      <c r="BN122">
        <v>0</v>
      </c>
      <c r="BP122">
        <v>0</v>
      </c>
      <c r="BQ122">
        <v>6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Z122">
        <v>92</v>
      </c>
      <c r="CA122">
        <v>44</v>
      </c>
      <c r="CE122">
        <v>0</v>
      </c>
      <c r="CF122">
        <v>0</v>
      </c>
      <c r="CG122">
        <v>0</v>
      </c>
      <c r="CM122">
        <v>0</v>
      </c>
      <c r="CO122">
        <v>0</v>
      </c>
      <c r="CP122">
        <f t="shared" si="139"/>
        <v>0</v>
      </c>
      <c r="CQ122">
        <f t="shared" si="140"/>
        <v>0</v>
      </c>
      <c r="CR122">
        <f t="shared" si="160"/>
        <v>0</v>
      </c>
      <c r="CS122">
        <f t="shared" si="141"/>
        <v>0</v>
      </c>
      <c r="CT122">
        <f t="shared" si="141"/>
        <v>0</v>
      </c>
      <c r="CU122">
        <f t="shared" si="141"/>
        <v>0</v>
      </c>
      <c r="CV122">
        <f t="shared" si="141"/>
        <v>0</v>
      </c>
      <c r="CW122">
        <f t="shared" si="141"/>
        <v>0</v>
      </c>
      <c r="CX122">
        <f t="shared" si="141"/>
        <v>0</v>
      </c>
      <c r="CY122">
        <f t="shared" si="142"/>
        <v>0</v>
      </c>
      <c r="CZ122">
        <f t="shared" si="143"/>
        <v>0</v>
      </c>
      <c r="DN122">
        <v>0</v>
      </c>
      <c r="DO122">
        <v>0</v>
      </c>
      <c r="DP122">
        <v>1</v>
      </c>
      <c r="DQ122">
        <v>1</v>
      </c>
      <c r="DU122">
        <v>1009</v>
      </c>
      <c r="DV122" t="s">
        <v>34</v>
      </c>
      <c r="DW122" t="s">
        <v>34</v>
      </c>
      <c r="DX122">
        <v>1000</v>
      </c>
      <c r="EE122">
        <v>55471848</v>
      </c>
      <c r="EF122">
        <v>6</v>
      </c>
      <c r="EG122" t="s">
        <v>26</v>
      </c>
      <c r="EH122">
        <v>103</v>
      </c>
      <c r="EI122" t="s">
        <v>212</v>
      </c>
      <c r="EJ122">
        <v>1</v>
      </c>
      <c r="EK122">
        <v>69001</v>
      </c>
      <c r="EL122" t="s">
        <v>212</v>
      </c>
      <c r="EM122" t="s">
        <v>213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FQ122">
        <v>0</v>
      </c>
      <c r="FR122">
        <f t="shared" si="144"/>
        <v>0</v>
      </c>
      <c r="FS122">
        <v>0</v>
      </c>
      <c r="FX122">
        <v>92</v>
      </c>
      <c r="FY122">
        <v>44</v>
      </c>
      <c r="GD122">
        <v>1</v>
      </c>
      <c r="GF122">
        <v>-179832266</v>
      </c>
      <c r="GG122">
        <v>2</v>
      </c>
      <c r="GH122">
        <v>0</v>
      </c>
      <c r="GI122">
        <v>4</v>
      </c>
      <c r="GJ122">
        <v>0</v>
      </c>
      <c r="GK122">
        <v>0</v>
      </c>
      <c r="GL122">
        <f t="shared" si="145"/>
        <v>0</v>
      </c>
      <c r="GM122">
        <f t="shared" si="146"/>
        <v>0</v>
      </c>
      <c r="GN122">
        <f t="shared" si="147"/>
        <v>0</v>
      </c>
      <c r="GO122">
        <f t="shared" si="148"/>
        <v>0</v>
      </c>
      <c r="GP122">
        <f t="shared" si="149"/>
        <v>0</v>
      </c>
      <c r="GR122">
        <v>0</v>
      </c>
      <c r="GS122">
        <v>0</v>
      </c>
      <c r="GT122">
        <v>0</v>
      </c>
      <c r="GV122">
        <f t="shared" si="150"/>
        <v>0</v>
      </c>
      <c r="GW122">
        <v>1</v>
      </c>
      <c r="GX122">
        <f t="shared" si="151"/>
        <v>0</v>
      </c>
      <c r="HA122">
        <v>0</v>
      </c>
      <c r="HB122">
        <v>0</v>
      </c>
      <c r="HC122">
        <f t="shared" si="152"/>
        <v>0</v>
      </c>
      <c r="HI122">
        <f t="shared" si="153"/>
        <v>0</v>
      </c>
      <c r="HJ122">
        <f t="shared" si="154"/>
        <v>0</v>
      </c>
      <c r="HK122">
        <f t="shared" si="155"/>
        <v>0</v>
      </c>
      <c r="HL122">
        <f t="shared" si="156"/>
        <v>0</v>
      </c>
      <c r="HN122" t="s">
        <v>214</v>
      </c>
      <c r="HO122" t="s">
        <v>215</v>
      </c>
      <c r="HP122" t="s">
        <v>212</v>
      </c>
      <c r="HQ122" t="s">
        <v>212</v>
      </c>
      <c r="IK122">
        <v>0</v>
      </c>
    </row>
    <row r="123" spans="1:255" ht="12.75">
      <c r="A123" s="2">
        <v>17</v>
      </c>
      <c r="B123" s="2">
        <v>1</v>
      </c>
      <c r="C123" s="2">
        <f>ROW(SmtRes!A149)</f>
        <v>149</v>
      </c>
      <c r="D123" s="2">
        <f>ROW(EtalonRes!A150)</f>
        <v>150</v>
      </c>
      <c r="E123" s="2" t="s">
        <v>218</v>
      </c>
      <c r="F123" s="2" t="s">
        <v>219</v>
      </c>
      <c r="G123" s="2" t="s">
        <v>220</v>
      </c>
      <c r="H123" s="2" t="s">
        <v>34</v>
      </c>
      <c r="I123" s="2">
        <v>28.87</v>
      </c>
      <c r="J123" s="2">
        <v>0</v>
      </c>
      <c r="K123" s="2">
        <v>28.87</v>
      </c>
      <c r="L123" s="2"/>
      <c r="M123" s="2"/>
      <c r="N123" s="2"/>
      <c r="O123" s="2">
        <f t="shared" si="125"/>
        <v>687.4</v>
      </c>
      <c r="P123" s="2">
        <f t="shared" si="126"/>
        <v>473.47</v>
      </c>
      <c r="Q123" s="2">
        <f t="shared" si="127"/>
        <v>0</v>
      </c>
      <c r="R123" s="2">
        <f t="shared" si="128"/>
        <v>0</v>
      </c>
      <c r="S123" s="2">
        <f t="shared" si="129"/>
        <v>213.93</v>
      </c>
      <c r="T123" s="2">
        <f t="shared" si="130"/>
        <v>0</v>
      </c>
      <c r="U123" s="2">
        <f t="shared" si="131"/>
        <v>29.7361</v>
      </c>
      <c r="V123" s="2">
        <f t="shared" si="132"/>
        <v>0</v>
      </c>
      <c r="W123" s="2">
        <f t="shared" si="133"/>
        <v>0</v>
      </c>
      <c r="X123" s="2">
        <f t="shared" si="134"/>
        <v>196.82</v>
      </c>
      <c r="Y123" s="2">
        <f t="shared" si="134"/>
        <v>94.13</v>
      </c>
      <c r="Z123" s="2"/>
      <c r="AA123" s="2">
        <v>55454918</v>
      </c>
      <c r="AB123" s="2">
        <f t="shared" si="135"/>
        <v>23.81</v>
      </c>
      <c r="AC123" s="2">
        <f t="shared" si="136"/>
        <v>16.4</v>
      </c>
      <c r="AD123" s="2">
        <f t="shared" si="157"/>
        <v>0</v>
      </c>
      <c r="AE123" s="2">
        <f t="shared" si="158"/>
        <v>0</v>
      </c>
      <c r="AF123" s="2">
        <f t="shared" si="158"/>
        <v>7.41</v>
      </c>
      <c r="AG123" s="2">
        <f t="shared" si="137"/>
        <v>0</v>
      </c>
      <c r="AH123" s="2">
        <f t="shared" si="159"/>
        <v>1.03</v>
      </c>
      <c r="AI123" s="2">
        <f t="shared" si="159"/>
        <v>0</v>
      </c>
      <c r="AJ123" s="2">
        <f t="shared" si="138"/>
        <v>0</v>
      </c>
      <c r="AK123" s="2">
        <v>23.81</v>
      </c>
      <c r="AL123" s="2">
        <v>16.4</v>
      </c>
      <c r="AM123" s="2">
        <v>0</v>
      </c>
      <c r="AN123" s="2">
        <v>0</v>
      </c>
      <c r="AO123" s="2">
        <v>7.41</v>
      </c>
      <c r="AP123" s="2">
        <v>0</v>
      </c>
      <c r="AQ123" s="2">
        <v>1.03</v>
      </c>
      <c r="AR123" s="2">
        <v>0</v>
      </c>
      <c r="AS123" s="2">
        <v>0</v>
      </c>
      <c r="AT123" s="2">
        <v>92</v>
      </c>
      <c r="AU123" s="2">
        <v>44</v>
      </c>
      <c r="AV123" s="2">
        <v>1</v>
      </c>
      <c r="AW123" s="2">
        <v>1</v>
      </c>
      <c r="AX123" s="2"/>
      <c r="AY123" s="2"/>
      <c r="AZ123" s="2">
        <v>1</v>
      </c>
      <c r="BA123" s="2">
        <v>1</v>
      </c>
      <c r="BB123" s="2">
        <v>1</v>
      </c>
      <c r="BC123" s="2">
        <v>1</v>
      </c>
      <c r="BD123" s="2" t="s">
        <v>3</v>
      </c>
      <c r="BE123" s="2" t="s">
        <v>3</v>
      </c>
      <c r="BF123" s="2" t="s">
        <v>3</v>
      </c>
      <c r="BG123" s="2" t="s">
        <v>3</v>
      </c>
      <c r="BH123" s="2">
        <v>0</v>
      </c>
      <c r="BI123" s="2">
        <v>1</v>
      </c>
      <c r="BJ123" s="2" t="s">
        <v>221</v>
      </c>
      <c r="BK123" s="2"/>
      <c r="BL123" s="2"/>
      <c r="BM123" s="2">
        <v>69001</v>
      </c>
      <c r="BN123" s="2">
        <v>0</v>
      </c>
      <c r="BO123" s="2" t="s">
        <v>3</v>
      </c>
      <c r="BP123" s="2">
        <v>0</v>
      </c>
      <c r="BQ123" s="2">
        <v>6</v>
      </c>
      <c r="BR123" s="2">
        <v>0</v>
      </c>
      <c r="BS123" s="2">
        <v>1</v>
      </c>
      <c r="BT123" s="2">
        <v>1</v>
      </c>
      <c r="BU123" s="2">
        <v>1</v>
      </c>
      <c r="BV123" s="2">
        <v>1</v>
      </c>
      <c r="BW123" s="2">
        <v>1</v>
      </c>
      <c r="BX123" s="2">
        <v>1</v>
      </c>
      <c r="BY123" s="2" t="s">
        <v>3</v>
      </c>
      <c r="BZ123" s="2">
        <v>92</v>
      </c>
      <c r="CA123" s="2">
        <v>44</v>
      </c>
      <c r="CB123" s="2" t="s">
        <v>3</v>
      </c>
      <c r="CC123" s="2"/>
      <c r="CD123" s="2"/>
      <c r="CE123" s="2">
        <v>0</v>
      </c>
      <c r="CF123" s="2">
        <v>0</v>
      </c>
      <c r="CG123" s="2">
        <v>0</v>
      </c>
      <c r="CH123" s="2"/>
      <c r="CI123" s="2"/>
      <c r="CJ123" s="2"/>
      <c r="CK123" s="2"/>
      <c r="CL123" s="2"/>
      <c r="CM123" s="2">
        <v>0</v>
      </c>
      <c r="CN123" s="2" t="s">
        <v>3</v>
      </c>
      <c r="CO123" s="2">
        <v>0</v>
      </c>
      <c r="CP123" s="2">
        <f t="shared" si="139"/>
        <v>687.4000000000001</v>
      </c>
      <c r="CQ123" s="2">
        <f t="shared" si="140"/>
        <v>16.4</v>
      </c>
      <c r="CR123" s="2">
        <f t="shared" si="160"/>
        <v>0</v>
      </c>
      <c r="CS123" s="2">
        <f t="shared" si="141"/>
        <v>0</v>
      </c>
      <c r="CT123" s="2">
        <f t="shared" si="141"/>
        <v>7.41</v>
      </c>
      <c r="CU123" s="2">
        <f t="shared" si="141"/>
        <v>0</v>
      </c>
      <c r="CV123" s="2">
        <f t="shared" si="141"/>
        <v>1.03</v>
      </c>
      <c r="CW123" s="2">
        <f t="shared" si="141"/>
        <v>0</v>
      </c>
      <c r="CX123" s="2">
        <f t="shared" si="141"/>
        <v>0</v>
      </c>
      <c r="CY123" s="2">
        <f t="shared" si="142"/>
        <v>196.81560000000002</v>
      </c>
      <c r="CZ123" s="2">
        <f t="shared" si="143"/>
        <v>94.1292</v>
      </c>
      <c r="DA123" s="2"/>
      <c r="DB123" s="2"/>
      <c r="DC123" s="2" t="s">
        <v>3</v>
      </c>
      <c r="DD123" s="2" t="s">
        <v>3</v>
      </c>
      <c r="DE123" s="2" t="s">
        <v>3</v>
      </c>
      <c r="DF123" s="2" t="s">
        <v>3</v>
      </c>
      <c r="DG123" s="2" t="s">
        <v>3</v>
      </c>
      <c r="DH123" s="2" t="s">
        <v>3</v>
      </c>
      <c r="DI123" s="2" t="s">
        <v>3</v>
      </c>
      <c r="DJ123" s="2" t="s">
        <v>3</v>
      </c>
      <c r="DK123" s="2" t="s">
        <v>3</v>
      </c>
      <c r="DL123" s="2" t="s">
        <v>3</v>
      </c>
      <c r="DM123" s="2" t="s">
        <v>3</v>
      </c>
      <c r="DN123" s="2">
        <v>0</v>
      </c>
      <c r="DO123" s="2">
        <v>0</v>
      </c>
      <c r="DP123" s="2">
        <v>1</v>
      </c>
      <c r="DQ123" s="2">
        <v>1</v>
      </c>
      <c r="DR123" s="2"/>
      <c r="DS123" s="2"/>
      <c r="DT123" s="2"/>
      <c r="DU123" s="2">
        <v>1009</v>
      </c>
      <c r="DV123" s="2" t="s">
        <v>34</v>
      </c>
      <c r="DW123" s="2" t="s">
        <v>34</v>
      </c>
      <c r="DX123" s="2">
        <v>1000</v>
      </c>
      <c r="DY123" s="2"/>
      <c r="DZ123" s="2" t="s">
        <v>3</v>
      </c>
      <c r="EA123" s="2" t="s">
        <v>3</v>
      </c>
      <c r="EB123" s="2" t="s">
        <v>3</v>
      </c>
      <c r="EC123" s="2" t="s">
        <v>3</v>
      </c>
      <c r="ED123" s="2"/>
      <c r="EE123" s="2">
        <v>55471848</v>
      </c>
      <c r="EF123" s="2">
        <v>6</v>
      </c>
      <c r="EG123" s="2" t="s">
        <v>26</v>
      </c>
      <c r="EH123" s="2">
        <v>103</v>
      </c>
      <c r="EI123" s="2" t="s">
        <v>212</v>
      </c>
      <c r="EJ123" s="2">
        <v>1</v>
      </c>
      <c r="EK123" s="2">
        <v>69001</v>
      </c>
      <c r="EL123" s="2" t="s">
        <v>212</v>
      </c>
      <c r="EM123" s="2" t="s">
        <v>213</v>
      </c>
      <c r="EN123" s="2"/>
      <c r="EO123" s="2" t="s">
        <v>3</v>
      </c>
      <c r="EP123" s="2"/>
      <c r="EQ123" s="2">
        <v>0</v>
      </c>
      <c r="ER123" s="2">
        <v>23.81</v>
      </c>
      <c r="ES123" s="2">
        <v>16.4</v>
      </c>
      <c r="ET123" s="2">
        <v>0</v>
      </c>
      <c r="EU123" s="2">
        <v>0</v>
      </c>
      <c r="EV123" s="2">
        <v>7.41</v>
      </c>
      <c r="EW123" s="2">
        <v>1.03</v>
      </c>
      <c r="EX123" s="2">
        <v>0</v>
      </c>
      <c r="EY123" s="2">
        <v>0</v>
      </c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>
        <v>0</v>
      </c>
      <c r="FR123" s="2">
        <f t="shared" si="144"/>
        <v>0</v>
      </c>
      <c r="FS123" s="2">
        <v>0</v>
      </c>
      <c r="FT123" s="2"/>
      <c r="FU123" s="2"/>
      <c r="FV123" s="2"/>
      <c r="FW123" s="2"/>
      <c r="FX123" s="2">
        <v>92</v>
      </c>
      <c r="FY123" s="2">
        <v>44</v>
      </c>
      <c r="FZ123" s="2"/>
      <c r="GA123" s="2" t="s">
        <v>3</v>
      </c>
      <c r="GB123" s="2"/>
      <c r="GC123" s="2"/>
      <c r="GD123" s="2">
        <v>1</v>
      </c>
      <c r="GE123" s="2"/>
      <c r="GF123" s="2">
        <v>-1160313074</v>
      </c>
      <c r="GG123" s="2">
        <v>2</v>
      </c>
      <c r="GH123" s="2">
        <v>1</v>
      </c>
      <c r="GI123" s="2">
        <v>-2</v>
      </c>
      <c r="GJ123" s="2">
        <v>0</v>
      </c>
      <c r="GK123" s="2">
        <v>0</v>
      </c>
      <c r="GL123" s="2">
        <f t="shared" si="145"/>
        <v>0</v>
      </c>
      <c r="GM123" s="2">
        <f t="shared" si="146"/>
        <v>978.35</v>
      </c>
      <c r="GN123" s="2">
        <f t="shared" si="147"/>
        <v>978.35</v>
      </c>
      <c r="GO123" s="2">
        <f t="shared" si="148"/>
        <v>0</v>
      </c>
      <c r="GP123" s="2">
        <f t="shared" si="149"/>
        <v>0</v>
      </c>
      <c r="GQ123" s="2"/>
      <c r="GR123" s="2">
        <v>0</v>
      </c>
      <c r="GS123" s="2">
        <v>3</v>
      </c>
      <c r="GT123" s="2">
        <v>0</v>
      </c>
      <c r="GU123" s="2" t="s">
        <v>3</v>
      </c>
      <c r="GV123" s="2">
        <f t="shared" si="150"/>
        <v>0</v>
      </c>
      <c r="GW123" s="2">
        <v>1</v>
      </c>
      <c r="GX123" s="2">
        <f t="shared" si="151"/>
        <v>0</v>
      </c>
      <c r="GY123" s="2"/>
      <c r="GZ123" s="2"/>
      <c r="HA123" s="2">
        <v>0</v>
      </c>
      <c r="HB123" s="2">
        <v>0</v>
      </c>
      <c r="HC123" s="2">
        <f t="shared" si="152"/>
        <v>0</v>
      </c>
      <c r="HD123" s="2"/>
      <c r="HE123" s="2" t="s">
        <v>3</v>
      </c>
      <c r="HF123" s="2" t="s">
        <v>3</v>
      </c>
      <c r="HG123" s="2"/>
      <c r="HH123" s="2"/>
      <c r="HI123" s="2">
        <f t="shared" si="153"/>
        <v>0</v>
      </c>
      <c r="HJ123" s="2">
        <f t="shared" si="154"/>
        <v>213.93</v>
      </c>
      <c r="HK123" s="2">
        <f t="shared" si="155"/>
        <v>196.82</v>
      </c>
      <c r="HL123" s="2">
        <f t="shared" si="156"/>
        <v>94.13</v>
      </c>
      <c r="HM123" s="2" t="s">
        <v>3</v>
      </c>
      <c r="HN123" s="2" t="s">
        <v>214</v>
      </c>
      <c r="HO123" s="2" t="s">
        <v>215</v>
      </c>
      <c r="HP123" s="2" t="s">
        <v>212</v>
      </c>
      <c r="HQ123" s="2" t="s">
        <v>212</v>
      </c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>
        <v>0</v>
      </c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45" ht="12.75">
      <c r="A124">
        <v>17</v>
      </c>
      <c r="B124">
        <v>1</v>
      </c>
      <c r="C124">
        <f>ROW(SmtRes!A150)</f>
        <v>150</v>
      </c>
      <c r="D124">
        <f>ROW(EtalonRes!A152)</f>
        <v>152</v>
      </c>
      <c r="E124" t="s">
        <v>218</v>
      </c>
      <c r="F124" t="s">
        <v>219</v>
      </c>
      <c r="G124" t="s">
        <v>220</v>
      </c>
      <c r="H124" t="s">
        <v>34</v>
      </c>
      <c r="I124">
        <v>28.87</v>
      </c>
      <c r="J124">
        <v>0</v>
      </c>
      <c r="K124">
        <v>28.87</v>
      </c>
      <c r="O124">
        <f t="shared" si="125"/>
        <v>687.4</v>
      </c>
      <c r="P124">
        <f t="shared" si="126"/>
        <v>473.47</v>
      </c>
      <c r="Q124">
        <f t="shared" si="127"/>
        <v>0</v>
      </c>
      <c r="R124">
        <f t="shared" si="128"/>
        <v>0</v>
      </c>
      <c r="S124">
        <f t="shared" si="129"/>
        <v>213.93</v>
      </c>
      <c r="T124">
        <f t="shared" si="130"/>
        <v>0</v>
      </c>
      <c r="U124">
        <f t="shared" si="131"/>
        <v>29.7361</v>
      </c>
      <c r="V124">
        <f t="shared" si="132"/>
        <v>0</v>
      </c>
      <c r="W124">
        <f t="shared" si="133"/>
        <v>0</v>
      </c>
      <c r="X124">
        <f t="shared" si="134"/>
        <v>196.82</v>
      </c>
      <c r="Y124">
        <f t="shared" si="134"/>
        <v>94.13</v>
      </c>
      <c r="AA124">
        <v>55454919</v>
      </c>
      <c r="AB124">
        <f t="shared" si="135"/>
        <v>23.81</v>
      </c>
      <c r="AC124">
        <f t="shared" si="136"/>
        <v>16.4</v>
      </c>
      <c r="AD124">
        <f t="shared" si="157"/>
        <v>0</v>
      </c>
      <c r="AE124">
        <f t="shared" si="158"/>
        <v>0</v>
      </c>
      <c r="AF124">
        <f t="shared" si="158"/>
        <v>7.41</v>
      </c>
      <c r="AG124">
        <f t="shared" si="137"/>
        <v>0</v>
      </c>
      <c r="AH124">
        <f t="shared" si="159"/>
        <v>1.03</v>
      </c>
      <c r="AI124">
        <f t="shared" si="159"/>
        <v>0</v>
      </c>
      <c r="AJ124">
        <f t="shared" si="138"/>
        <v>0</v>
      </c>
      <c r="AK124">
        <v>23.81</v>
      </c>
      <c r="AL124">
        <v>16.4</v>
      </c>
      <c r="AM124">
        <v>0</v>
      </c>
      <c r="AN124">
        <v>0</v>
      </c>
      <c r="AO124">
        <v>7.41</v>
      </c>
      <c r="AP124">
        <v>0</v>
      </c>
      <c r="AQ124">
        <v>1.03</v>
      </c>
      <c r="AR124">
        <v>0</v>
      </c>
      <c r="AS124">
        <v>0</v>
      </c>
      <c r="AT124">
        <v>92</v>
      </c>
      <c r="AU124">
        <v>44</v>
      </c>
      <c r="AV124">
        <v>1</v>
      </c>
      <c r="AW124">
        <v>1</v>
      </c>
      <c r="AZ124">
        <v>1</v>
      </c>
      <c r="BA124">
        <v>36.47</v>
      </c>
      <c r="BB124">
        <v>1</v>
      </c>
      <c r="BC124">
        <v>1</v>
      </c>
      <c r="BH124">
        <v>0</v>
      </c>
      <c r="BI124">
        <v>1</v>
      </c>
      <c r="BJ124" t="s">
        <v>221</v>
      </c>
      <c r="BM124">
        <v>69001</v>
      </c>
      <c r="BN124">
        <v>0</v>
      </c>
      <c r="BP124">
        <v>0</v>
      </c>
      <c r="BQ124">
        <v>6</v>
      </c>
      <c r="BR124">
        <v>0</v>
      </c>
      <c r="BS124">
        <v>36.47</v>
      </c>
      <c r="BT124">
        <v>1</v>
      </c>
      <c r="BU124">
        <v>1</v>
      </c>
      <c r="BV124">
        <v>1</v>
      </c>
      <c r="BW124">
        <v>1</v>
      </c>
      <c r="BX124">
        <v>1</v>
      </c>
      <c r="BZ124">
        <v>92</v>
      </c>
      <c r="CA124">
        <v>44</v>
      </c>
      <c r="CE124">
        <v>0</v>
      </c>
      <c r="CF124">
        <v>0</v>
      </c>
      <c r="CG124">
        <v>0</v>
      </c>
      <c r="CM124">
        <v>0</v>
      </c>
      <c r="CO124">
        <v>0</v>
      </c>
      <c r="CP124">
        <f t="shared" si="139"/>
        <v>687.4000000000001</v>
      </c>
      <c r="CQ124">
        <f t="shared" si="140"/>
        <v>16.4</v>
      </c>
      <c r="CR124">
        <f t="shared" si="160"/>
        <v>0</v>
      </c>
      <c r="CS124">
        <f t="shared" si="141"/>
        <v>0</v>
      </c>
      <c r="CT124">
        <f t="shared" si="141"/>
        <v>7.41</v>
      </c>
      <c r="CU124">
        <f t="shared" si="141"/>
        <v>0</v>
      </c>
      <c r="CV124">
        <f t="shared" si="141"/>
        <v>1.03</v>
      </c>
      <c r="CW124">
        <f t="shared" si="141"/>
        <v>0</v>
      </c>
      <c r="CX124">
        <f t="shared" si="141"/>
        <v>0</v>
      </c>
      <c r="CY124">
        <f t="shared" si="142"/>
        <v>196.81560000000002</v>
      </c>
      <c r="CZ124">
        <f t="shared" si="143"/>
        <v>94.1292</v>
      </c>
      <c r="DN124">
        <v>0</v>
      </c>
      <c r="DO124">
        <v>0</v>
      </c>
      <c r="DP124">
        <v>1</v>
      </c>
      <c r="DQ124">
        <v>1</v>
      </c>
      <c r="DU124">
        <v>1009</v>
      </c>
      <c r="DV124" t="s">
        <v>34</v>
      </c>
      <c r="DW124" t="s">
        <v>34</v>
      </c>
      <c r="DX124">
        <v>1000</v>
      </c>
      <c r="EE124">
        <v>55471848</v>
      </c>
      <c r="EF124">
        <v>6</v>
      </c>
      <c r="EG124" t="s">
        <v>26</v>
      </c>
      <c r="EH124">
        <v>103</v>
      </c>
      <c r="EI124" t="s">
        <v>212</v>
      </c>
      <c r="EJ124">
        <v>1</v>
      </c>
      <c r="EK124">
        <v>69001</v>
      </c>
      <c r="EL124" t="s">
        <v>212</v>
      </c>
      <c r="EM124" t="s">
        <v>213</v>
      </c>
      <c r="EQ124">
        <v>0</v>
      </c>
      <c r="ER124">
        <v>23.81</v>
      </c>
      <c r="ES124">
        <v>16.4</v>
      </c>
      <c r="ET124">
        <v>0</v>
      </c>
      <c r="EU124">
        <v>0</v>
      </c>
      <c r="EV124">
        <v>7.41</v>
      </c>
      <c r="EW124">
        <v>1.03</v>
      </c>
      <c r="EX124">
        <v>0</v>
      </c>
      <c r="EY124">
        <v>0</v>
      </c>
      <c r="FQ124">
        <v>0</v>
      </c>
      <c r="FR124">
        <f t="shared" si="144"/>
        <v>0</v>
      </c>
      <c r="FS124">
        <v>0</v>
      </c>
      <c r="FX124">
        <v>92</v>
      </c>
      <c r="FY124">
        <v>44</v>
      </c>
      <c r="GD124">
        <v>1</v>
      </c>
      <c r="GF124">
        <v>-1160313074</v>
      </c>
      <c r="GG124">
        <v>2</v>
      </c>
      <c r="GH124">
        <v>1</v>
      </c>
      <c r="GI124">
        <v>4</v>
      </c>
      <c r="GJ124">
        <v>0</v>
      </c>
      <c r="GK124">
        <v>0</v>
      </c>
      <c r="GL124">
        <f t="shared" si="145"/>
        <v>0</v>
      </c>
      <c r="GM124">
        <f t="shared" si="146"/>
        <v>978.35</v>
      </c>
      <c r="GN124">
        <f t="shared" si="147"/>
        <v>978.35</v>
      </c>
      <c r="GO124">
        <f t="shared" si="148"/>
        <v>0</v>
      </c>
      <c r="GP124">
        <f t="shared" si="149"/>
        <v>0</v>
      </c>
      <c r="GR124">
        <v>0</v>
      </c>
      <c r="GS124">
        <v>0</v>
      </c>
      <c r="GT124">
        <v>0</v>
      </c>
      <c r="GV124">
        <f t="shared" si="150"/>
        <v>0</v>
      </c>
      <c r="GW124">
        <v>1</v>
      </c>
      <c r="GX124">
        <f t="shared" si="151"/>
        <v>0</v>
      </c>
      <c r="HA124">
        <v>0</v>
      </c>
      <c r="HB124">
        <v>0</v>
      </c>
      <c r="HC124">
        <f t="shared" si="152"/>
        <v>0</v>
      </c>
      <c r="HI124">
        <f t="shared" si="153"/>
        <v>0</v>
      </c>
      <c r="HJ124">
        <f t="shared" si="154"/>
        <v>7802.03</v>
      </c>
      <c r="HK124">
        <f t="shared" si="155"/>
        <v>7177.87</v>
      </c>
      <c r="HL124">
        <f t="shared" si="156"/>
        <v>3432.89</v>
      </c>
      <c r="HN124" t="s">
        <v>214</v>
      </c>
      <c r="HO124" t="s">
        <v>215</v>
      </c>
      <c r="HP124" t="s">
        <v>212</v>
      </c>
      <c r="HQ124" t="s">
        <v>212</v>
      </c>
      <c r="IK124">
        <v>0</v>
      </c>
    </row>
    <row r="125" spans="1:255" ht="12.75">
      <c r="A125" s="2">
        <v>17</v>
      </c>
      <c r="B125" s="2">
        <v>1</v>
      </c>
      <c r="C125" s="2"/>
      <c r="D125" s="2"/>
      <c r="E125" s="2" t="s">
        <v>222</v>
      </c>
      <c r="F125" s="2" t="s">
        <v>223</v>
      </c>
      <c r="G125" s="2" t="s">
        <v>224</v>
      </c>
      <c r="H125" s="2" t="s">
        <v>225</v>
      </c>
      <c r="I125" s="2">
        <v>28.87</v>
      </c>
      <c r="J125" s="2">
        <v>0</v>
      </c>
      <c r="K125" s="2">
        <v>28.87</v>
      </c>
      <c r="L125" s="2"/>
      <c r="M125" s="2"/>
      <c r="N125" s="2"/>
      <c r="O125" s="2">
        <f>0</f>
        <v>0</v>
      </c>
      <c r="P125" s="2">
        <f>0</f>
        <v>0</v>
      </c>
      <c r="Q125" s="2">
        <f>0</f>
        <v>0</v>
      </c>
      <c r="R125" s="2">
        <f>0</f>
        <v>0</v>
      </c>
      <c r="S125" s="2">
        <f>0</f>
        <v>0</v>
      </c>
      <c r="T125" s="2">
        <f>0</f>
        <v>0</v>
      </c>
      <c r="U125" s="2">
        <f>0</f>
        <v>0</v>
      </c>
      <c r="V125" s="2">
        <f>0</f>
        <v>0</v>
      </c>
      <c r="W125" s="2">
        <f>0</f>
        <v>0</v>
      </c>
      <c r="X125" s="2">
        <f>0</f>
        <v>0</v>
      </c>
      <c r="Y125" s="2">
        <f>0</f>
        <v>0</v>
      </c>
      <c r="Z125" s="2"/>
      <c r="AA125" s="2">
        <v>55454918</v>
      </c>
      <c r="AB125" s="2">
        <f>ROUND((AK125),2)</f>
        <v>23.67</v>
      </c>
      <c r="AC125" s="2">
        <f>0</f>
        <v>0</v>
      </c>
      <c r="AD125" s="2">
        <f>0</f>
        <v>0</v>
      </c>
      <c r="AE125" s="2">
        <f>0</f>
        <v>0</v>
      </c>
      <c r="AF125" s="2">
        <f>0</f>
        <v>0</v>
      </c>
      <c r="AG125" s="2">
        <f>0</f>
        <v>0</v>
      </c>
      <c r="AH125" s="2">
        <f>0</f>
        <v>0</v>
      </c>
      <c r="AI125" s="2">
        <f>0</f>
        <v>0</v>
      </c>
      <c r="AJ125" s="2">
        <f>0</f>
        <v>0</v>
      </c>
      <c r="AK125" s="2">
        <v>23.67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1</v>
      </c>
      <c r="AW125" s="2">
        <v>1</v>
      </c>
      <c r="AX125" s="2"/>
      <c r="AY125" s="2"/>
      <c r="AZ125" s="2">
        <v>1</v>
      </c>
      <c r="BA125" s="2">
        <v>1</v>
      </c>
      <c r="BB125" s="2">
        <v>1</v>
      </c>
      <c r="BC125" s="2">
        <v>1</v>
      </c>
      <c r="BD125" s="2" t="s">
        <v>3</v>
      </c>
      <c r="BE125" s="2" t="s">
        <v>3</v>
      </c>
      <c r="BF125" s="2" t="s">
        <v>3</v>
      </c>
      <c r="BG125" s="2" t="s">
        <v>3</v>
      </c>
      <c r="BH125" s="2">
        <v>0</v>
      </c>
      <c r="BI125" s="2">
        <v>1</v>
      </c>
      <c r="BJ125" s="2" t="s">
        <v>226</v>
      </c>
      <c r="BK125" s="2"/>
      <c r="BL125" s="2"/>
      <c r="BM125" s="2">
        <v>700005</v>
      </c>
      <c r="BN125" s="2">
        <v>0</v>
      </c>
      <c r="BO125" s="2" t="s">
        <v>3</v>
      </c>
      <c r="BP125" s="2">
        <v>0</v>
      </c>
      <c r="BQ125" s="2">
        <v>10</v>
      </c>
      <c r="BR125" s="2">
        <v>0</v>
      </c>
      <c r="BS125" s="2">
        <v>1</v>
      </c>
      <c r="BT125" s="2">
        <v>1</v>
      </c>
      <c r="BU125" s="2">
        <v>1</v>
      </c>
      <c r="BV125" s="2">
        <v>1</v>
      </c>
      <c r="BW125" s="2">
        <v>1</v>
      </c>
      <c r="BX125" s="2">
        <v>1</v>
      </c>
      <c r="BY125" s="2" t="s">
        <v>3</v>
      </c>
      <c r="BZ125" s="2">
        <v>0</v>
      </c>
      <c r="CA125" s="2">
        <v>0</v>
      </c>
      <c r="CB125" s="2" t="s">
        <v>3</v>
      </c>
      <c r="CC125" s="2"/>
      <c r="CD125" s="2"/>
      <c r="CE125" s="2">
        <v>0</v>
      </c>
      <c r="CF125" s="2">
        <v>0</v>
      </c>
      <c r="CG125" s="2">
        <v>0</v>
      </c>
      <c r="CH125" s="2"/>
      <c r="CI125" s="2"/>
      <c r="CJ125" s="2"/>
      <c r="CK125" s="2"/>
      <c r="CL125" s="2"/>
      <c r="CM125" s="2">
        <v>0</v>
      </c>
      <c r="CN125" s="2" t="s">
        <v>3</v>
      </c>
      <c r="CO125" s="2">
        <v>0</v>
      </c>
      <c r="CP125" s="2">
        <f>AB125*AZ125</f>
        <v>23.67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/>
      <c r="DB125" s="2"/>
      <c r="DC125" s="2" t="s">
        <v>3</v>
      </c>
      <c r="DD125" s="2" t="s">
        <v>3</v>
      </c>
      <c r="DE125" s="2" t="s">
        <v>3</v>
      </c>
      <c r="DF125" s="2" t="s">
        <v>3</v>
      </c>
      <c r="DG125" s="2" t="s">
        <v>3</v>
      </c>
      <c r="DH125" s="2" t="s">
        <v>3</v>
      </c>
      <c r="DI125" s="2" t="s">
        <v>3</v>
      </c>
      <c r="DJ125" s="2" t="s">
        <v>3</v>
      </c>
      <c r="DK125" s="2" t="s">
        <v>3</v>
      </c>
      <c r="DL125" s="2" t="s">
        <v>3</v>
      </c>
      <c r="DM125" s="2" t="s">
        <v>3</v>
      </c>
      <c r="DN125" s="2">
        <v>0</v>
      </c>
      <c r="DO125" s="2">
        <v>0</v>
      </c>
      <c r="DP125" s="2">
        <v>1</v>
      </c>
      <c r="DQ125" s="2">
        <v>1</v>
      </c>
      <c r="DR125" s="2"/>
      <c r="DS125" s="2"/>
      <c r="DT125" s="2"/>
      <c r="DU125" s="2">
        <v>1013</v>
      </c>
      <c r="DV125" s="2" t="s">
        <v>225</v>
      </c>
      <c r="DW125" s="2" t="s">
        <v>225</v>
      </c>
      <c r="DX125" s="2">
        <v>1</v>
      </c>
      <c r="DY125" s="2"/>
      <c r="DZ125" s="2" t="s">
        <v>3</v>
      </c>
      <c r="EA125" s="2" t="s">
        <v>3</v>
      </c>
      <c r="EB125" s="2" t="s">
        <v>3</v>
      </c>
      <c r="EC125" s="2" t="s">
        <v>3</v>
      </c>
      <c r="ED125" s="2"/>
      <c r="EE125" s="2">
        <v>55471919</v>
      </c>
      <c r="EF125" s="2">
        <v>10</v>
      </c>
      <c r="EG125" s="2" t="s">
        <v>227</v>
      </c>
      <c r="EH125" s="2">
        <v>107</v>
      </c>
      <c r="EI125" s="2" t="s">
        <v>228</v>
      </c>
      <c r="EJ125" s="2">
        <v>1</v>
      </c>
      <c r="EK125" s="2">
        <v>700005</v>
      </c>
      <c r="EL125" s="2" t="s">
        <v>228</v>
      </c>
      <c r="EM125" s="2" t="s">
        <v>229</v>
      </c>
      <c r="EN125" s="2"/>
      <c r="EO125" s="2" t="s">
        <v>3</v>
      </c>
      <c r="EP125" s="2"/>
      <c r="EQ125" s="2">
        <v>0</v>
      </c>
      <c r="ER125" s="2">
        <v>0</v>
      </c>
      <c r="ES125" s="2">
        <v>0</v>
      </c>
      <c r="ET125" s="2">
        <v>0</v>
      </c>
      <c r="EU125" s="2">
        <v>0</v>
      </c>
      <c r="EV125" s="2">
        <v>0</v>
      </c>
      <c r="EW125" s="2">
        <v>0</v>
      </c>
      <c r="EX125" s="2">
        <v>0</v>
      </c>
      <c r="EY125" s="2">
        <v>0</v>
      </c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>
        <v>0</v>
      </c>
      <c r="FR125" s="2">
        <f t="shared" si="144"/>
        <v>0</v>
      </c>
      <c r="FS125" s="2">
        <v>0</v>
      </c>
      <c r="FT125" s="2"/>
      <c r="FU125" s="2"/>
      <c r="FV125" s="2"/>
      <c r="FW125" s="2"/>
      <c r="FX125" s="2">
        <v>0</v>
      </c>
      <c r="FY125" s="2">
        <v>0</v>
      </c>
      <c r="FZ125" s="2"/>
      <c r="GA125" s="2" t="s">
        <v>3</v>
      </c>
      <c r="GB125" s="2"/>
      <c r="GC125" s="2"/>
      <c r="GD125" s="2">
        <v>1</v>
      </c>
      <c r="GE125" s="2"/>
      <c r="GF125" s="2">
        <v>229117356</v>
      </c>
      <c r="GG125" s="2">
        <v>2</v>
      </c>
      <c r="GH125" s="2">
        <v>1</v>
      </c>
      <c r="GI125" s="2">
        <v>-2</v>
      </c>
      <c r="GJ125" s="2">
        <v>2</v>
      </c>
      <c r="GK125" s="2">
        <v>0</v>
      </c>
      <c r="GL125" s="2">
        <f t="shared" si="145"/>
        <v>0</v>
      </c>
      <c r="GM125" s="2">
        <f>ROUND(CP125*I125,2)</f>
        <v>683.35</v>
      </c>
      <c r="GN125" s="2">
        <f>IF(OR(BI125=0,BI125=1),ROUND(CP125*I125,2),0)</f>
        <v>683.35</v>
      </c>
      <c r="GO125" s="2">
        <f>IF(BI125=2,ROUND(CP125*I125,2),0)</f>
        <v>0</v>
      </c>
      <c r="GP125" s="2">
        <f>IF(BI125=4,ROUND(CP125*I125,2)+GX125,0)</f>
        <v>0</v>
      </c>
      <c r="GQ125" s="2"/>
      <c r="GR125" s="2">
        <v>0</v>
      </c>
      <c r="GS125" s="2">
        <v>3</v>
      </c>
      <c r="GT125" s="2">
        <v>0</v>
      </c>
      <c r="GU125" s="2" t="s">
        <v>3</v>
      </c>
      <c r="GV125" s="2">
        <f>0</f>
        <v>0</v>
      </c>
      <c r="GW125" s="2">
        <v>1</v>
      </c>
      <c r="GX125" s="2">
        <f>0</f>
        <v>0</v>
      </c>
      <c r="GY125" s="2"/>
      <c r="GZ125" s="2"/>
      <c r="HA125" s="2">
        <v>0</v>
      </c>
      <c r="HB125" s="2">
        <v>0</v>
      </c>
      <c r="HC125" s="2">
        <v>0</v>
      </c>
      <c r="HD125" s="2">
        <f>GM125</f>
        <v>683.35</v>
      </c>
      <c r="HE125" s="2" t="s">
        <v>3</v>
      </c>
      <c r="HF125" s="2" t="s">
        <v>3</v>
      </c>
      <c r="HG125" s="2"/>
      <c r="HH125" s="2"/>
      <c r="HI125" s="2">
        <f t="shared" si="153"/>
        <v>0</v>
      </c>
      <c r="HJ125" s="2">
        <f t="shared" si="154"/>
        <v>0</v>
      </c>
      <c r="HK125" s="2"/>
      <c r="HL125" s="2"/>
      <c r="HM125" s="2" t="s">
        <v>3</v>
      </c>
      <c r="HN125" s="2" t="s">
        <v>3</v>
      </c>
      <c r="HO125" s="2" t="s">
        <v>3</v>
      </c>
      <c r="HP125" s="2" t="s">
        <v>3</v>
      </c>
      <c r="HQ125" s="2" t="s">
        <v>3</v>
      </c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>
        <v>0</v>
      </c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45" ht="12.75">
      <c r="A126">
        <v>17</v>
      </c>
      <c r="B126">
        <v>1</v>
      </c>
      <c r="E126" t="s">
        <v>222</v>
      </c>
      <c r="F126" t="s">
        <v>223</v>
      </c>
      <c r="G126" t="s">
        <v>224</v>
      </c>
      <c r="H126" t="s">
        <v>225</v>
      </c>
      <c r="I126">
        <v>28.87</v>
      </c>
      <c r="J126">
        <v>0</v>
      </c>
      <c r="K126">
        <v>28.87</v>
      </c>
      <c r="O126">
        <f>0</f>
        <v>0</v>
      </c>
      <c r="P126">
        <f>0</f>
        <v>0</v>
      </c>
      <c r="Q126">
        <f>0</f>
        <v>0</v>
      </c>
      <c r="R126">
        <f>0</f>
        <v>0</v>
      </c>
      <c r="S126">
        <f>0</f>
        <v>0</v>
      </c>
      <c r="T126">
        <f>0</f>
        <v>0</v>
      </c>
      <c r="U126">
        <f>0</f>
        <v>0</v>
      </c>
      <c r="V126">
        <f>0</f>
        <v>0</v>
      </c>
      <c r="W126">
        <f>0</f>
        <v>0</v>
      </c>
      <c r="X126">
        <f>0</f>
        <v>0</v>
      </c>
      <c r="Y126">
        <f>0</f>
        <v>0</v>
      </c>
      <c r="AA126">
        <v>55454919</v>
      </c>
      <c r="AB126">
        <f>ROUND((AK126),2)</f>
        <v>23.67</v>
      </c>
      <c r="AC126">
        <f>0</f>
        <v>0</v>
      </c>
      <c r="AD126">
        <f>0</f>
        <v>0</v>
      </c>
      <c r="AE126">
        <f>0</f>
        <v>0</v>
      </c>
      <c r="AF126">
        <f>0</f>
        <v>0</v>
      </c>
      <c r="AG126">
        <f>0</f>
        <v>0</v>
      </c>
      <c r="AH126">
        <f>0</f>
        <v>0</v>
      </c>
      <c r="AI126">
        <f>0</f>
        <v>0</v>
      </c>
      <c r="AJ126">
        <f>0</f>
        <v>0</v>
      </c>
      <c r="AK126">
        <v>23.67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</v>
      </c>
      <c r="AW126">
        <v>1</v>
      </c>
      <c r="AZ126">
        <v>1</v>
      </c>
      <c r="BA126">
        <v>1</v>
      </c>
      <c r="BB126">
        <v>1</v>
      </c>
      <c r="BC126">
        <v>1</v>
      </c>
      <c r="BH126">
        <v>0</v>
      </c>
      <c r="BI126">
        <v>1</v>
      </c>
      <c r="BJ126" t="s">
        <v>226</v>
      </c>
      <c r="BM126">
        <v>700005</v>
      </c>
      <c r="BN126">
        <v>0</v>
      </c>
      <c r="BP126">
        <v>0</v>
      </c>
      <c r="BQ126">
        <v>10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Z126">
        <v>0</v>
      </c>
      <c r="CA126">
        <v>0</v>
      </c>
      <c r="CE126">
        <v>0</v>
      </c>
      <c r="CF126">
        <v>0</v>
      </c>
      <c r="CG126">
        <v>0</v>
      </c>
      <c r="CM126">
        <v>0</v>
      </c>
      <c r="CO126">
        <v>0</v>
      </c>
      <c r="CP126">
        <f>AB126*AZ126</f>
        <v>23.67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N126">
        <v>0</v>
      </c>
      <c r="DO126">
        <v>0</v>
      </c>
      <c r="DP126">
        <v>1</v>
      </c>
      <c r="DQ126">
        <v>1</v>
      </c>
      <c r="DU126">
        <v>1013</v>
      </c>
      <c r="DV126" t="s">
        <v>225</v>
      </c>
      <c r="DW126" t="s">
        <v>225</v>
      </c>
      <c r="DX126">
        <v>1</v>
      </c>
      <c r="EE126">
        <v>55471919</v>
      </c>
      <c r="EF126">
        <v>10</v>
      </c>
      <c r="EG126" t="s">
        <v>227</v>
      </c>
      <c r="EH126">
        <v>107</v>
      </c>
      <c r="EI126" t="s">
        <v>228</v>
      </c>
      <c r="EJ126">
        <v>1</v>
      </c>
      <c r="EK126">
        <v>700005</v>
      </c>
      <c r="EL126" t="s">
        <v>228</v>
      </c>
      <c r="EM126" t="s">
        <v>229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FQ126">
        <v>0</v>
      </c>
      <c r="FR126">
        <f t="shared" si="144"/>
        <v>0</v>
      </c>
      <c r="FS126">
        <v>0</v>
      </c>
      <c r="FX126">
        <v>0</v>
      </c>
      <c r="FY126">
        <v>0</v>
      </c>
      <c r="GD126">
        <v>1</v>
      </c>
      <c r="GF126">
        <v>229117356</v>
      </c>
      <c r="GG126">
        <v>2</v>
      </c>
      <c r="GH126">
        <v>1</v>
      </c>
      <c r="GI126">
        <v>4</v>
      </c>
      <c r="GJ126">
        <v>2</v>
      </c>
      <c r="GK126">
        <v>0</v>
      </c>
      <c r="GL126">
        <f t="shared" si="145"/>
        <v>0</v>
      </c>
      <c r="GM126">
        <f>ROUND(CP126*I126,2)</f>
        <v>683.35</v>
      </c>
      <c r="GN126">
        <f>IF(OR(BI126=0,BI126=1),ROUND(CP126*I126,2),0)</f>
        <v>683.35</v>
      </c>
      <c r="GO126">
        <f>IF(BI126=2,ROUND(CP126*I126,2),0)</f>
        <v>0</v>
      </c>
      <c r="GP126">
        <f>IF(BI126=4,ROUND(CP126*I126,2)+GX126,0)</f>
        <v>0</v>
      </c>
      <c r="GR126">
        <v>0</v>
      </c>
      <c r="GS126">
        <v>0</v>
      </c>
      <c r="GT126">
        <v>0</v>
      </c>
      <c r="GV126">
        <f>0</f>
        <v>0</v>
      </c>
      <c r="GW126">
        <v>1</v>
      </c>
      <c r="GX126">
        <f>0</f>
        <v>0</v>
      </c>
      <c r="HA126">
        <v>0</v>
      </c>
      <c r="HB126">
        <v>0</v>
      </c>
      <c r="HC126">
        <v>0</v>
      </c>
      <c r="HD126">
        <f>GM126</f>
        <v>683.35</v>
      </c>
      <c r="HI126">
        <f t="shared" si="153"/>
        <v>0</v>
      </c>
      <c r="HJ126">
        <f t="shared" si="154"/>
        <v>0</v>
      </c>
      <c r="IK126">
        <v>0</v>
      </c>
    </row>
    <row r="128" spans="1:206" ht="12.75">
      <c r="A128" s="3">
        <v>51</v>
      </c>
      <c r="B128" s="3">
        <f>B113</f>
        <v>1</v>
      </c>
      <c r="C128" s="3">
        <f>A113</f>
        <v>4</v>
      </c>
      <c r="D128" s="3">
        <f>ROW(A113)</f>
        <v>113</v>
      </c>
      <c r="E128" s="3"/>
      <c r="F128" s="3" t="str">
        <f>IF(F113&lt;&gt;"",F113,"")</f>
        <v>Новый раздел</v>
      </c>
      <c r="G128" s="3" t="str">
        <f>IF(G113&lt;&gt;"",G113,"")</f>
        <v>Разные работы</v>
      </c>
      <c r="H128" s="3">
        <v>0</v>
      </c>
      <c r="I128" s="3"/>
      <c r="J128" s="3"/>
      <c r="K128" s="3"/>
      <c r="L128" s="3"/>
      <c r="M128" s="3"/>
      <c r="N128" s="3"/>
      <c r="O128" s="3">
        <f aca="true" t="shared" si="161" ref="O128:T128">ROUND(AB128,2)</f>
        <v>6121.78</v>
      </c>
      <c r="P128" s="3">
        <f t="shared" si="161"/>
        <v>5397.27</v>
      </c>
      <c r="Q128" s="3">
        <f t="shared" si="161"/>
        <v>5.41</v>
      </c>
      <c r="R128" s="3">
        <f t="shared" si="161"/>
        <v>0.96</v>
      </c>
      <c r="S128" s="3">
        <f t="shared" si="161"/>
        <v>719.1</v>
      </c>
      <c r="T128" s="3">
        <f t="shared" si="161"/>
        <v>0</v>
      </c>
      <c r="U128" s="3">
        <f>AH128</f>
        <v>97.10445000000001</v>
      </c>
      <c r="V128" s="3">
        <f>AI128</f>
        <v>0.0825</v>
      </c>
      <c r="W128" s="3">
        <f>ROUND(AJ128,2)</f>
        <v>0</v>
      </c>
      <c r="X128" s="3">
        <f>ROUND(AK128,2)</f>
        <v>672.37</v>
      </c>
      <c r="Y128" s="3">
        <f>ROUND(AL128,2)</f>
        <v>329.5</v>
      </c>
      <c r="Z128" s="3"/>
      <c r="AA128" s="3"/>
      <c r="AB128" s="3">
        <f>ROUND(SUMIF(AA117:AA126,"=55454918",O117:O126),2)</f>
        <v>6121.78</v>
      </c>
      <c r="AC128" s="3">
        <f>ROUND(SUMIF(AA117:AA126,"=55454918",P117:P126),2)</f>
        <v>5397.27</v>
      </c>
      <c r="AD128" s="3">
        <f>ROUND(SUMIF(AA117:AA126,"=55454918",Q117:Q126),2)</f>
        <v>5.41</v>
      </c>
      <c r="AE128" s="3">
        <f>ROUND(SUMIF(AA117:AA126,"=55454918",R117:R126),2)</f>
        <v>0.96</v>
      </c>
      <c r="AF128" s="3">
        <f>ROUND(SUMIF(AA117:AA126,"=55454918",S117:S126),2)</f>
        <v>719.1</v>
      </c>
      <c r="AG128" s="3">
        <f>ROUND(SUMIF(AA117:AA126,"=55454918",T117:T126),2)</f>
        <v>0</v>
      </c>
      <c r="AH128" s="3">
        <f>SUMIF(AA117:AA126,"=55454918",U117:U126)</f>
        <v>97.10445000000001</v>
      </c>
      <c r="AI128" s="3">
        <f>SUMIF(AA117:AA126,"=55454918",V117:V126)</f>
        <v>0.0825</v>
      </c>
      <c r="AJ128" s="3">
        <f>ROUND(SUMIF(AA117:AA126,"=55454918",W117:W126),2)</f>
        <v>0</v>
      </c>
      <c r="AK128" s="3">
        <f>ROUND(SUMIF(AA117:AA126,"=55454918",X117:X126),2)</f>
        <v>672.37</v>
      </c>
      <c r="AL128" s="3">
        <f>ROUND(SUMIF(AA117:AA126,"=55454918",Y117:Y126),2)</f>
        <v>329.5</v>
      </c>
      <c r="AM128" s="3"/>
      <c r="AN128" s="3"/>
      <c r="AO128" s="3">
        <f aca="true" t="shared" si="162" ref="AO128:BD128">ROUND(BX128,2)</f>
        <v>0</v>
      </c>
      <c r="AP128" s="3">
        <f t="shared" si="162"/>
        <v>0</v>
      </c>
      <c r="AQ128" s="3">
        <f t="shared" si="162"/>
        <v>0</v>
      </c>
      <c r="AR128" s="3">
        <f t="shared" si="162"/>
        <v>7807</v>
      </c>
      <c r="AS128" s="3">
        <f t="shared" si="162"/>
        <v>7807</v>
      </c>
      <c r="AT128" s="3">
        <f t="shared" si="162"/>
        <v>0</v>
      </c>
      <c r="AU128" s="3">
        <f t="shared" si="162"/>
        <v>0</v>
      </c>
      <c r="AV128" s="3">
        <f t="shared" si="162"/>
        <v>5397.27</v>
      </c>
      <c r="AW128" s="3">
        <f t="shared" si="162"/>
        <v>5397.27</v>
      </c>
      <c r="AX128" s="3">
        <f t="shared" si="162"/>
        <v>0</v>
      </c>
      <c r="AY128" s="3">
        <f t="shared" si="162"/>
        <v>5397.27</v>
      </c>
      <c r="AZ128" s="3">
        <f t="shared" si="162"/>
        <v>0</v>
      </c>
      <c r="BA128" s="3">
        <f t="shared" si="162"/>
        <v>0</v>
      </c>
      <c r="BB128" s="3">
        <f t="shared" si="162"/>
        <v>0</v>
      </c>
      <c r="BC128" s="3">
        <f t="shared" si="162"/>
        <v>0</v>
      </c>
      <c r="BD128" s="3">
        <f t="shared" si="162"/>
        <v>683.35</v>
      </c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>
        <f>ROUND(SUMIF(AA117:AA126,"=55454918",FQ117:FQ126),2)</f>
        <v>0</v>
      </c>
      <c r="BY128" s="3">
        <f>ROUND(SUMIF(AA117:AA126,"=55454918",FR117:FR126),2)</f>
        <v>0</v>
      </c>
      <c r="BZ128" s="3">
        <f>ROUND(SUMIF(AA117:AA126,"=55454918",GL117:GL126),2)</f>
        <v>0</v>
      </c>
      <c r="CA128" s="3">
        <f>ROUND(SUMIF(AA117:AA126,"=55454918",GM117:GM126),2)</f>
        <v>7807</v>
      </c>
      <c r="CB128" s="3">
        <f>ROUND(SUMIF(AA117:AA126,"=55454918",GN117:GN126),2)</f>
        <v>7807</v>
      </c>
      <c r="CC128" s="3">
        <f>ROUND(SUMIF(AA117:AA126,"=55454918",GO117:GO126),2)</f>
        <v>0</v>
      </c>
      <c r="CD128" s="3">
        <f>ROUND(SUMIF(AA117:AA126,"=55454918",GP117:GP126),2)</f>
        <v>0</v>
      </c>
      <c r="CE128" s="3">
        <f>AC128-BX128</f>
        <v>5397.27</v>
      </c>
      <c r="CF128" s="3">
        <f>AC128-BY128</f>
        <v>5397.27</v>
      </c>
      <c r="CG128" s="3">
        <f>BX128-BZ128</f>
        <v>0</v>
      </c>
      <c r="CH128" s="3">
        <f>AC128-BX128-BY128+BZ128</f>
        <v>5397.27</v>
      </c>
      <c r="CI128" s="3">
        <f>BY128-BZ128</f>
        <v>0</v>
      </c>
      <c r="CJ128" s="3">
        <f>ROUND(SUMIF(AA117:AA126,"=55454918",GX117:GX126),2)</f>
        <v>0</v>
      </c>
      <c r="CK128" s="3">
        <f>ROUND(SUMIF(AA117:AA126,"=55454918",GY117:GY126),2)</f>
        <v>0</v>
      </c>
      <c r="CL128" s="3">
        <f>ROUND(SUMIF(AA117:AA126,"=55454918",GZ117:GZ126),2)</f>
        <v>0</v>
      </c>
      <c r="CM128" s="3">
        <f>ROUND(SUMIF(AA117:AA126,"=55454918",HD117:HD126),2)</f>
        <v>683.35</v>
      </c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4">
        <f aca="true" t="shared" si="163" ref="DG128:DL128">ROUND(DT128,2)</f>
        <v>6121.78</v>
      </c>
      <c r="DH128" s="4">
        <f t="shared" si="163"/>
        <v>5397.27</v>
      </c>
      <c r="DI128" s="4">
        <f t="shared" si="163"/>
        <v>5.41</v>
      </c>
      <c r="DJ128" s="4">
        <f t="shared" si="163"/>
        <v>0.96</v>
      </c>
      <c r="DK128" s="4">
        <f t="shared" si="163"/>
        <v>719.1</v>
      </c>
      <c r="DL128" s="4">
        <f t="shared" si="163"/>
        <v>0</v>
      </c>
      <c r="DM128" s="4">
        <f>DZ128</f>
        <v>97.10445000000001</v>
      </c>
      <c r="DN128" s="4">
        <f>EA128</f>
        <v>0.0825</v>
      </c>
      <c r="DO128" s="4">
        <f>ROUND(EB128,2)</f>
        <v>0</v>
      </c>
      <c r="DP128" s="4">
        <f>ROUND(EC128,2)</f>
        <v>672.37</v>
      </c>
      <c r="DQ128" s="4">
        <f>ROUND(ED128,2)</f>
        <v>329.5</v>
      </c>
      <c r="DR128" s="4"/>
      <c r="DS128" s="4"/>
      <c r="DT128" s="4">
        <f>ROUND(SUMIF(AA117:AA126,"=55454919",O117:O126),2)</f>
        <v>6121.78</v>
      </c>
      <c r="DU128" s="4">
        <f>ROUND(SUMIF(AA117:AA126,"=55454919",P117:P126),2)</f>
        <v>5397.27</v>
      </c>
      <c r="DV128" s="4">
        <f>ROUND(SUMIF(AA117:AA126,"=55454919",Q117:Q126),2)</f>
        <v>5.41</v>
      </c>
      <c r="DW128" s="4">
        <f>ROUND(SUMIF(AA117:AA126,"=55454919",R117:R126),2)</f>
        <v>0.96</v>
      </c>
      <c r="DX128" s="4">
        <f>ROUND(SUMIF(AA117:AA126,"=55454919",S117:S126),2)</f>
        <v>719.1</v>
      </c>
      <c r="DY128" s="4">
        <f>ROUND(SUMIF(AA117:AA126,"=55454919",T117:T126),2)</f>
        <v>0</v>
      </c>
      <c r="DZ128" s="4">
        <f>SUMIF(AA117:AA126,"=55454919",U117:U126)</f>
        <v>97.10445000000001</v>
      </c>
      <c r="EA128" s="4">
        <f>SUMIF(AA117:AA126,"=55454919",V117:V126)</f>
        <v>0.0825</v>
      </c>
      <c r="EB128" s="4">
        <f>ROUND(SUMIF(AA117:AA126,"=55454919",W117:W126),2)</f>
        <v>0</v>
      </c>
      <c r="EC128" s="4">
        <f>ROUND(SUMIF(AA117:AA126,"=55454919",X117:X126),2)</f>
        <v>672.37</v>
      </c>
      <c r="ED128" s="4">
        <f>ROUND(SUMIF(AA117:AA126,"=55454919",Y117:Y126),2)</f>
        <v>329.5</v>
      </c>
      <c r="EE128" s="4"/>
      <c r="EF128" s="4"/>
      <c r="EG128" s="4">
        <f aca="true" t="shared" si="164" ref="EG128:EV128">ROUND(FP128,2)</f>
        <v>0</v>
      </c>
      <c r="EH128" s="4">
        <f t="shared" si="164"/>
        <v>0</v>
      </c>
      <c r="EI128" s="4">
        <f t="shared" si="164"/>
        <v>0</v>
      </c>
      <c r="EJ128" s="4">
        <f t="shared" si="164"/>
        <v>7807</v>
      </c>
      <c r="EK128" s="4">
        <f t="shared" si="164"/>
        <v>7807</v>
      </c>
      <c r="EL128" s="4">
        <f t="shared" si="164"/>
        <v>0</v>
      </c>
      <c r="EM128" s="4">
        <f t="shared" si="164"/>
        <v>0</v>
      </c>
      <c r="EN128" s="4">
        <f t="shared" si="164"/>
        <v>5397.27</v>
      </c>
      <c r="EO128" s="4">
        <f t="shared" si="164"/>
        <v>5397.27</v>
      </c>
      <c r="EP128" s="4">
        <f t="shared" si="164"/>
        <v>0</v>
      </c>
      <c r="EQ128" s="4">
        <f t="shared" si="164"/>
        <v>5397.27</v>
      </c>
      <c r="ER128" s="4">
        <f t="shared" si="164"/>
        <v>0</v>
      </c>
      <c r="ES128" s="4">
        <f t="shared" si="164"/>
        <v>0</v>
      </c>
      <c r="ET128" s="4">
        <f t="shared" si="164"/>
        <v>0</v>
      </c>
      <c r="EU128" s="4">
        <f t="shared" si="164"/>
        <v>0</v>
      </c>
      <c r="EV128" s="4">
        <f t="shared" si="164"/>
        <v>683.35</v>
      </c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>
        <f>ROUND(SUMIF(AA117:AA126,"=55454919",FQ117:FQ126),2)</f>
        <v>0</v>
      </c>
      <c r="FQ128" s="4">
        <f>ROUND(SUMIF(AA117:AA126,"=55454919",FR117:FR126),2)</f>
        <v>0</v>
      </c>
      <c r="FR128" s="4">
        <f>ROUND(SUMIF(AA117:AA126,"=55454919",GL117:GL126),2)</f>
        <v>0</v>
      </c>
      <c r="FS128" s="4">
        <f>ROUND(SUMIF(AA117:AA126,"=55454919",GM117:GM126),2)</f>
        <v>7807</v>
      </c>
      <c r="FT128" s="4">
        <f>ROUND(SUMIF(AA117:AA126,"=55454919",GN117:GN126),2)</f>
        <v>7807</v>
      </c>
      <c r="FU128" s="4">
        <f>ROUND(SUMIF(AA117:AA126,"=55454919",GO117:GO126),2)</f>
        <v>0</v>
      </c>
      <c r="FV128" s="4">
        <f>ROUND(SUMIF(AA117:AA126,"=55454919",GP117:GP126),2)</f>
        <v>0</v>
      </c>
      <c r="FW128" s="4">
        <f>DU128-FP128</f>
        <v>5397.27</v>
      </c>
      <c r="FX128" s="4">
        <f>DU128-FQ128</f>
        <v>5397.27</v>
      </c>
      <c r="FY128" s="4">
        <f>FP128-FR128</f>
        <v>0</v>
      </c>
      <c r="FZ128" s="4">
        <f>DU128-FP128-FQ128+FR128</f>
        <v>5397.27</v>
      </c>
      <c r="GA128" s="4">
        <f>FQ128-FR128</f>
        <v>0</v>
      </c>
      <c r="GB128" s="4">
        <f>ROUND(SUMIF(AA117:AA126,"=55454919",GX117:GX126),2)</f>
        <v>0</v>
      </c>
      <c r="GC128" s="4">
        <f>ROUND(SUMIF(AA117:AA126,"=55454919",GY117:GY126),2)</f>
        <v>0</v>
      </c>
      <c r="GD128" s="4">
        <f>ROUND(SUMIF(AA117:AA126,"=55454919",GZ117:GZ126),2)</f>
        <v>0</v>
      </c>
      <c r="GE128" s="4">
        <f>ROUND(SUMIF(AA117:AA126,"=55454919",HD117:HD126),2)</f>
        <v>683.35</v>
      </c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>
        <v>0</v>
      </c>
    </row>
    <row r="130" spans="1:28" ht="12.75">
      <c r="A130" s="5">
        <v>50</v>
      </c>
      <c r="B130" s="5">
        <v>0</v>
      </c>
      <c r="C130" s="5">
        <v>0</v>
      </c>
      <c r="D130" s="5">
        <v>1</v>
      </c>
      <c r="E130" s="5">
        <v>201</v>
      </c>
      <c r="F130" s="5">
        <f>ROUND(Source!O128,O130)</f>
        <v>6121.78</v>
      </c>
      <c r="G130" s="5" t="s">
        <v>148</v>
      </c>
      <c r="H130" s="5" t="s">
        <v>149</v>
      </c>
      <c r="I130" s="5"/>
      <c r="J130" s="5"/>
      <c r="K130" s="5">
        <v>201</v>
      </c>
      <c r="L130" s="5">
        <v>1</v>
      </c>
      <c r="M130" s="5">
        <v>3</v>
      </c>
      <c r="N130" s="5" t="s">
        <v>3</v>
      </c>
      <c r="O130" s="5">
        <v>2</v>
      </c>
      <c r="P130" s="5">
        <f>ROUND(Source!DG128,O130)</f>
        <v>6121.78</v>
      </c>
      <c r="Q130" s="5"/>
      <c r="R130" s="5"/>
      <c r="S130" s="5"/>
      <c r="T130" s="5"/>
      <c r="U130" s="5"/>
      <c r="V130" s="5"/>
      <c r="W130" s="5">
        <v>6805.13</v>
      </c>
      <c r="X130" s="5">
        <v>1</v>
      </c>
      <c r="Y130" s="5">
        <v>6805.13</v>
      </c>
      <c r="Z130" s="5">
        <v>6805.13</v>
      </c>
      <c r="AA130" s="5">
        <v>1</v>
      </c>
      <c r="AB130" s="5">
        <v>71968.18</v>
      </c>
    </row>
    <row r="131" spans="1:28" ht="12.75">
      <c r="A131" s="5">
        <v>50</v>
      </c>
      <c r="B131" s="5">
        <v>0</v>
      </c>
      <c r="C131" s="5">
        <v>0</v>
      </c>
      <c r="D131" s="5">
        <v>1</v>
      </c>
      <c r="E131" s="5">
        <v>202</v>
      </c>
      <c r="F131" s="5">
        <f>ROUND(Source!P128,O131)</f>
        <v>5397.27</v>
      </c>
      <c r="G131" s="5" t="s">
        <v>150</v>
      </c>
      <c r="H131" s="5" t="s">
        <v>151</v>
      </c>
      <c r="I131" s="5"/>
      <c r="J131" s="5"/>
      <c r="K131" s="5">
        <v>202</v>
      </c>
      <c r="L131" s="5">
        <v>2</v>
      </c>
      <c r="M131" s="5">
        <v>3</v>
      </c>
      <c r="N131" s="5" t="s">
        <v>3</v>
      </c>
      <c r="O131" s="5">
        <v>2</v>
      </c>
      <c r="P131" s="5">
        <f>ROUND(Source!DH128,O131)</f>
        <v>5397.27</v>
      </c>
      <c r="Q131" s="5"/>
      <c r="R131" s="5"/>
      <c r="S131" s="5"/>
      <c r="T131" s="5"/>
      <c r="U131" s="5"/>
      <c r="V131" s="5"/>
      <c r="W131" s="5">
        <v>5397.27</v>
      </c>
      <c r="X131" s="5">
        <v>1</v>
      </c>
      <c r="Y131" s="5">
        <v>5397.27</v>
      </c>
      <c r="Z131" s="5">
        <v>5397.27</v>
      </c>
      <c r="AA131" s="5">
        <v>1</v>
      </c>
      <c r="AB131" s="5">
        <v>0</v>
      </c>
    </row>
    <row r="132" spans="1:28" ht="12.75">
      <c r="A132" s="5">
        <v>50</v>
      </c>
      <c r="B132" s="5">
        <v>0</v>
      </c>
      <c r="C132" s="5">
        <v>0</v>
      </c>
      <c r="D132" s="5">
        <v>1</v>
      </c>
      <c r="E132" s="5">
        <v>222</v>
      </c>
      <c r="F132" s="5">
        <f>ROUND(Source!AO128,O132)</f>
        <v>0</v>
      </c>
      <c r="G132" s="5" t="s">
        <v>152</v>
      </c>
      <c r="H132" s="5" t="s">
        <v>153</v>
      </c>
      <c r="I132" s="5"/>
      <c r="J132" s="5"/>
      <c r="K132" s="5">
        <v>222</v>
      </c>
      <c r="L132" s="5">
        <v>3</v>
      </c>
      <c r="M132" s="5">
        <v>3</v>
      </c>
      <c r="N132" s="5" t="s">
        <v>3</v>
      </c>
      <c r="O132" s="5">
        <v>2</v>
      </c>
      <c r="P132" s="5">
        <f>ROUND(Source!EG128,O132)</f>
        <v>0</v>
      </c>
      <c r="Q132" s="5"/>
      <c r="R132" s="5"/>
      <c r="S132" s="5"/>
      <c r="T132" s="5"/>
      <c r="U132" s="5"/>
      <c r="V132" s="5"/>
      <c r="W132" s="5">
        <v>0</v>
      </c>
      <c r="X132" s="5">
        <v>1</v>
      </c>
      <c r="Y132" s="5">
        <v>0</v>
      </c>
      <c r="Z132" s="5">
        <v>0</v>
      </c>
      <c r="AA132" s="5">
        <v>1</v>
      </c>
      <c r="AB132" s="5">
        <v>0</v>
      </c>
    </row>
    <row r="133" spans="1:28" ht="12.75">
      <c r="A133" s="5">
        <v>50</v>
      </c>
      <c r="B133" s="5">
        <v>0</v>
      </c>
      <c r="C133" s="5">
        <v>0</v>
      </c>
      <c r="D133" s="5">
        <v>1</v>
      </c>
      <c r="E133" s="5">
        <v>225</v>
      </c>
      <c r="F133" s="5">
        <f>ROUND(Source!AV128,O133)</f>
        <v>5397.27</v>
      </c>
      <c r="G133" s="5" t="s">
        <v>154</v>
      </c>
      <c r="H133" s="5" t="s">
        <v>155</v>
      </c>
      <c r="I133" s="5"/>
      <c r="J133" s="5"/>
      <c r="K133" s="5">
        <v>225</v>
      </c>
      <c r="L133" s="5">
        <v>4</v>
      </c>
      <c r="M133" s="5">
        <v>3</v>
      </c>
      <c r="N133" s="5" t="s">
        <v>3</v>
      </c>
      <c r="O133" s="5">
        <v>2</v>
      </c>
      <c r="P133" s="5">
        <f>ROUND(Source!EN128,O133)</f>
        <v>5397.27</v>
      </c>
      <c r="Q133" s="5"/>
      <c r="R133" s="5"/>
      <c r="S133" s="5"/>
      <c r="T133" s="5"/>
      <c r="U133" s="5"/>
      <c r="V133" s="5"/>
      <c r="W133" s="5">
        <v>5397.27</v>
      </c>
      <c r="X133" s="5">
        <v>1</v>
      </c>
      <c r="Y133" s="5">
        <v>5397.27</v>
      </c>
      <c r="Z133" s="5">
        <v>5397.27</v>
      </c>
      <c r="AA133" s="5">
        <v>1</v>
      </c>
      <c r="AB133" s="5">
        <v>0</v>
      </c>
    </row>
    <row r="134" spans="1:28" ht="12.75">
      <c r="A134" s="5">
        <v>50</v>
      </c>
      <c r="B134" s="5">
        <v>0</v>
      </c>
      <c r="C134" s="5">
        <v>0</v>
      </c>
      <c r="D134" s="5">
        <v>1</v>
      </c>
      <c r="E134" s="5">
        <v>226</v>
      </c>
      <c r="F134" s="5">
        <f>ROUND(Source!AW128,O134)</f>
        <v>5397.27</v>
      </c>
      <c r="G134" s="5" t="s">
        <v>156</v>
      </c>
      <c r="H134" s="5" t="s">
        <v>157</v>
      </c>
      <c r="I134" s="5"/>
      <c r="J134" s="5"/>
      <c r="K134" s="5">
        <v>226</v>
      </c>
      <c r="L134" s="5">
        <v>5</v>
      </c>
      <c r="M134" s="5">
        <v>3</v>
      </c>
      <c r="N134" s="5" t="s">
        <v>3</v>
      </c>
      <c r="O134" s="5">
        <v>2</v>
      </c>
      <c r="P134" s="5">
        <f>ROUND(Source!EO128,O134)</f>
        <v>5397.27</v>
      </c>
      <c r="Q134" s="5"/>
      <c r="R134" s="5"/>
      <c r="S134" s="5"/>
      <c r="T134" s="5"/>
      <c r="U134" s="5"/>
      <c r="V134" s="5"/>
      <c r="W134" s="5">
        <v>5397.27</v>
      </c>
      <c r="X134" s="5">
        <v>1</v>
      </c>
      <c r="Y134" s="5">
        <v>5397.27</v>
      </c>
      <c r="Z134" s="5">
        <v>5397.27</v>
      </c>
      <c r="AA134" s="5">
        <v>1</v>
      </c>
      <c r="AB134" s="5">
        <v>36809.38</v>
      </c>
    </row>
    <row r="135" spans="1:28" ht="12.75">
      <c r="A135" s="5">
        <v>50</v>
      </c>
      <c r="B135" s="5">
        <v>0</v>
      </c>
      <c r="C135" s="5">
        <v>0</v>
      </c>
      <c r="D135" s="5">
        <v>1</v>
      </c>
      <c r="E135" s="5">
        <v>227</v>
      </c>
      <c r="F135" s="5">
        <f>ROUND(Source!AX128,O135)</f>
        <v>0</v>
      </c>
      <c r="G135" s="5" t="s">
        <v>158</v>
      </c>
      <c r="H135" s="5" t="s">
        <v>159</v>
      </c>
      <c r="I135" s="5"/>
      <c r="J135" s="5"/>
      <c r="K135" s="5">
        <v>227</v>
      </c>
      <c r="L135" s="5">
        <v>6</v>
      </c>
      <c r="M135" s="5">
        <v>3</v>
      </c>
      <c r="N135" s="5" t="s">
        <v>3</v>
      </c>
      <c r="O135" s="5">
        <v>2</v>
      </c>
      <c r="P135" s="5">
        <f>ROUND(Source!EP128,O135)</f>
        <v>0</v>
      </c>
      <c r="Q135" s="5"/>
      <c r="R135" s="5"/>
      <c r="S135" s="5"/>
      <c r="T135" s="5"/>
      <c r="U135" s="5"/>
      <c r="V135" s="5"/>
      <c r="W135" s="5">
        <v>0</v>
      </c>
      <c r="X135" s="5">
        <v>1</v>
      </c>
      <c r="Y135" s="5">
        <v>0</v>
      </c>
      <c r="Z135" s="5">
        <v>0</v>
      </c>
      <c r="AA135" s="5">
        <v>1</v>
      </c>
      <c r="AB135" s="5">
        <v>0</v>
      </c>
    </row>
    <row r="136" spans="1:28" ht="12.75">
      <c r="A136" s="5">
        <v>50</v>
      </c>
      <c r="B136" s="5">
        <v>0</v>
      </c>
      <c r="C136" s="5">
        <v>0</v>
      </c>
      <c r="D136" s="5">
        <v>1</v>
      </c>
      <c r="E136" s="5">
        <v>228</v>
      </c>
      <c r="F136" s="5">
        <f>ROUND(Source!AY128,O136)</f>
        <v>5397.27</v>
      </c>
      <c r="G136" s="5" t="s">
        <v>160</v>
      </c>
      <c r="H136" s="5" t="s">
        <v>161</v>
      </c>
      <c r="I136" s="5"/>
      <c r="J136" s="5"/>
      <c r="K136" s="5">
        <v>228</v>
      </c>
      <c r="L136" s="5">
        <v>7</v>
      </c>
      <c r="M136" s="5">
        <v>3</v>
      </c>
      <c r="N136" s="5" t="s">
        <v>3</v>
      </c>
      <c r="O136" s="5">
        <v>2</v>
      </c>
      <c r="P136" s="5">
        <f>ROUND(Source!EQ128,O136)</f>
        <v>5397.27</v>
      </c>
      <c r="Q136" s="5"/>
      <c r="R136" s="5"/>
      <c r="S136" s="5"/>
      <c r="T136" s="5"/>
      <c r="U136" s="5"/>
      <c r="V136" s="5"/>
      <c r="W136" s="5">
        <v>5397.27</v>
      </c>
      <c r="X136" s="5">
        <v>1</v>
      </c>
      <c r="Y136" s="5">
        <v>5397.27</v>
      </c>
      <c r="Z136" s="5">
        <v>5397.27</v>
      </c>
      <c r="AA136" s="5">
        <v>1</v>
      </c>
      <c r="AB136" s="5">
        <v>36809.38</v>
      </c>
    </row>
    <row r="137" spans="1:28" ht="12.75">
      <c r="A137" s="5">
        <v>50</v>
      </c>
      <c r="B137" s="5">
        <v>0</v>
      </c>
      <c r="C137" s="5">
        <v>0</v>
      </c>
      <c r="D137" s="5">
        <v>1</v>
      </c>
      <c r="E137" s="5">
        <v>216</v>
      </c>
      <c r="F137" s="5">
        <f>ROUND(Source!AP128,O137)</f>
        <v>0</v>
      </c>
      <c r="G137" s="5" t="s">
        <v>162</v>
      </c>
      <c r="H137" s="5" t="s">
        <v>163</v>
      </c>
      <c r="I137" s="5"/>
      <c r="J137" s="5"/>
      <c r="K137" s="5">
        <v>216</v>
      </c>
      <c r="L137" s="5">
        <v>8</v>
      </c>
      <c r="M137" s="5">
        <v>3</v>
      </c>
      <c r="N137" s="5" t="s">
        <v>3</v>
      </c>
      <c r="O137" s="5">
        <v>2</v>
      </c>
      <c r="P137" s="5">
        <f>ROUND(Source!EH128,O137)</f>
        <v>0</v>
      </c>
      <c r="Q137" s="5"/>
      <c r="R137" s="5"/>
      <c r="S137" s="5"/>
      <c r="T137" s="5"/>
      <c r="U137" s="5"/>
      <c r="V137" s="5"/>
      <c r="W137" s="5">
        <v>0</v>
      </c>
      <c r="X137" s="5">
        <v>1</v>
      </c>
      <c r="Y137" s="5">
        <v>0</v>
      </c>
      <c r="Z137" s="5">
        <v>0</v>
      </c>
      <c r="AA137" s="5">
        <v>1</v>
      </c>
      <c r="AB137" s="5">
        <v>0</v>
      </c>
    </row>
    <row r="138" spans="1:28" ht="12.75">
      <c r="A138" s="5">
        <v>50</v>
      </c>
      <c r="B138" s="5">
        <v>0</v>
      </c>
      <c r="C138" s="5">
        <v>0</v>
      </c>
      <c r="D138" s="5">
        <v>1</v>
      </c>
      <c r="E138" s="5">
        <v>223</v>
      </c>
      <c r="F138" s="5">
        <f>ROUND(Source!AQ128,O138)</f>
        <v>0</v>
      </c>
      <c r="G138" s="5" t="s">
        <v>164</v>
      </c>
      <c r="H138" s="5" t="s">
        <v>165</v>
      </c>
      <c r="I138" s="5"/>
      <c r="J138" s="5"/>
      <c r="K138" s="5">
        <v>223</v>
      </c>
      <c r="L138" s="5">
        <v>9</v>
      </c>
      <c r="M138" s="5">
        <v>3</v>
      </c>
      <c r="N138" s="5" t="s">
        <v>3</v>
      </c>
      <c r="O138" s="5">
        <v>2</v>
      </c>
      <c r="P138" s="5">
        <f>ROUND(Source!EI128,O138)</f>
        <v>0</v>
      </c>
      <c r="Q138" s="5"/>
      <c r="R138" s="5"/>
      <c r="S138" s="5"/>
      <c r="T138" s="5"/>
      <c r="U138" s="5"/>
      <c r="V138" s="5"/>
      <c r="W138" s="5">
        <v>0</v>
      </c>
      <c r="X138" s="5">
        <v>1</v>
      </c>
      <c r="Y138" s="5">
        <v>0</v>
      </c>
      <c r="Z138" s="5">
        <v>0</v>
      </c>
      <c r="AA138" s="5">
        <v>1</v>
      </c>
      <c r="AB138" s="5">
        <v>0</v>
      </c>
    </row>
    <row r="139" spans="1:28" ht="12.75">
      <c r="A139" s="5">
        <v>50</v>
      </c>
      <c r="B139" s="5">
        <v>0</v>
      </c>
      <c r="C139" s="5">
        <v>0</v>
      </c>
      <c r="D139" s="5">
        <v>1</v>
      </c>
      <c r="E139" s="5">
        <v>229</v>
      </c>
      <c r="F139" s="5">
        <f>ROUND(Source!AZ128,O139)</f>
        <v>0</v>
      </c>
      <c r="G139" s="5" t="s">
        <v>166</v>
      </c>
      <c r="H139" s="5" t="s">
        <v>167</v>
      </c>
      <c r="I139" s="5"/>
      <c r="J139" s="5"/>
      <c r="K139" s="5">
        <v>229</v>
      </c>
      <c r="L139" s="5">
        <v>10</v>
      </c>
      <c r="M139" s="5">
        <v>3</v>
      </c>
      <c r="N139" s="5" t="s">
        <v>3</v>
      </c>
      <c r="O139" s="5">
        <v>2</v>
      </c>
      <c r="P139" s="5">
        <f>ROUND(Source!ER128,O139)</f>
        <v>0</v>
      </c>
      <c r="Q139" s="5"/>
      <c r="R139" s="5"/>
      <c r="S139" s="5"/>
      <c r="T139" s="5"/>
      <c r="U139" s="5"/>
      <c r="V139" s="5"/>
      <c r="W139" s="5">
        <v>0</v>
      </c>
      <c r="X139" s="5">
        <v>1</v>
      </c>
      <c r="Y139" s="5">
        <v>0</v>
      </c>
      <c r="Z139" s="5">
        <v>0</v>
      </c>
      <c r="AA139" s="5">
        <v>1</v>
      </c>
      <c r="AB139" s="5">
        <v>0</v>
      </c>
    </row>
    <row r="140" spans="1:28" ht="12.75">
      <c r="A140" s="5">
        <v>50</v>
      </c>
      <c r="B140" s="5">
        <v>0</v>
      </c>
      <c r="C140" s="5">
        <v>0</v>
      </c>
      <c r="D140" s="5">
        <v>1</v>
      </c>
      <c r="E140" s="5">
        <v>203</v>
      </c>
      <c r="F140" s="5">
        <f>ROUND(Source!Q128,O140)</f>
        <v>5.41</v>
      </c>
      <c r="G140" s="5" t="s">
        <v>168</v>
      </c>
      <c r="H140" s="5" t="s">
        <v>169</v>
      </c>
      <c r="I140" s="5"/>
      <c r="J140" s="5"/>
      <c r="K140" s="5">
        <v>203</v>
      </c>
      <c r="L140" s="5">
        <v>11</v>
      </c>
      <c r="M140" s="5">
        <v>3</v>
      </c>
      <c r="N140" s="5" t="s">
        <v>3</v>
      </c>
      <c r="O140" s="5">
        <v>2</v>
      </c>
      <c r="P140" s="5">
        <f>ROUND(Source!DI128,O140)</f>
        <v>5.41</v>
      </c>
      <c r="Q140" s="5"/>
      <c r="R140" s="5"/>
      <c r="S140" s="5"/>
      <c r="T140" s="5"/>
      <c r="U140" s="5"/>
      <c r="V140" s="5"/>
      <c r="W140" s="5">
        <v>5.41</v>
      </c>
      <c r="X140" s="5">
        <v>1</v>
      </c>
      <c r="Y140" s="5">
        <v>5.41</v>
      </c>
      <c r="Z140" s="5">
        <v>5.41</v>
      </c>
      <c r="AA140" s="5">
        <v>1</v>
      </c>
      <c r="AB140" s="5">
        <v>70.17</v>
      </c>
    </row>
    <row r="141" spans="1:28" ht="12.75">
      <c r="A141" s="5">
        <v>50</v>
      </c>
      <c r="B141" s="5">
        <v>0</v>
      </c>
      <c r="C141" s="5">
        <v>0</v>
      </c>
      <c r="D141" s="5">
        <v>1</v>
      </c>
      <c r="E141" s="5">
        <v>231</v>
      </c>
      <c r="F141" s="5">
        <f>ROUND(Source!BB128,O141)</f>
        <v>0</v>
      </c>
      <c r="G141" s="5" t="s">
        <v>170</v>
      </c>
      <c r="H141" s="5" t="s">
        <v>171</v>
      </c>
      <c r="I141" s="5"/>
      <c r="J141" s="5"/>
      <c r="K141" s="5">
        <v>231</v>
      </c>
      <c r="L141" s="5">
        <v>12</v>
      </c>
      <c r="M141" s="5">
        <v>3</v>
      </c>
      <c r="N141" s="5" t="s">
        <v>3</v>
      </c>
      <c r="O141" s="5">
        <v>2</v>
      </c>
      <c r="P141" s="5">
        <f>ROUND(Source!ET128,O141)</f>
        <v>0</v>
      </c>
      <c r="Q141" s="5"/>
      <c r="R141" s="5"/>
      <c r="S141" s="5"/>
      <c r="T141" s="5"/>
      <c r="U141" s="5"/>
      <c r="V141" s="5"/>
      <c r="W141" s="5">
        <v>0</v>
      </c>
      <c r="X141" s="5">
        <v>1</v>
      </c>
      <c r="Y141" s="5">
        <v>0</v>
      </c>
      <c r="Z141" s="5">
        <v>0</v>
      </c>
      <c r="AA141" s="5">
        <v>1</v>
      </c>
      <c r="AB141" s="5">
        <v>0</v>
      </c>
    </row>
    <row r="142" spans="1:28" ht="12.75">
      <c r="A142" s="5">
        <v>50</v>
      </c>
      <c r="B142" s="5">
        <v>0</v>
      </c>
      <c r="C142" s="5">
        <v>0</v>
      </c>
      <c r="D142" s="5">
        <v>1</v>
      </c>
      <c r="E142" s="5">
        <v>204</v>
      </c>
      <c r="F142" s="5">
        <f>ROUND(Source!R128,O142)</f>
        <v>0.96</v>
      </c>
      <c r="G142" s="5" t="s">
        <v>172</v>
      </c>
      <c r="H142" s="5" t="s">
        <v>173</v>
      </c>
      <c r="I142" s="5"/>
      <c r="J142" s="5"/>
      <c r="K142" s="5">
        <v>204</v>
      </c>
      <c r="L142" s="5">
        <v>13</v>
      </c>
      <c r="M142" s="5">
        <v>3</v>
      </c>
      <c r="N142" s="5" t="s">
        <v>3</v>
      </c>
      <c r="O142" s="5">
        <v>2</v>
      </c>
      <c r="P142" s="5">
        <f>ROUND(Source!DJ128,O142)</f>
        <v>0.96</v>
      </c>
      <c r="Q142" s="5"/>
      <c r="R142" s="5"/>
      <c r="S142" s="5"/>
      <c r="T142" s="5"/>
      <c r="U142" s="5"/>
      <c r="V142" s="5"/>
      <c r="W142" s="5">
        <v>0.96</v>
      </c>
      <c r="X142" s="5">
        <v>1</v>
      </c>
      <c r="Y142" s="5">
        <v>0.96</v>
      </c>
      <c r="Z142" s="5">
        <v>0.96</v>
      </c>
      <c r="AA142" s="5">
        <v>1</v>
      </c>
      <c r="AB142" s="5">
        <v>35.01</v>
      </c>
    </row>
    <row r="143" spans="1:28" ht="12.75">
      <c r="A143" s="5">
        <v>50</v>
      </c>
      <c r="B143" s="5">
        <v>0</v>
      </c>
      <c r="C143" s="5">
        <v>0</v>
      </c>
      <c r="D143" s="5">
        <v>1</v>
      </c>
      <c r="E143" s="5">
        <v>205</v>
      </c>
      <c r="F143" s="5">
        <f>ROUND(Source!S128,O143)</f>
        <v>719.1</v>
      </c>
      <c r="G143" s="5" t="s">
        <v>174</v>
      </c>
      <c r="H143" s="5" t="s">
        <v>175</v>
      </c>
      <c r="I143" s="5"/>
      <c r="J143" s="5"/>
      <c r="K143" s="5">
        <v>205</v>
      </c>
      <c r="L143" s="5">
        <v>14</v>
      </c>
      <c r="M143" s="5">
        <v>3</v>
      </c>
      <c r="N143" s="5" t="s">
        <v>3</v>
      </c>
      <c r="O143" s="5">
        <v>2</v>
      </c>
      <c r="P143" s="5">
        <f>ROUND(Source!DK128,O143)</f>
        <v>719.1</v>
      </c>
      <c r="Q143" s="5"/>
      <c r="R143" s="5"/>
      <c r="S143" s="5"/>
      <c r="T143" s="5"/>
      <c r="U143" s="5"/>
      <c r="V143" s="5"/>
      <c r="W143" s="5">
        <v>719.1</v>
      </c>
      <c r="X143" s="5">
        <v>1</v>
      </c>
      <c r="Y143" s="5">
        <v>719.1</v>
      </c>
      <c r="Z143" s="5">
        <v>719.1</v>
      </c>
      <c r="AA143" s="5">
        <v>1</v>
      </c>
      <c r="AB143" s="5">
        <v>26225.579999999998</v>
      </c>
    </row>
    <row r="144" spans="1:28" ht="12.75">
      <c r="A144" s="5">
        <v>50</v>
      </c>
      <c r="B144" s="5">
        <v>0</v>
      </c>
      <c r="C144" s="5">
        <v>0</v>
      </c>
      <c r="D144" s="5">
        <v>1</v>
      </c>
      <c r="E144" s="5">
        <v>232</v>
      </c>
      <c r="F144" s="5">
        <f>ROUND(Source!BC128,O144)</f>
        <v>0</v>
      </c>
      <c r="G144" s="5" t="s">
        <v>176</v>
      </c>
      <c r="H144" s="5" t="s">
        <v>177</v>
      </c>
      <c r="I144" s="5"/>
      <c r="J144" s="5"/>
      <c r="K144" s="5">
        <v>232</v>
      </c>
      <c r="L144" s="5">
        <v>15</v>
      </c>
      <c r="M144" s="5">
        <v>3</v>
      </c>
      <c r="N144" s="5" t="s">
        <v>3</v>
      </c>
      <c r="O144" s="5">
        <v>2</v>
      </c>
      <c r="P144" s="5">
        <f>ROUND(Source!EU128,O144)</f>
        <v>0</v>
      </c>
      <c r="Q144" s="5"/>
      <c r="R144" s="5"/>
      <c r="S144" s="5"/>
      <c r="T144" s="5"/>
      <c r="U144" s="5"/>
      <c r="V144" s="5"/>
      <c r="W144" s="5">
        <v>0</v>
      </c>
      <c r="X144" s="5">
        <v>1</v>
      </c>
      <c r="Y144" s="5">
        <v>0</v>
      </c>
      <c r="Z144" s="5">
        <v>0</v>
      </c>
      <c r="AA144" s="5">
        <v>1</v>
      </c>
      <c r="AB144" s="5">
        <v>0</v>
      </c>
    </row>
    <row r="145" spans="1:28" ht="12.75">
      <c r="A145" s="5">
        <v>50</v>
      </c>
      <c r="B145" s="5">
        <v>0</v>
      </c>
      <c r="C145" s="5">
        <v>0</v>
      </c>
      <c r="D145" s="5">
        <v>1</v>
      </c>
      <c r="E145" s="5">
        <v>214</v>
      </c>
      <c r="F145" s="5">
        <f>ROUND(Source!AS128,O145)</f>
        <v>7807</v>
      </c>
      <c r="G145" s="5" t="s">
        <v>178</v>
      </c>
      <c r="H145" s="5" t="s">
        <v>179</v>
      </c>
      <c r="I145" s="5"/>
      <c r="J145" s="5"/>
      <c r="K145" s="5">
        <v>214</v>
      </c>
      <c r="L145" s="5">
        <v>16</v>
      </c>
      <c r="M145" s="5">
        <v>3</v>
      </c>
      <c r="N145" s="5" t="s">
        <v>3</v>
      </c>
      <c r="O145" s="5">
        <v>2</v>
      </c>
      <c r="P145" s="5">
        <f>ROUND(Source!EK128,O145)</f>
        <v>7807</v>
      </c>
      <c r="Q145" s="5"/>
      <c r="R145" s="5"/>
      <c r="S145" s="5"/>
      <c r="T145" s="5"/>
      <c r="U145" s="5"/>
      <c r="V145" s="5"/>
      <c r="W145" s="5">
        <v>7807</v>
      </c>
      <c r="X145" s="5">
        <v>1</v>
      </c>
      <c r="Y145" s="5">
        <v>7807</v>
      </c>
      <c r="Z145" s="5">
        <v>7807</v>
      </c>
      <c r="AA145" s="5">
        <v>1</v>
      </c>
      <c r="AB145" s="5">
        <v>108506.15</v>
      </c>
    </row>
    <row r="146" spans="1:28" ht="12.75">
      <c r="A146" s="5">
        <v>50</v>
      </c>
      <c r="B146" s="5">
        <v>0</v>
      </c>
      <c r="C146" s="5">
        <v>0</v>
      </c>
      <c r="D146" s="5">
        <v>1</v>
      </c>
      <c r="E146" s="5">
        <v>215</v>
      </c>
      <c r="F146" s="5">
        <f>ROUND(Source!AT128,O146)</f>
        <v>0</v>
      </c>
      <c r="G146" s="5" t="s">
        <v>180</v>
      </c>
      <c r="H146" s="5" t="s">
        <v>181</v>
      </c>
      <c r="I146" s="5"/>
      <c r="J146" s="5"/>
      <c r="K146" s="5">
        <v>215</v>
      </c>
      <c r="L146" s="5">
        <v>17</v>
      </c>
      <c r="M146" s="5">
        <v>3</v>
      </c>
      <c r="N146" s="5" t="s">
        <v>3</v>
      </c>
      <c r="O146" s="5">
        <v>2</v>
      </c>
      <c r="P146" s="5">
        <f>ROUND(Source!EL128,O146)</f>
        <v>0</v>
      </c>
      <c r="Q146" s="5"/>
      <c r="R146" s="5"/>
      <c r="S146" s="5"/>
      <c r="T146" s="5"/>
      <c r="U146" s="5"/>
      <c r="V146" s="5"/>
      <c r="W146" s="5">
        <v>0</v>
      </c>
      <c r="X146" s="5">
        <v>1</v>
      </c>
      <c r="Y146" s="5">
        <v>0</v>
      </c>
      <c r="Z146" s="5">
        <v>0</v>
      </c>
      <c r="AA146" s="5">
        <v>1</v>
      </c>
      <c r="AB146" s="5">
        <v>0</v>
      </c>
    </row>
    <row r="147" spans="1:28" ht="12.75">
      <c r="A147" s="5">
        <v>50</v>
      </c>
      <c r="B147" s="5">
        <v>0</v>
      </c>
      <c r="C147" s="5">
        <v>0</v>
      </c>
      <c r="D147" s="5">
        <v>1</v>
      </c>
      <c r="E147" s="5">
        <v>217</v>
      </c>
      <c r="F147" s="5">
        <f>ROUND(Source!AU128,O147)</f>
        <v>0</v>
      </c>
      <c r="G147" s="5" t="s">
        <v>182</v>
      </c>
      <c r="H147" s="5" t="s">
        <v>183</v>
      </c>
      <c r="I147" s="5"/>
      <c r="J147" s="5"/>
      <c r="K147" s="5">
        <v>217</v>
      </c>
      <c r="L147" s="5">
        <v>18</v>
      </c>
      <c r="M147" s="5">
        <v>3</v>
      </c>
      <c r="N147" s="5" t="s">
        <v>3</v>
      </c>
      <c r="O147" s="5">
        <v>2</v>
      </c>
      <c r="P147" s="5">
        <f>ROUND(Source!EM128,O147)</f>
        <v>0</v>
      </c>
      <c r="Q147" s="5"/>
      <c r="R147" s="5"/>
      <c r="S147" s="5"/>
      <c r="T147" s="5"/>
      <c r="U147" s="5"/>
      <c r="V147" s="5"/>
      <c r="W147" s="5">
        <v>0</v>
      </c>
      <c r="X147" s="5">
        <v>1</v>
      </c>
      <c r="Y147" s="5">
        <v>0</v>
      </c>
      <c r="Z147" s="5">
        <v>0</v>
      </c>
      <c r="AA147" s="5">
        <v>1</v>
      </c>
      <c r="AB147" s="5">
        <v>0</v>
      </c>
    </row>
    <row r="148" spans="1:28" ht="12.75">
      <c r="A148" s="5">
        <v>50</v>
      </c>
      <c r="B148" s="5">
        <v>0</v>
      </c>
      <c r="C148" s="5">
        <v>0</v>
      </c>
      <c r="D148" s="5">
        <v>1</v>
      </c>
      <c r="E148" s="5">
        <v>230</v>
      </c>
      <c r="F148" s="5">
        <f>ROUND(Source!BA128,O148)</f>
        <v>0</v>
      </c>
      <c r="G148" s="5" t="s">
        <v>184</v>
      </c>
      <c r="H148" s="5" t="s">
        <v>185</v>
      </c>
      <c r="I148" s="5"/>
      <c r="J148" s="5"/>
      <c r="K148" s="5">
        <v>230</v>
      </c>
      <c r="L148" s="5">
        <v>19</v>
      </c>
      <c r="M148" s="5">
        <v>3</v>
      </c>
      <c r="N148" s="5" t="s">
        <v>3</v>
      </c>
      <c r="O148" s="5">
        <v>2</v>
      </c>
      <c r="P148" s="5">
        <f>ROUND(Source!ES128,O148)</f>
        <v>0</v>
      </c>
      <c r="Q148" s="5"/>
      <c r="R148" s="5"/>
      <c r="S148" s="5"/>
      <c r="T148" s="5"/>
      <c r="U148" s="5"/>
      <c r="V148" s="5"/>
      <c r="W148" s="5">
        <v>0</v>
      </c>
      <c r="X148" s="5">
        <v>1</v>
      </c>
      <c r="Y148" s="5">
        <v>0</v>
      </c>
      <c r="Z148" s="5">
        <v>0</v>
      </c>
      <c r="AA148" s="5">
        <v>1</v>
      </c>
      <c r="AB148" s="5">
        <v>0</v>
      </c>
    </row>
    <row r="149" spans="1:28" ht="12.75">
      <c r="A149" s="5">
        <v>50</v>
      </c>
      <c r="B149" s="5">
        <v>0</v>
      </c>
      <c r="C149" s="5">
        <v>0</v>
      </c>
      <c r="D149" s="5">
        <v>1</v>
      </c>
      <c r="E149" s="5">
        <v>206</v>
      </c>
      <c r="F149" s="5">
        <f>ROUND(Source!T128,O149)</f>
        <v>0</v>
      </c>
      <c r="G149" s="5" t="s">
        <v>186</v>
      </c>
      <c r="H149" s="5" t="s">
        <v>187</v>
      </c>
      <c r="I149" s="5"/>
      <c r="J149" s="5"/>
      <c r="K149" s="5">
        <v>206</v>
      </c>
      <c r="L149" s="5">
        <v>20</v>
      </c>
      <c r="M149" s="5">
        <v>3</v>
      </c>
      <c r="N149" s="5" t="s">
        <v>3</v>
      </c>
      <c r="O149" s="5">
        <v>2</v>
      </c>
      <c r="P149" s="5">
        <f>ROUND(Source!DL128,O149)</f>
        <v>0</v>
      </c>
      <c r="Q149" s="5"/>
      <c r="R149" s="5"/>
      <c r="S149" s="5"/>
      <c r="T149" s="5"/>
      <c r="U149" s="5"/>
      <c r="V149" s="5"/>
      <c r="W149" s="5">
        <v>0</v>
      </c>
      <c r="X149" s="5">
        <v>1</v>
      </c>
      <c r="Y149" s="5">
        <v>0</v>
      </c>
      <c r="Z149" s="5">
        <v>0</v>
      </c>
      <c r="AA149" s="5">
        <v>1</v>
      </c>
      <c r="AB149" s="5">
        <v>0</v>
      </c>
    </row>
    <row r="150" spans="1:28" ht="12.75">
      <c r="A150" s="5">
        <v>50</v>
      </c>
      <c r="B150" s="5">
        <v>0</v>
      </c>
      <c r="C150" s="5">
        <v>0</v>
      </c>
      <c r="D150" s="5">
        <v>1</v>
      </c>
      <c r="E150" s="5">
        <v>207</v>
      </c>
      <c r="F150" s="5">
        <f>Source!U128</f>
        <v>97.10445000000001</v>
      </c>
      <c r="G150" s="5" t="s">
        <v>188</v>
      </c>
      <c r="H150" s="5" t="s">
        <v>189</v>
      </c>
      <c r="I150" s="5"/>
      <c r="J150" s="5"/>
      <c r="K150" s="5">
        <v>207</v>
      </c>
      <c r="L150" s="5">
        <v>21</v>
      </c>
      <c r="M150" s="5">
        <v>3</v>
      </c>
      <c r="N150" s="5" t="s">
        <v>3</v>
      </c>
      <c r="O150" s="5">
        <v>-1</v>
      </c>
      <c r="P150" s="5">
        <f>Source!DM128</f>
        <v>97.10445000000001</v>
      </c>
      <c r="Q150" s="5"/>
      <c r="R150" s="5"/>
      <c r="S150" s="5"/>
      <c r="T150" s="5"/>
      <c r="U150" s="5"/>
      <c r="V150" s="5"/>
      <c r="W150" s="5">
        <v>97.10445</v>
      </c>
      <c r="X150" s="5">
        <v>1</v>
      </c>
      <c r="Y150" s="5">
        <v>97.10445</v>
      </c>
      <c r="Z150" s="5">
        <v>97.10445</v>
      </c>
      <c r="AA150" s="5">
        <v>1</v>
      </c>
      <c r="AB150" s="5">
        <v>97.10445</v>
      </c>
    </row>
    <row r="151" spans="1:28" ht="12.75">
      <c r="A151" s="5">
        <v>50</v>
      </c>
      <c r="B151" s="5">
        <v>0</v>
      </c>
      <c r="C151" s="5">
        <v>0</v>
      </c>
      <c r="D151" s="5">
        <v>1</v>
      </c>
      <c r="E151" s="5">
        <v>208</v>
      </c>
      <c r="F151" s="5">
        <f>Source!V128</f>
        <v>0.0825</v>
      </c>
      <c r="G151" s="5" t="s">
        <v>190</v>
      </c>
      <c r="H151" s="5" t="s">
        <v>191</v>
      </c>
      <c r="I151" s="5"/>
      <c r="J151" s="5"/>
      <c r="K151" s="5">
        <v>208</v>
      </c>
      <c r="L151" s="5">
        <v>22</v>
      </c>
      <c r="M151" s="5">
        <v>3</v>
      </c>
      <c r="N151" s="5" t="s">
        <v>3</v>
      </c>
      <c r="O151" s="5">
        <v>-1</v>
      </c>
      <c r="P151" s="5">
        <f>Source!DN128</f>
        <v>0.0825</v>
      </c>
      <c r="Q151" s="5"/>
      <c r="R151" s="5"/>
      <c r="S151" s="5"/>
      <c r="T151" s="5"/>
      <c r="U151" s="5"/>
      <c r="V151" s="5"/>
      <c r="W151" s="5">
        <v>0.0825</v>
      </c>
      <c r="X151" s="5">
        <v>1</v>
      </c>
      <c r="Y151" s="5">
        <v>0.0825</v>
      </c>
      <c r="Z151" s="5">
        <v>0.0825</v>
      </c>
      <c r="AA151" s="5">
        <v>1</v>
      </c>
      <c r="AB151" s="5">
        <v>0.0825</v>
      </c>
    </row>
    <row r="152" spans="1:28" ht="12.75">
      <c r="A152" s="5">
        <v>50</v>
      </c>
      <c r="B152" s="5">
        <v>0</v>
      </c>
      <c r="C152" s="5">
        <v>0</v>
      </c>
      <c r="D152" s="5">
        <v>1</v>
      </c>
      <c r="E152" s="5">
        <v>209</v>
      </c>
      <c r="F152" s="5">
        <f>ROUND(Source!W128,O152)</f>
        <v>0</v>
      </c>
      <c r="G152" s="5" t="s">
        <v>192</v>
      </c>
      <c r="H152" s="5" t="s">
        <v>193</v>
      </c>
      <c r="I152" s="5"/>
      <c r="J152" s="5"/>
      <c r="K152" s="5">
        <v>209</v>
      </c>
      <c r="L152" s="5">
        <v>23</v>
      </c>
      <c r="M152" s="5">
        <v>3</v>
      </c>
      <c r="N152" s="5" t="s">
        <v>3</v>
      </c>
      <c r="O152" s="5">
        <v>2</v>
      </c>
      <c r="P152" s="5">
        <f>ROUND(Source!DO128,O152)</f>
        <v>0</v>
      </c>
      <c r="Q152" s="5"/>
      <c r="R152" s="5"/>
      <c r="S152" s="5"/>
      <c r="T152" s="5"/>
      <c r="U152" s="5"/>
      <c r="V152" s="5"/>
      <c r="W152" s="5">
        <v>0</v>
      </c>
      <c r="X152" s="5">
        <v>1</v>
      </c>
      <c r="Y152" s="5">
        <v>0</v>
      </c>
      <c r="Z152" s="5">
        <v>0</v>
      </c>
      <c r="AA152" s="5">
        <v>1</v>
      </c>
      <c r="AB152" s="5">
        <v>0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233</v>
      </c>
      <c r="F153" s="5">
        <f>ROUND(Source!BD128,O153)</f>
        <v>683.35</v>
      </c>
      <c r="G153" s="5" t="s">
        <v>194</v>
      </c>
      <c r="H153" s="5" t="s">
        <v>195</v>
      </c>
      <c r="I153" s="5"/>
      <c r="J153" s="5"/>
      <c r="K153" s="5">
        <v>233</v>
      </c>
      <c r="L153" s="5">
        <v>24</v>
      </c>
      <c r="M153" s="5">
        <v>3</v>
      </c>
      <c r="N153" s="5" t="s">
        <v>3</v>
      </c>
      <c r="O153" s="5">
        <v>2</v>
      </c>
      <c r="P153" s="5">
        <f>ROUND(Source!EV128,O153)</f>
        <v>683.35</v>
      </c>
      <c r="Q153" s="5"/>
      <c r="R153" s="5"/>
      <c r="S153" s="5"/>
      <c r="T153" s="5"/>
      <c r="U153" s="5"/>
      <c r="V153" s="5"/>
      <c r="W153" s="5">
        <v>683.35</v>
      </c>
      <c r="X153" s="5">
        <v>1</v>
      </c>
      <c r="Y153" s="5">
        <v>683.35</v>
      </c>
      <c r="Z153" s="5">
        <v>683.35</v>
      </c>
      <c r="AA153" s="5">
        <v>1</v>
      </c>
      <c r="AB153" s="5">
        <v>8863.05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210</v>
      </c>
      <c r="F154" s="5">
        <f>ROUND(Source!X128,O154)</f>
        <v>672.37</v>
      </c>
      <c r="G154" s="5" t="s">
        <v>196</v>
      </c>
      <c r="H154" s="5" t="s">
        <v>197</v>
      </c>
      <c r="I154" s="5"/>
      <c r="J154" s="5"/>
      <c r="K154" s="5">
        <v>210</v>
      </c>
      <c r="L154" s="5">
        <v>25</v>
      </c>
      <c r="M154" s="5">
        <v>3</v>
      </c>
      <c r="N154" s="5" t="s">
        <v>3</v>
      </c>
      <c r="O154" s="5">
        <v>2</v>
      </c>
      <c r="P154" s="5">
        <f>ROUND(Source!DP128,O154)</f>
        <v>672.37</v>
      </c>
      <c r="Q154" s="5"/>
      <c r="R154" s="5"/>
      <c r="S154" s="5"/>
      <c r="T154" s="5"/>
      <c r="U154" s="5"/>
      <c r="V154" s="5"/>
      <c r="W154" s="5">
        <v>672.37</v>
      </c>
      <c r="X154" s="5">
        <v>1</v>
      </c>
      <c r="Y154" s="5">
        <v>672.37</v>
      </c>
      <c r="Z154" s="5">
        <v>672.37</v>
      </c>
      <c r="AA154" s="5">
        <v>1</v>
      </c>
      <c r="AB154" s="5">
        <v>24521.21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211</v>
      </c>
      <c r="F155" s="5">
        <f>ROUND(Source!Y128,O155)</f>
        <v>329.5</v>
      </c>
      <c r="G155" s="5" t="s">
        <v>198</v>
      </c>
      <c r="H155" s="5" t="s">
        <v>199</v>
      </c>
      <c r="I155" s="5"/>
      <c r="J155" s="5"/>
      <c r="K155" s="5">
        <v>211</v>
      </c>
      <c r="L155" s="5">
        <v>26</v>
      </c>
      <c r="M155" s="5">
        <v>3</v>
      </c>
      <c r="N155" s="5" t="s">
        <v>3</v>
      </c>
      <c r="O155" s="5">
        <v>2</v>
      </c>
      <c r="P155" s="5">
        <f>ROUND(Source!DQ128,O155)</f>
        <v>329.5</v>
      </c>
      <c r="Q155" s="5"/>
      <c r="R155" s="5"/>
      <c r="S155" s="5"/>
      <c r="T155" s="5"/>
      <c r="U155" s="5"/>
      <c r="V155" s="5"/>
      <c r="W155" s="5">
        <v>329.5</v>
      </c>
      <c r="X155" s="5">
        <v>1</v>
      </c>
      <c r="Y155" s="5">
        <v>329.5</v>
      </c>
      <c r="Z155" s="5">
        <v>329.5</v>
      </c>
      <c r="AA155" s="5">
        <v>1</v>
      </c>
      <c r="AB155" s="5">
        <v>12016.759999999998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224</v>
      </c>
      <c r="F156" s="5">
        <f>ROUND(Source!AR128,O156)</f>
        <v>7807</v>
      </c>
      <c r="G156" s="5" t="s">
        <v>200</v>
      </c>
      <c r="H156" s="5" t="s">
        <v>201</v>
      </c>
      <c r="I156" s="5"/>
      <c r="J156" s="5"/>
      <c r="K156" s="5">
        <v>224</v>
      </c>
      <c r="L156" s="5">
        <v>27</v>
      </c>
      <c r="M156" s="5">
        <v>3</v>
      </c>
      <c r="N156" s="5" t="s">
        <v>3</v>
      </c>
      <c r="O156" s="5">
        <v>2</v>
      </c>
      <c r="P156" s="5">
        <f>ROUND(Source!EJ128,O156)</f>
        <v>7807</v>
      </c>
      <c r="Q156" s="5"/>
      <c r="R156" s="5"/>
      <c r="S156" s="5"/>
      <c r="T156" s="5"/>
      <c r="U156" s="5"/>
      <c r="V156" s="5"/>
      <c r="W156" s="5">
        <v>7807</v>
      </c>
      <c r="X156" s="5">
        <v>1</v>
      </c>
      <c r="Y156" s="5">
        <v>7807</v>
      </c>
      <c r="Z156" s="5">
        <v>7807</v>
      </c>
      <c r="AA156" s="5">
        <v>1</v>
      </c>
      <c r="AB156" s="5">
        <v>108506.14999999998</v>
      </c>
    </row>
    <row r="158" spans="1:206" ht="12.75">
      <c r="A158" s="3">
        <v>51</v>
      </c>
      <c r="B158" s="3">
        <f>B20</f>
        <v>1</v>
      </c>
      <c r="C158" s="3">
        <f>A20</f>
        <v>3</v>
      </c>
      <c r="D158" s="3">
        <f>ROW(A20)</f>
        <v>20</v>
      </c>
      <c r="E158" s="3"/>
      <c r="F158" s="3">
        <f>IF(F20&lt;&gt;"",F20,"")</f>
      </c>
      <c r="G158" s="3">
        <f>IF(G20&lt;&gt;"",G20,"")</f>
      </c>
      <c r="H158" s="3">
        <v>0</v>
      </c>
      <c r="I158" s="3"/>
      <c r="J158" s="3"/>
      <c r="K158" s="3"/>
      <c r="L158" s="3"/>
      <c r="M158" s="3"/>
      <c r="N158" s="3"/>
      <c r="O158" s="3">
        <f aca="true" t="shared" si="165" ref="O158:T158">ROUND(O83+O128+AB158,2)</f>
        <v>61894.85</v>
      </c>
      <c r="P158" s="3">
        <f t="shared" si="165"/>
        <v>31278.68</v>
      </c>
      <c r="Q158" s="3">
        <f t="shared" si="165"/>
        <v>6107.77</v>
      </c>
      <c r="R158" s="3">
        <f t="shared" si="165"/>
        <v>357.44</v>
      </c>
      <c r="S158" s="3">
        <f t="shared" si="165"/>
        <v>24508.4</v>
      </c>
      <c r="T158" s="3">
        <f t="shared" si="165"/>
        <v>0</v>
      </c>
      <c r="U158" s="3">
        <f>U83+U128+AH158</f>
        <v>2839.833835</v>
      </c>
      <c r="V158" s="3">
        <f>V83+V128+AI158</f>
        <v>30.044020000000003</v>
      </c>
      <c r="W158" s="3">
        <f>ROUND(W83+W128+AJ158,2)</f>
        <v>0</v>
      </c>
      <c r="X158" s="3">
        <f>ROUND(X83+X128+AK158,2)</f>
        <v>24762.17</v>
      </c>
      <c r="Y158" s="3">
        <f>ROUND(Y83+Y128+AL158,2)</f>
        <v>13584.85</v>
      </c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>
        <f aca="true" t="shared" si="166" ref="AO158:BD158">ROUND(AO83+AO128+BX158,2)</f>
        <v>0</v>
      </c>
      <c r="AP158" s="3">
        <f t="shared" si="166"/>
        <v>0</v>
      </c>
      <c r="AQ158" s="3">
        <f t="shared" si="166"/>
        <v>0</v>
      </c>
      <c r="AR158" s="3">
        <f t="shared" si="166"/>
        <v>100925.22</v>
      </c>
      <c r="AS158" s="3">
        <f t="shared" si="166"/>
        <v>100925.22</v>
      </c>
      <c r="AT158" s="3">
        <f t="shared" si="166"/>
        <v>0</v>
      </c>
      <c r="AU158" s="3">
        <f t="shared" si="166"/>
        <v>0</v>
      </c>
      <c r="AV158" s="3">
        <f t="shared" si="166"/>
        <v>31278.68</v>
      </c>
      <c r="AW158" s="3">
        <f t="shared" si="166"/>
        <v>31278.68</v>
      </c>
      <c r="AX158" s="3">
        <f t="shared" si="166"/>
        <v>0</v>
      </c>
      <c r="AY158" s="3">
        <f t="shared" si="166"/>
        <v>31278.68</v>
      </c>
      <c r="AZ158" s="3">
        <f t="shared" si="166"/>
        <v>0</v>
      </c>
      <c r="BA158" s="3">
        <f t="shared" si="166"/>
        <v>0</v>
      </c>
      <c r="BB158" s="3">
        <f t="shared" si="166"/>
        <v>0</v>
      </c>
      <c r="BC158" s="3">
        <f t="shared" si="166"/>
        <v>0</v>
      </c>
      <c r="BD158" s="3">
        <f t="shared" si="166"/>
        <v>683.35</v>
      </c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4">
        <f aca="true" t="shared" si="167" ref="DG158:DL158">ROUND(DG83+DG128+DT158,2)</f>
        <v>61894.85</v>
      </c>
      <c r="DH158" s="4">
        <f t="shared" si="167"/>
        <v>31278.68</v>
      </c>
      <c r="DI158" s="4">
        <f t="shared" si="167"/>
        <v>6107.77</v>
      </c>
      <c r="DJ158" s="4">
        <f t="shared" si="167"/>
        <v>357.44</v>
      </c>
      <c r="DK158" s="4">
        <f t="shared" si="167"/>
        <v>24508.4</v>
      </c>
      <c r="DL158" s="4">
        <f t="shared" si="167"/>
        <v>0</v>
      </c>
      <c r="DM158" s="4">
        <f>DM83+DM128+DZ158</f>
        <v>2839.833835</v>
      </c>
      <c r="DN158" s="4">
        <f>DN83+DN128+EA158</f>
        <v>30.044020000000003</v>
      </c>
      <c r="DO158" s="4">
        <f>ROUND(DO83+DO128+EB158,2)</f>
        <v>0</v>
      </c>
      <c r="DP158" s="4">
        <f>ROUND(DP83+DP128+EC158,2)</f>
        <v>24762.17</v>
      </c>
      <c r="DQ158" s="4">
        <f>ROUND(DQ83+DQ128+ED158,2)</f>
        <v>13584.85</v>
      </c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>
        <f aca="true" t="shared" si="168" ref="EG158:EV158">ROUND(EG83+EG128+FP158,2)</f>
        <v>0</v>
      </c>
      <c r="EH158" s="4">
        <f t="shared" si="168"/>
        <v>0</v>
      </c>
      <c r="EI158" s="4">
        <f t="shared" si="168"/>
        <v>0</v>
      </c>
      <c r="EJ158" s="4">
        <f t="shared" si="168"/>
        <v>100925.22</v>
      </c>
      <c r="EK158" s="4">
        <f t="shared" si="168"/>
        <v>100925.22</v>
      </c>
      <c r="EL158" s="4">
        <f t="shared" si="168"/>
        <v>0</v>
      </c>
      <c r="EM158" s="4">
        <f t="shared" si="168"/>
        <v>0</v>
      </c>
      <c r="EN158" s="4">
        <f t="shared" si="168"/>
        <v>31278.68</v>
      </c>
      <c r="EO158" s="4">
        <f t="shared" si="168"/>
        <v>31278.68</v>
      </c>
      <c r="EP158" s="4">
        <f t="shared" si="168"/>
        <v>0</v>
      </c>
      <c r="EQ158" s="4">
        <f t="shared" si="168"/>
        <v>31278.68</v>
      </c>
      <c r="ER158" s="4">
        <f t="shared" si="168"/>
        <v>0</v>
      </c>
      <c r="ES158" s="4">
        <f t="shared" si="168"/>
        <v>0</v>
      </c>
      <c r="ET158" s="4">
        <f t="shared" si="168"/>
        <v>0</v>
      </c>
      <c r="EU158" s="4">
        <f t="shared" si="168"/>
        <v>0</v>
      </c>
      <c r="EV158" s="4">
        <f t="shared" si="168"/>
        <v>683.35</v>
      </c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>
        <v>0</v>
      </c>
    </row>
    <row r="160" spans="1:28" ht="12.75">
      <c r="A160" s="5">
        <v>50</v>
      </c>
      <c r="B160" s="5">
        <v>0</v>
      </c>
      <c r="C160" s="5">
        <v>0</v>
      </c>
      <c r="D160" s="5">
        <v>1</v>
      </c>
      <c r="E160" s="5">
        <v>201</v>
      </c>
      <c r="F160" s="5">
        <f>ROUND(Source!O158,O160)</f>
        <v>61894.85</v>
      </c>
      <c r="G160" s="5" t="s">
        <v>148</v>
      </c>
      <c r="H160" s="5" t="s">
        <v>149</v>
      </c>
      <c r="I160" s="5"/>
      <c r="J160" s="5"/>
      <c r="K160" s="5">
        <v>201</v>
      </c>
      <c r="L160" s="5">
        <v>1</v>
      </c>
      <c r="M160" s="5">
        <v>3</v>
      </c>
      <c r="N160" s="5" t="s">
        <v>3</v>
      </c>
      <c r="O160" s="5">
        <v>2</v>
      </c>
      <c r="P160" s="5">
        <f>ROUND(Source!DG158,O160)</f>
        <v>61894.85</v>
      </c>
      <c r="Q160" s="5"/>
      <c r="R160" s="5"/>
      <c r="S160" s="5"/>
      <c r="T160" s="5"/>
      <c r="U160" s="5"/>
      <c r="V160" s="5"/>
      <c r="W160" s="5">
        <v>62578.2</v>
      </c>
      <c r="X160" s="5">
        <v>1</v>
      </c>
      <c r="Y160" s="5">
        <v>62578.2</v>
      </c>
      <c r="Z160" s="5">
        <v>62578.2</v>
      </c>
      <c r="AA160" s="5">
        <v>1</v>
      </c>
      <c r="AB160" s="5">
        <v>1195222.79</v>
      </c>
    </row>
    <row r="161" spans="1:28" ht="12.75">
      <c r="A161" s="5">
        <v>50</v>
      </c>
      <c r="B161" s="5">
        <v>0</v>
      </c>
      <c r="C161" s="5">
        <v>0</v>
      </c>
      <c r="D161" s="5">
        <v>1</v>
      </c>
      <c r="E161" s="5">
        <v>202</v>
      </c>
      <c r="F161" s="5">
        <f>ROUND(Source!P158,O161)</f>
        <v>31278.68</v>
      </c>
      <c r="G161" s="5" t="s">
        <v>150</v>
      </c>
      <c r="H161" s="5" t="s">
        <v>151</v>
      </c>
      <c r="I161" s="5"/>
      <c r="J161" s="5"/>
      <c r="K161" s="5">
        <v>202</v>
      </c>
      <c r="L161" s="5">
        <v>2</v>
      </c>
      <c r="M161" s="5">
        <v>3</v>
      </c>
      <c r="N161" s="5" t="s">
        <v>3</v>
      </c>
      <c r="O161" s="5">
        <v>2</v>
      </c>
      <c r="P161" s="5">
        <f>ROUND(Source!DH158,O161)</f>
        <v>31278.68</v>
      </c>
      <c r="Q161" s="5"/>
      <c r="R161" s="5"/>
      <c r="S161" s="5"/>
      <c r="T161" s="5"/>
      <c r="U161" s="5"/>
      <c r="V161" s="5"/>
      <c r="W161" s="5">
        <v>31278.68</v>
      </c>
      <c r="X161" s="5">
        <v>1</v>
      </c>
      <c r="Y161" s="5">
        <v>31278.68</v>
      </c>
      <c r="Z161" s="5">
        <v>31278.68</v>
      </c>
      <c r="AA161" s="5">
        <v>1</v>
      </c>
      <c r="AB161" s="5">
        <v>0</v>
      </c>
    </row>
    <row r="162" spans="1:28" ht="12.75">
      <c r="A162" s="5">
        <v>50</v>
      </c>
      <c r="B162" s="5">
        <v>0</v>
      </c>
      <c r="C162" s="5">
        <v>0</v>
      </c>
      <c r="D162" s="5">
        <v>1</v>
      </c>
      <c r="E162" s="5">
        <v>222</v>
      </c>
      <c r="F162" s="5">
        <f>ROUND(Source!AO158,O162)</f>
        <v>0</v>
      </c>
      <c r="G162" s="5" t="s">
        <v>152</v>
      </c>
      <c r="H162" s="5" t="s">
        <v>153</v>
      </c>
      <c r="I162" s="5"/>
      <c r="J162" s="5"/>
      <c r="K162" s="5">
        <v>222</v>
      </c>
      <c r="L162" s="5">
        <v>3</v>
      </c>
      <c r="M162" s="5">
        <v>3</v>
      </c>
      <c r="N162" s="5" t="s">
        <v>3</v>
      </c>
      <c r="O162" s="5">
        <v>2</v>
      </c>
      <c r="P162" s="5">
        <f>ROUND(Source!EG158,O162)</f>
        <v>0</v>
      </c>
      <c r="Q162" s="5"/>
      <c r="R162" s="5"/>
      <c r="S162" s="5"/>
      <c r="T162" s="5"/>
      <c r="U162" s="5"/>
      <c r="V162" s="5"/>
      <c r="W162" s="5">
        <v>0</v>
      </c>
      <c r="X162" s="5">
        <v>1</v>
      </c>
      <c r="Y162" s="5">
        <v>0</v>
      </c>
      <c r="Z162" s="5">
        <v>0</v>
      </c>
      <c r="AA162" s="5">
        <v>1</v>
      </c>
      <c r="AB162" s="5">
        <v>0</v>
      </c>
    </row>
    <row r="163" spans="1:28" ht="12.75">
      <c r="A163" s="5">
        <v>50</v>
      </c>
      <c r="B163" s="5">
        <v>0</v>
      </c>
      <c r="C163" s="5">
        <v>0</v>
      </c>
      <c r="D163" s="5">
        <v>1</v>
      </c>
      <c r="E163" s="5">
        <v>225</v>
      </c>
      <c r="F163" s="5">
        <f>ROUND(Source!AV158,O163)</f>
        <v>31278.68</v>
      </c>
      <c r="G163" s="5" t="s">
        <v>154</v>
      </c>
      <c r="H163" s="5" t="s">
        <v>155</v>
      </c>
      <c r="I163" s="5"/>
      <c r="J163" s="5"/>
      <c r="K163" s="5">
        <v>225</v>
      </c>
      <c r="L163" s="5">
        <v>4</v>
      </c>
      <c r="M163" s="5">
        <v>3</v>
      </c>
      <c r="N163" s="5" t="s">
        <v>3</v>
      </c>
      <c r="O163" s="5">
        <v>2</v>
      </c>
      <c r="P163" s="5">
        <f>ROUND(Source!EN158,O163)</f>
        <v>31278.68</v>
      </c>
      <c r="Q163" s="5"/>
      <c r="R163" s="5"/>
      <c r="S163" s="5"/>
      <c r="T163" s="5"/>
      <c r="U163" s="5"/>
      <c r="V163" s="5"/>
      <c r="W163" s="5">
        <v>31278.68</v>
      </c>
      <c r="X163" s="5">
        <v>1</v>
      </c>
      <c r="Y163" s="5">
        <v>31278.68</v>
      </c>
      <c r="Z163" s="5">
        <v>31278.68</v>
      </c>
      <c r="AA163" s="5">
        <v>1</v>
      </c>
      <c r="AB163" s="5">
        <v>0</v>
      </c>
    </row>
    <row r="164" spans="1:28" ht="12.75">
      <c r="A164" s="5">
        <v>50</v>
      </c>
      <c r="B164" s="5">
        <v>1</v>
      </c>
      <c r="C164" s="5">
        <v>0</v>
      </c>
      <c r="D164" s="5">
        <v>1</v>
      </c>
      <c r="E164" s="5">
        <v>226</v>
      </c>
      <c r="F164" s="5">
        <f>ROUND(Source!AW158,O164)</f>
        <v>31278.68</v>
      </c>
      <c r="G164" s="5" t="s">
        <v>156</v>
      </c>
      <c r="H164" s="5" t="s">
        <v>157</v>
      </c>
      <c r="I164" s="5"/>
      <c r="J164" s="5"/>
      <c r="K164" s="5">
        <v>226</v>
      </c>
      <c r="L164" s="5">
        <v>5</v>
      </c>
      <c r="M164" s="5">
        <v>0</v>
      </c>
      <c r="N164" s="5" t="s">
        <v>3</v>
      </c>
      <c r="O164" s="5">
        <v>2</v>
      </c>
      <c r="P164" s="5">
        <f>ROUND(Source!EO158,O164)</f>
        <v>31278.68</v>
      </c>
      <c r="Q164" s="5"/>
      <c r="R164" s="5"/>
      <c r="S164" s="5"/>
      <c r="T164" s="5"/>
      <c r="U164" s="5"/>
      <c r="V164" s="5"/>
      <c r="W164" s="5">
        <v>31278.68</v>
      </c>
      <c r="X164" s="5">
        <v>1</v>
      </c>
      <c r="Y164" s="5">
        <v>31278.68</v>
      </c>
      <c r="Z164" s="5">
        <v>31278.68</v>
      </c>
      <c r="AA164" s="5">
        <v>1</v>
      </c>
      <c r="AB164" s="5">
        <v>213320.6</v>
      </c>
    </row>
    <row r="165" spans="1:28" ht="12.75">
      <c r="A165" s="5">
        <v>50</v>
      </c>
      <c r="B165" s="5">
        <v>0</v>
      </c>
      <c r="C165" s="5">
        <v>0</v>
      </c>
      <c r="D165" s="5">
        <v>1</v>
      </c>
      <c r="E165" s="5">
        <v>227</v>
      </c>
      <c r="F165" s="5">
        <f>ROUND(Source!AX158,O165)</f>
        <v>0</v>
      </c>
      <c r="G165" s="5" t="s">
        <v>158</v>
      </c>
      <c r="H165" s="5" t="s">
        <v>159</v>
      </c>
      <c r="I165" s="5"/>
      <c r="J165" s="5"/>
      <c r="K165" s="5">
        <v>227</v>
      </c>
      <c r="L165" s="5">
        <v>6</v>
      </c>
      <c r="M165" s="5">
        <v>3</v>
      </c>
      <c r="N165" s="5" t="s">
        <v>3</v>
      </c>
      <c r="O165" s="5">
        <v>2</v>
      </c>
      <c r="P165" s="5">
        <f>ROUND(Source!EP158,O165)</f>
        <v>0</v>
      </c>
      <c r="Q165" s="5"/>
      <c r="R165" s="5"/>
      <c r="S165" s="5"/>
      <c r="T165" s="5"/>
      <c r="U165" s="5"/>
      <c r="V165" s="5"/>
      <c r="W165" s="5">
        <v>0</v>
      </c>
      <c r="X165" s="5">
        <v>1</v>
      </c>
      <c r="Y165" s="5">
        <v>0</v>
      </c>
      <c r="Z165" s="5">
        <v>0</v>
      </c>
      <c r="AA165" s="5">
        <v>1</v>
      </c>
      <c r="AB165" s="5">
        <v>0</v>
      </c>
    </row>
    <row r="166" spans="1:28" ht="12.75">
      <c r="A166" s="5">
        <v>50</v>
      </c>
      <c r="B166" s="5">
        <v>0</v>
      </c>
      <c r="C166" s="5">
        <v>0</v>
      </c>
      <c r="D166" s="5">
        <v>1</v>
      </c>
      <c r="E166" s="5">
        <v>228</v>
      </c>
      <c r="F166" s="5">
        <f>ROUND(Source!AY158,O166)</f>
        <v>31278.68</v>
      </c>
      <c r="G166" s="5" t="s">
        <v>160</v>
      </c>
      <c r="H166" s="5" t="s">
        <v>161</v>
      </c>
      <c r="I166" s="5"/>
      <c r="J166" s="5"/>
      <c r="K166" s="5">
        <v>228</v>
      </c>
      <c r="L166" s="5">
        <v>7</v>
      </c>
      <c r="M166" s="5">
        <v>3</v>
      </c>
      <c r="N166" s="5" t="s">
        <v>3</v>
      </c>
      <c r="O166" s="5">
        <v>2</v>
      </c>
      <c r="P166" s="5">
        <f>ROUND(Source!EQ158,O166)</f>
        <v>31278.68</v>
      </c>
      <c r="Q166" s="5"/>
      <c r="R166" s="5"/>
      <c r="S166" s="5"/>
      <c r="T166" s="5"/>
      <c r="U166" s="5"/>
      <c r="V166" s="5"/>
      <c r="W166" s="5">
        <v>31278.68</v>
      </c>
      <c r="X166" s="5">
        <v>1</v>
      </c>
      <c r="Y166" s="5">
        <v>31278.68</v>
      </c>
      <c r="Z166" s="5">
        <v>31278.68</v>
      </c>
      <c r="AA166" s="5">
        <v>1</v>
      </c>
      <c r="AB166" s="5">
        <v>213320.6</v>
      </c>
    </row>
    <row r="167" spans="1:28" ht="12.75">
      <c r="A167" s="5">
        <v>50</v>
      </c>
      <c r="B167" s="5">
        <v>0</v>
      </c>
      <c r="C167" s="5">
        <v>0</v>
      </c>
      <c r="D167" s="5">
        <v>1</v>
      </c>
      <c r="E167" s="5">
        <v>216</v>
      </c>
      <c r="F167" s="5">
        <f>ROUND(Source!AP158,O167)</f>
        <v>0</v>
      </c>
      <c r="G167" s="5" t="s">
        <v>162</v>
      </c>
      <c r="H167" s="5" t="s">
        <v>163</v>
      </c>
      <c r="I167" s="5"/>
      <c r="J167" s="5"/>
      <c r="K167" s="5">
        <v>216</v>
      </c>
      <c r="L167" s="5">
        <v>8</v>
      </c>
      <c r="M167" s="5">
        <v>3</v>
      </c>
      <c r="N167" s="5" t="s">
        <v>3</v>
      </c>
      <c r="O167" s="5">
        <v>2</v>
      </c>
      <c r="P167" s="5">
        <f>ROUND(Source!EH158,O167)</f>
        <v>0</v>
      </c>
      <c r="Q167" s="5"/>
      <c r="R167" s="5"/>
      <c r="S167" s="5"/>
      <c r="T167" s="5"/>
      <c r="U167" s="5"/>
      <c r="V167" s="5"/>
      <c r="W167" s="5">
        <v>0</v>
      </c>
      <c r="X167" s="5">
        <v>1</v>
      </c>
      <c r="Y167" s="5">
        <v>0</v>
      </c>
      <c r="Z167" s="5">
        <v>0</v>
      </c>
      <c r="AA167" s="5">
        <v>1</v>
      </c>
      <c r="AB167" s="5">
        <v>0</v>
      </c>
    </row>
    <row r="168" spans="1:28" ht="12.75">
      <c r="A168" s="5">
        <v>50</v>
      </c>
      <c r="B168" s="5">
        <v>0</v>
      </c>
      <c r="C168" s="5">
        <v>0</v>
      </c>
      <c r="D168" s="5">
        <v>1</v>
      </c>
      <c r="E168" s="5">
        <v>223</v>
      </c>
      <c r="F168" s="5">
        <f>ROUND(Source!AQ158,O168)</f>
        <v>0</v>
      </c>
      <c r="G168" s="5" t="s">
        <v>164</v>
      </c>
      <c r="H168" s="5" t="s">
        <v>165</v>
      </c>
      <c r="I168" s="5"/>
      <c r="J168" s="5"/>
      <c r="K168" s="5">
        <v>223</v>
      </c>
      <c r="L168" s="5">
        <v>9</v>
      </c>
      <c r="M168" s="5">
        <v>3</v>
      </c>
      <c r="N168" s="5" t="s">
        <v>3</v>
      </c>
      <c r="O168" s="5">
        <v>2</v>
      </c>
      <c r="P168" s="5">
        <f>ROUND(Source!EI158,O168)</f>
        <v>0</v>
      </c>
      <c r="Q168" s="5"/>
      <c r="R168" s="5"/>
      <c r="S168" s="5"/>
      <c r="T168" s="5"/>
      <c r="U168" s="5"/>
      <c r="V168" s="5"/>
      <c r="W168" s="5">
        <v>0</v>
      </c>
      <c r="X168" s="5">
        <v>1</v>
      </c>
      <c r="Y168" s="5">
        <v>0</v>
      </c>
      <c r="Z168" s="5">
        <v>0</v>
      </c>
      <c r="AA168" s="5">
        <v>1</v>
      </c>
      <c r="AB168" s="5">
        <v>0</v>
      </c>
    </row>
    <row r="169" spans="1:28" ht="12.75">
      <c r="A169" s="5">
        <v>50</v>
      </c>
      <c r="B169" s="5">
        <v>0</v>
      </c>
      <c r="C169" s="5">
        <v>0</v>
      </c>
      <c r="D169" s="5">
        <v>1</v>
      </c>
      <c r="E169" s="5">
        <v>229</v>
      </c>
      <c r="F169" s="5">
        <f>ROUND(Source!AZ158,O169)</f>
        <v>0</v>
      </c>
      <c r="G169" s="5" t="s">
        <v>166</v>
      </c>
      <c r="H169" s="5" t="s">
        <v>167</v>
      </c>
      <c r="I169" s="5"/>
      <c r="J169" s="5"/>
      <c r="K169" s="5">
        <v>229</v>
      </c>
      <c r="L169" s="5">
        <v>10</v>
      </c>
      <c r="M169" s="5">
        <v>3</v>
      </c>
      <c r="N169" s="5" t="s">
        <v>3</v>
      </c>
      <c r="O169" s="5">
        <v>2</v>
      </c>
      <c r="P169" s="5">
        <f>ROUND(Source!ER158,O169)</f>
        <v>0</v>
      </c>
      <c r="Q169" s="5"/>
      <c r="R169" s="5"/>
      <c r="S169" s="5"/>
      <c r="T169" s="5"/>
      <c r="U169" s="5"/>
      <c r="V169" s="5"/>
      <c r="W169" s="5">
        <v>0</v>
      </c>
      <c r="X169" s="5">
        <v>1</v>
      </c>
      <c r="Y169" s="5">
        <v>0</v>
      </c>
      <c r="Z169" s="5">
        <v>0</v>
      </c>
      <c r="AA169" s="5">
        <v>1</v>
      </c>
      <c r="AB169" s="5">
        <v>0</v>
      </c>
    </row>
    <row r="170" spans="1:28" ht="12.75">
      <c r="A170" s="5">
        <v>50</v>
      </c>
      <c r="B170" s="5">
        <v>0</v>
      </c>
      <c r="C170" s="5">
        <v>0</v>
      </c>
      <c r="D170" s="5">
        <v>1</v>
      </c>
      <c r="E170" s="5">
        <v>203</v>
      </c>
      <c r="F170" s="5">
        <f>ROUND(Source!Q158,O170)</f>
        <v>6107.77</v>
      </c>
      <c r="G170" s="5" t="s">
        <v>168</v>
      </c>
      <c r="H170" s="5" t="s">
        <v>169</v>
      </c>
      <c r="I170" s="5"/>
      <c r="J170" s="5"/>
      <c r="K170" s="5">
        <v>203</v>
      </c>
      <c r="L170" s="5">
        <v>11</v>
      </c>
      <c r="M170" s="5">
        <v>3</v>
      </c>
      <c r="N170" s="5" t="s">
        <v>3</v>
      </c>
      <c r="O170" s="5">
        <v>2</v>
      </c>
      <c r="P170" s="5">
        <f>ROUND(Source!DI158,O170)</f>
        <v>6107.77</v>
      </c>
      <c r="Q170" s="5"/>
      <c r="R170" s="5"/>
      <c r="S170" s="5"/>
      <c r="T170" s="5"/>
      <c r="U170" s="5"/>
      <c r="V170" s="5"/>
      <c r="W170" s="5">
        <v>6107.77</v>
      </c>
      <c r="X170" s="5">
        <v>1</v>
      </c>
      <c r="Y170" s="5">
        <v>6107.77</v>
      </c>
      <c r="Z170" s="5">
        <v>6107.77</v>
      </c>
      <c r="AA170" s="5">
        <v>1</v>
      </c>
      <c r="AB170" s="5">
        <v>79217.78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231</v>
      </c>
      <c r="F171" s="5">
        <f>ROUND(Source!BB158,O171)</f>
        <v>0</v>
      </c>
      <c r="G171" s="5" t="s">
        <v>170</v>
      </c>
      <c r="H171" s="5" t="s">
        <v>171</v>
      </c>
      <c r="I171" s="5"/>
      <c r="J171" s="5"/>
      <c r="K171" s="5">
        <v>231</v>
      </c>
      <c r="L171" s="5">
        <v>12</v>
      </c>
      <c r="M171" s="5">
        <v>3</v>
      </c>
      <c r="N171" s="5" t="s">
        <v>3</v>
      </c>
      <c r="O171" s="5">
        <v>2</v>
      </c>
      <c r="P171" s="5">
        <f>ROUND(Source!ET158,O171)</f>
        <v>0</v>
      </c>
      <c r="Q171" s="5"/>
      <c r="R171" s="5"/>
      <c r="S171" s="5"/>
      <c r="T171" s="5"/>
      <c r="U171" s="5"/>
      <c r="V171" s="5"/>
      <c r="W171" s="5">
        <v>0</v>
      </c>
      <c r="X171" s="5">
        <v>1</v>
      </c>
      <c r="Y171" s="5">
        <v>0</v>
      </c>
      <c r="Z171" s="5">
        <v>0</v>
      </c>
      <c r="AA171" s="5">
        <v>1</v>
      </c>
      <c r="AB171" s="5">
        <v>0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204</v>
      </c>
      <c r="F172" s="5">
        <f>ROUND(Source!R158,O172)</f>
        <v>357.44</v>
      </c>
      <c r="G172" s="5" t="s">
        <v>172</v>
      </c>
      <c r="H172" s="5" t="s">
        <v>173</v>
      </c>
      <c r="I172" s="5"/>
      <c r="J172" s="5"/>
      <c r="K172" s="5">
        <v>204</v>
      </c>
      <c r="L172" s="5">
        <v>13</v>
      </c>
      <c r="M172" s="5">
        <v>3</v>
      </c>
      <c r="N172" s="5" t="s">
        <v>3</v>
      </c>
      <c r="O172" s="5">
        <v>2</v>
      </c>
      <c r="P172" s="5">
        <f>ROUND(Source!DJ158,O172)</f>
        <v>357.44</v>
      </c>
      <c r="Q172" s="5"/>
      <c r="R172" s="5"/>
      <c r="S172" s="5"/>
      <c r="T172" s="5"/>
      <c r="U172" s="5"/>
      <c r="V172" s="5"/>
      <c r="W172" s="5">
        <v>357.44</v>
      </c>
      <c r="X172" s="5">
        <v>1</v>
      </c>
      <c r="Y172" s="5">
        <v>357.44</v>
      </c>
      <c r="Z172" s="5">
        <v>357.44</v>
      </c>
      <c r="AA172" s="5">
        <v>1</v>
      </c>
      <c r="AB172" s="5">
        <v>13035.840000000002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205</v>
      </c>
      <c r="F173" s="5">
        <f>ROUND(Source!S158,O173)</f>
        <v>24508.4</v>
      </c>
      <c r="G173" s="5" t="s">
        <v>174</v>
      </c>
      <c r="H173" s="5" t="s">
        <v>175</v>
      </c>
      <c r="I173" s="5"/>
      <c r="J173" s="5"/>
      <c r="K173" s="5">
        <v>205</v>
      </c>
      <c r="L173" s="5">
        <v>14</v>
      </c>
      <c r="M173" s="5">
        <v>3</v>
      </c>
      <c r="N173" s="5" t="s">
        <v>3</v>
      </c>
      <c r="O173" s="5">
        <v>2</v>
      </c>
      <c r="P173" s="5">
        <f>ROUND(Source!DK158,O173)</f>
        <v>24508.4</v>
      </c>
      <c r="Q173" s="5"/>
      <c r="R173" s="5"/>
      <c r="S173" s="5"/>
      <c r="T173" s="5"/>
      <c r="U173" s="5"/>
      <c r="V173" s="5"/>
      <c r="W173" s="5">
        <v>24508.399999999998</v>
      </c>
      <c r="X173" s="5">
        <v>1</v>
      </c>
      <c r="Y173" s="5">
        <v>24508.399999999998</v>
      </c>
      <c r="Z173" s="5">
        <v>24508.399999999998</v>
      </c>
      <c r="AA173" s="5">
        <v>1</v>
      </c>
      <c r="AB173" s="5">
        <v>893821.3599999999</v>
      </c>
    </row>
    <row r="174" spans="1:28" ht="12.75">
      <c r="A174" s="5">
        <v>50</v>
      </c>
      <c r="B174" s="5">
        <v>0</v>
      </c>
      <c r="C174" s="5">
        <v>0</v>
      </c>
      <c r="D174" s="5">
        <v>1</v>
      </c>
      <c r="E174" s="5">
        <v>232</v>
      </c>
      <c r="F174" s="5">
        <f>ROUND(Source!BC158,O174)</f>
        <v>0</v>
      </c>
      <c r="G174" s="5" t="s">
        <v>176</v>
      </c>
      <c r="H174" s="5" t="s">
        <v>177</v>
      </c>
      <c r="I174" s="5"/>
      <c r="J174" s="5"/>
      <c r="K174" s="5">
        <v>232</v>
      </c>
      <c r="L174" s="5">
        <v>15</v>
      </c>
      <c r="M174" s="5">
        <v>3</v>
      </c>
      <c r="N174" s="5" t="s">
        <v>3</v>
      </c>
      <c r="O174" s="5">
        <v>2</v>
      </c>
      <c r="P174" s="5">
        <f>ROUND(Source!EU158,O174)</f>
        <v>0</v>
      </c>
      <c r="Q174" s="5"/>
      <c r="R174" s="5"/>
      <c r="S174" s="5"/>
      <c r="T174" s="5"/>
      <c r="U174" s="5"/>
      <c r="V174" s="5"/>
      <c r="W174" s="5">
        <v>0</v>
      </c>
      <c r="X174" s="5">
        <v>1</v>
      </c>
      <c r="Y174" s="5">
        <v>0</v>
      </c>
      <c r="Z174" s="5">
        <v>0</v>
      </c>
      <c r="AA174" s="5">
        <v>1</v>
      </c>
      <c r="AB174" s="5">
        <v>0</v>
      </c>
    </row>
    <row r="175" spans="1:28" ht="12.75">
      <c r="A175" s="5">
        <v>50</v>
      </c>
      <c r="B175" s="5">
        <v>0</v>
      </c>
      <c r="C175" s="5">
        <v>0</v>
      </c>
      <c r="D175" s="5">
        <v>1</v>
      </c>
      <c r="E175" s="5">
        <v>214</v>
      </c>
      <c r="F175" s="5">
        <f>ROUND(Source!AS158,O175)</f>
        <v>100925.22</v>
      </c>
      <c r="G175" s="5" t="s">
        <v>178</v>
      </c>
      <c r="H175" s="5" t="s">
        <v>179</v>
      </c>
      <c r="I175" s="5"/>
      <c r="J175" s="5"/>
      <c r="K175" s="5">
        <v>214</v>
      </c>
      <c r="L175" s="5">
        <v>16</v>
      </c>
      <c r="M175" s="5">
        <v>3</v>
      </c>
      <c r="N175" s="5" t="s">
        <v>3</v>
      </c>
      <c r="O175" s="5">
        <v>2</v>
      </c>
      <c r="P175" s="5">
        <f>ROUND(Source!EK158,O175)</f>
        <v>100925.22</v>
      </c>
      <c r="Q175" s="5"/>
      <c r="R175" s="5"/>
      <c r="S175" s="5"/>
      <c r="T175" s="5"/>
      <c r="U175" s="5"/>
      <c r="V175" s="5"/>
      <c r="W175" s="5">
        <v>100925.22</v>
      </c>
      <c r="X175" s="5">
        <v>1</v>
      </c>
      <c r="Y175" s="5">
        <v>100925.22</v>
      </c>
      <c r="Z175" s="5">
        <v>100925.22</v>
      </c>
      <c r="AA175" s="5">
        <v>1</v>
      </c>
      <c r="AB175" s="5">
        <v>2593738.13</v>
      </c>
    </row>
    <row r="176" spans="1:28" ht="12.75">
      <c r="A176" s="5">
        <v>50</v>
      </c>
      <c r="B176" s="5">
        <v>0</v>
      </c>
      <c r="C176" s="5">
        <v>0</v>
      </c>
      <c r="D176" s="5">
        <v>1</v>
      </c>
      <c r="E176" s="5">
        <v>215</v>
      </c>
      <c r="F176" s="5">
        <f>ROUND(Source!AT158,O176)</f>
        <v>0</v>
      </c>
      <c r="G176" s="5" t="s">
        <v>180</v>
      </c>
      <c r="H176" s="5" t="s">
        <v>181</v>
      </c>
      <c r="I176" s="5"/>
      <c r="J176" s="5"/>
      <c r="K176" s="5">
        <v>215</v>
      </c>
      <c r="L176" s="5">
        <v>17</v>
      </c>
      <c r="M176" s="5">
        <v>3</v>
      </c>
      <c r="N176" s="5" t="s">
        <v>3</v>
      </c>
      <c r="O176" s="5">
        <v>2</v>
      </c>
      <c r="P176" s="5">
        <f>ROUND(Source!EL158,O176)</f>
        <v>0</v>
      </c>
      <c r="Q176" s="5"/>
      <c r="R176" s="5"/>
      <c r="S176" s="5"/>
      <c r="T176" s="5"/>
      <c r="U176" s="5"/>
      <c r="V176" s="5"/>
      <c r="W176" s="5">
        <v>0</v>
      </c>
      <c r="X176" s="5">
        <v>1</v>
      </c>
      <c r="Y176" s="5">
        <v>0</v>
      </c>
      <c r="Z176" s="5">
        <v>0</v>
      </c>
      <c r="AA176" s="5">
        <v>1</v>
      </c>
      <c r="AB176" s="5">
        <v>0</v>
      </c>
    </row>
    <row r="177" spans="1:28" ht="12.75">
      <c r="A177" s="5">
        <v>50</v>
      </c>
      <c r="B177" s="5">
        <v>0</v>
      </c>
      <c r="C177" s="5">
        <v>0</v>
      </c>
      <c r="D177" s="5">
        <v>1</v>
      </c>
      <c r="E177" s="5">
        <v>217</v>
      </c>
      <c r="F177" s="5">
        <f>ROUND(Source!AU158,O177)</f>
        <v>0</v>
      </c>
      <c r="G177" s="5" t="s">
        <v>182</v>
      </c>
      <c r="H177" s="5" t="s">
        <v>183</v>
      </c>
      <c r="I177" s="5"/>
      <c r="J177" s="5"/>
      <c r="K177" s="5">
        <v>217</v>
      </c>
      <c r="L177" s="5">
        <v>18</v>
      </c>
      <c r="M177" s="5">
        <v>3</v>
      </c>
      <c r="N177" s="5" t="s">
        <v>3</v>
      </c>
      <c r="O177" s="5">
        <v>2</v>
      </c>
      <c r="P177" s="5">
        <f>ROUND(Source!EM158,O177)</f>
        <v>0</v>
      </c>
      <c r="Q177" s="5"/>
      <c r="R177" s="5"/>
      <c r="S177" s="5"/>
      <c r="T177" s="5"/>
      <c r="U177" s="5"/>
      <c r="V177" s="5"/>
      <c r="W177" s="5">
        <v>0</v>
      </c>
      <c r="X177" s="5">
        <v>1</v>
      </c>
      <c r="Y177" s="5">
        <v>0</v>
      </c>
      <c r="Z177" s="5">
        <v>0</v>
      </c>
      <c r="AA177" s="5">
        <v>1</v>
      </c>
      <c r="AB177" s="5">
        <v>0</v>
      </c>
    </row>
    <row r="178" spans="1:28" ht="12.75">
      <c r="A178" s="5">
        <v>50</v>
      </c>
      <c r="B178" s="5">
        <v>0</v>
      </c>
      <c r="C178" s="5">
        <v>0</v>
      </c>
      <c r="D178" s="5">
        <v>1</v>
      </c>
      <c r="E178" s="5">
        <v>230</v>
      </c>
      <c r="F178" s="5">
        <f>ROUND(Source!BA158,O178)</f>
        <v>0</v>
      </c>
      <c r="G178" s="5" t="s">
        <v>184</v>
      </c>
      <c r="H178" s="5" t="s">
        <v>185</v>
      </c>
      <c r="I178" s="5"/>
      <c r="J178" s="5"/>
      <c r="K178" s="5">
        <v>230</v>
      </c>
      <c r="L178" s="5">
        <v>19</v>
      </c>
      <c r="M178" s="5">
        <v>3</v>
      </c>
      <c r="N178" s="5" t="s">
        <v>3</v>
      </c>
      <c r="O178" s="5">
        <v>2</v>
      </c>
      <c r="P178" s="5">
        <f>ROUND(Source!ES158,O178)</f>
        <v>0</v>
      </c>
      <c r="Q178" s="5"/>
      <c r="R178" s="5"/>
      <c r="S178" s="5"/>
      <c r="T178" s="5"/>
      <c r="U178" s="5"/>
      <c r="V178" s="5"/>
      <c r="W178" s="5">
        <v>0</v>
      </c>
      <c r="X178" s="5">
        <v>1</v>
      </c>
      <c r="Y178" s="5">
        <v>0</v>
      </c>
      <c r="Z178" s="5">
        <v>0</v>
      </c>
      <c r="AA178" s="5">
        <v>1</v>
      </c>
      <c r="AB178" s="5">
        <v>0</v>
      </c>
    </row>
    <row r="179" spans="1:28" ht="12.75">
      <c r="A179" s="5">
        <v>50</v>
      </c>
      <c r="B179" s="5">
        <v>0</v>
      </c>
      <c r="C179" s="5">
        <v>0</v>
      </c>
      <c r="D179" s="5">
        <v>1</v>
      </c>
      <c r="E179" s="5">
        <v>206</v>
      </c>
      <c r="F179" s="5">
        <f>ROUND(Source!T158,O179)</f>
        <v>0</v>
      </c>
      <c r="G179" s="5" t="s">
        <v>186</v>
      </c>
      <c r="H179" s="5" t="s">
        <v>187</v>
      </c>
      <c r="I179" s="5"/>
      <c r="J179" s="5"/>
      <c r="K179" s="5">
        <v>206</v>
      </c>
      <c r="L179" s="5">
        <v>20</v>
      </c>
      <c r="M179" s="5">
        <v>3</v>
      </c>
      <c r="N179" s="5" t="s">
        <v>3</v>
      </c>
      <c r="O179" s="5">
        <v>2</v>
      </c>
      <c r="P179" s="5">
        <f>ROUND(Source!DL158,O179)</f>
        <v>0</v>
      </c>
      <c r="Q179" s="5"/>
      <c r="R179" s="5"/>
      <c r="S179" s="5"/>
      <c r="T179" s="5"/>
      <c r="U179" s="5"/>
      <c r="V179" s="5"/>
      <c r="W179" s="5">
        <v>0</v>
      </c>
      <c r="X179" s="5">
        <v>1</v>
      </c>
      <c r="Y179" s="5">
        <v>0</v>
      </c>
      <c r="Z179" s="5">
        <v>0</v>
      </c>
      <c r="AA179" s="5">
        <v>1</v>
      </c>
      <c r="AB179" s="5">
        <v>0</v>
      </c>
    </row>
    <row r="180" spans="1:28" ht="12.75">
      <c r="A180" s="5">
        <v>50</v>
      </c>
      <c r="B180" s="5">
        <v>0</v>
      </c>
      <c r="C180" s="5">
        <v>0</v>
      </c>
      <c r="D180" s="5">
        <v>1</v>
      </c>
      <c r="E180" s="5">
        <v>207</v>
      </c>
      <c r="F180" s="5">
        <f>Source!U158</f>
        <v>2839.833835</v>
      </c>
      <c r="G180" s="5" t="s">
        <v>188</v>
      </c>
      <c r="H180" s="5" t="s">
        <v>189</v>
      </c>
      <c r="I180" s="5"/>
      <c r="J180" s="5"/>
      <c r="K180" s="5">
        <v>207</v>
      </c>
      <c r="L180" s="5">
        <v>21</v>
      </c>
      <c r="M180" s="5">
        <v>3</v>
      </c>
      <c r="N180" s="5" t="s">
        <v>3</v>
      </c>
      <c r="O180" s="5">
        <v>-1</v>
      </c>
      <c r="P180" s="5">
        <f>Source!DM158</f>
        <v>2839.833835</v>
      </c>
      <c r="Q180" s="5"/>
      <c r="R180" s="5"/>
      <c r="S180" s="5"/>
      <c r="T180" s="5"/>
      <c r="U180" s="5"/>
      <c r="V180" s="5"/>
      <c r="W180" s="5">
        <v>2839.833835</v>
      </c>
      <c r="X180" s="5">
        <v>1</v>
      </c>
      <c r="Y180" s="5">
        <v>2839.833835</v>
      </c>
      <c r="Z180" s="5">
        <v>2839.833835</v>
      </c>
      <c r="AA180" s="5">
        <v>1</v>
      </c>
      <c r="AB180" s="5">
        <v>2839.833835</v>
      </c>
    </row>
    <row r="181" spans="1:28" ht="12.75">
      <c r="A181" s="5">
        <v>50</v>
      </c>
      <c r="B181" s="5">
        <v>0</v>
      </c>
      <c r="C181" s="5">
        <v>0</v>
      </c>
      <c r="D181" s="5">
        <v>1</v>
      </c>
      <c r="E181" s="5">
        <v>208</v>
      </c>
      <c r="F181" s="5">
        <f>Source!V158</f>
        <v>30.044020000000003</v>
      </c>
      <c r="G181" s="5" t="s">
        <v>190</v>
      </c>
      <c r="H181" s="5" t="s">
        <v>191</v>
      </c>
      <c r="I181" s="5"/>
      <c r="J181" s="5"/>
      <c r="K181" s="5">
        <v>208</v>
      </c>
      <c r="L181" s="5">
        <v>22</v>
      </c>
      <c r="M181" s="5">
        <v>3</v>
      </c>
      <c r="N181" s="5" t="s">
        <v>3</v>
      </c>
      <c r="O181" s="5">
        <v>-1</v>
      </c>
      <c r="P181" s="5">
        <f>Source!DN158</f>
        <v>30.044020000000003</v>
      </c>
      <c r="Q181" s="5"/>
      <c r="R181" s="5"/>
      <c r="S181" s="5"/>
      <c r="T181" s="5"/>
      <c r="U181" s="5"/>
      <c r="V181" s="5"/>
      <c r="W181" s="5">
        <v>30.04402</v>
      </c>
      <c r="X181" s="5">
        <v>1</v>
      </c>
      <c r="Y181" s="5">
        <v>30.04402</v>
      </c>
      <c r="Z181" s="5">
        <v>30.04402</v>
      </c>
      <c r="AA181" s="5">
        <v>1</v>
      </c>
      <c r="AB181" s="5">
        <v>30.04402</v>
      </c>
    </row>
    <row r="182" spans="1:28" ht="12.75">
      <c r="A182" s="5">
        <v>50</v>
      </c>
      <c r="B182" s="5">
        <v>0</v>
      </c>
      <c r="C182" s="5">
        <v>0</v>
      </c>
      <c r="D182" s="5">
        <v>1</v>
      </c>
      <c r="E182" s="5">
        <v>209</v>
      </c>
      <c r="F182" s="5">
        <f>ROUND(Source!W158,O182)</f>
        <v>0</v>
      </c>
      <c r="G182" s="5" t="s">
        <v>192</v>
      </c>
      <c r="H182" s="5" t="s">
        <v>193</v>
      </c>
      <c r="I182" s="5"/>
      <c r="J182" s="5"/>
      <c r="K182" s="5">
        <v>209</v>
      </c>
      <c r="L182" s="5">
        <v>23</v>
      </c>
      <c r="M182" s="5">
        <v>3</v>
      </c>
      <c r="N182" s="5" t="s">
        <v>3</v>
      </c>
      <c r="O182" s="5">
        <v>2</v>
      </c>
      <c r="P182" s="5">
        <f>ROUND(Source!DO158,O182)</f>
        <v>0</v>
      </c>
      <c r="Q182" s="5"/>
      <c r="R182" s="5"/>
      <c r="S182" s="5"/>
      <c r="T182" s="5"/>
      <c r="U182" s="5"/>
      <c r="V182" s="5"/>
      <c r="W182" s="5">
        <v>0</v>
      </c>
      <c r="X182" s="5">
        <v>1</v>
      </c>
      <c r="Y182" s="5">
        <v>0</v>
      </c>
      <c r="Z182" s="5">
        <v>0</v>
      </c>
      <c r="AA182" s="5">
        <v>1</v>
      </c>
      <c r="AB182" s="5">
        <v>0</v>
      </c>
    </row>
    <row r="183" spans="1:28" ht="12.75">
      <c r="A183" s="5">
        <v>50</v>
      </c>
      <c r="B183" s="5">
        <v>0</v>
      </c>
      <c r="C183" s="5">
        <v>0</v>
      </c>
      <c r="D183" s="5">
        <v>1</v>
      </c>
      <c r="E183" s="5">
        <v>233</v>
      </c>
      <c r="F183" s="5">
        <f>ROUND(Source!BD158,O183)</f>
        <v>683.35</v>
      </c>
      <c r="G183" s="5" t="s">
        <v>194</v>
      </c>
      <c r="H183" s="5" t="s">
        <v>195</v>
      </c>
      <c r="I183" s="5"/>
      <c r="J183" s="5"/>
      <c r="K183" s="5">
        <v>233</v>
      </c>
      <c r="L183" s="5">
        <v>24</v>
      </c>
      <c r="M183" s="5">
        <v>3</v>
      </c>
      <c r="N183" s="5" t="s">
        <v>3</v>
      </c>
      <c r="O183" s="5">
        <v>2</v>
      </c>
      <c r="P183" s="5">
        <f>ROUND(Source!EV158,O183)</f>
        <v>683.35</v>
      </c>
      <c r="Q183" s="5"/>
      <c r="R183" s="5"/>
      <c r="S183" s="5"/>
      <c r="T183" s="5"/>
      <c r="U183" s="5"/>
      <c r="V183" s="5"/>
      <c r="W183" s="5">
        <v>683.35</v>
      </c>
      <c r="X183" s="5">
        <v>1</v>
      </c>
      <c r="Y183" s="5">
        <v>683.35</v>
      </c>
      <c r="Z183" s="5">
        <v>683.35</v>
      </c>
      <c r="AA183" s="5">
        <v>1</v>
      </c>
      <c r="AB183" s="5">
        <v>8863.05</v>
      </c>
    </row>
    <row r="184" spans="1:28" ht="12.75">
      <c r="A184" s="5">
        <v>50</v>
      </c>
      <c r="B184" s="5">
        <v>0</v>
      </c>
      <c r="C184" s="5">
        <v>0</v>
      </c>
      <c r="D184" s="5">
        <v>1</v>
      </c>
      <c r="E184" s="5">
        <v>210</v>
      </c>
      <c r="F184" s="5">
        <f>ROUND(Source!X158,O184)</f>
        <v>24762.17</v>
      </c>
      <c r="G184" s="5" t="s">
        <v>196</v>
      </c>
      <c r="H184" s="5" t="s">
        <v>197</v>
      </c>
      <c r="I184" s="5"/>
      <c r="J184" s="5"/>
      <c r="K184" s="5">
        <v>210</v>
      </c>
      <c r="L184" s="5">
        <v>25</v>
      </c>
      <c r="M184" s="5">
        <v>3</v>
      </c>
      <c r="N184" s="5" t="s">
        <v>3</v>
      </c>
      <c r="O184" s="5">
        <v>2</v>
      </c>
      <c r="P184" s="5">
        <f>ROUND(Source!DP158,O184)</f>
        <v>24762.17</v>
      </c>
      <c r="Q184" s="5"/>
      <c r="R184" s="5"/>
      <c r="S184" s="5"/>
      <c r="T184" s="5"/>
      <c r="U184" s="5"/>
      <c r="V184" s="5"/>
      <c r="W184" s="5">
        <v>24762.17</v>
      </c>
      <c r="X184" s="5">
        <v>1</v>
      </c>
      <c r="Y184" s="5">
        <v>24762.17</v>
      </c>
      <c r="Z184" s="5">
        <v>24762.17</v>
      </c>
      <c r="AA184" s="5">
        <v>1</v>
      </c>
      <c r="AB184" s="5">
        <v>903076.31</v>
      </c>
    </row>
    <row r="185" spans="1:28" ht="12.75">
      <c r="A185" s="5">
        <v>50</v>
      </c>
      <c r="B185" s="5">
        <v>0</v>
      </c>
      <c r="C185" s="5">
        <v>0</v>
      </c>
      <c r="D185" s="5">
        <v>1</v>
      </c>
      <c r="E185" s="5">
        <v>211</v>
      </c>
      <c r="F185" s="5">
        <f>ROUND(Source!Y158,O185)</f>
        <v>13584.85</v>
      </c>
      <c r="G185" s="5" t="s">
        <v>198</v>
      </c>
      <c r="H185" s="5" t="s">
        <v>199</v>
      </c>
      <c r="I185" s="5"/>
      <c r="J185" s="5"/>
      <c r="K185" s="5">
        <v>211</v>
      </c>
      <c r="L185" s="5">
        <v>26</v>
      </c>
      <c r="M185" s="5">
        <v>3</v>
      </c>
      <c r="N185" s="5" t="s">
        <v>3</v>
      </c>
      <c r="O185" s="5">
        <v>2</v>
      </c>
      <c r="P185" s="5">
        <f>ROUND(Source!DQ158,O185)</f>
        <v>13584.85</v>
      </c>
      <c r="Q185" s="5"/>
      <c r="R185" s="5"/>
      <c r="S185" s="5"/>
      <c r="T185" s="5"/>
      <c r="U185" s="5"/>
      <c r="V185" s="5"/>
      <c r="W185" s="5">
        <v>13584.85</v>
      </c>
      <c r="X185" s="5">
        <v>1</v>
      </c>
      <c r="Y185" s="5">
        <v>13584.85</v>
      </c>
      <c r="Z185" s="5">
        <v>13584.85</v>
      </c>
      <c r="AA185" s="5">
        <v>1</v>
      </c>
      <c r="AB185" s="5">
        <v>495439.03</v>
      </c>
    </row>
    <row r="186" spans="1:28" ht="12.75">
      <c r="A186" s="5">
        <v>50</v>
      </c>
      <c r="B186" s="5">
        <v>0</v>
      </c>
      <c r="C186" s="5">
        <v>0</v>
      </c>
      <c r="D186" s="5">
        <v>1</v>
      </c>
      <c r="E186" s="5">
        <v>0</v>
      </c>
      <c r="F186" s="5">
        <f>ROUND(Source!AR158,O186)</f>
        <v>100925.22</v>
      </c>
      <c r="G186" s="5" t="s">
        <v>200</v>
      </c>
      <c r="H186" s="5" t="s">
        <v>201</v>
      </c>
      <c r="I186" s="5"/>
      <c r="J186" s="5"/>
      <c r="K186" s="5">
        <v>224</v>
      </c>
      <c r="L186" s="5">
        <v>27</v>
      </c>
      <c r="M186" s="5">
        <v>3</v>
      </c>
      <c r="N186" s="5" t="s">
        <v>3</v>
      </c>
      <c r="O186" s="5">
        <v>2</v>
      </c>
      <c r="P186" s="5">
        <f>ROUND(Source!EJ158,O186)</f>
        <v>100925.22</v>
      </c>
      <c r="Q186" s="5"/>
      <c r="R186" s="5"/>
      <c r="S186" s="5"/>
      <c r="T186" s="5"/>
      <c r="U186" s="5"/>
      <c r="V186" s="5"/>
      <c r="W186" s="5">
        <v>100925.22</v>
      </c>
      <c r="X186" s="5">
        <v>1</v>
      </c>
      <c r="Y186" s="5">
        <v>100925.22</v>
      </c>
      <c r="Z186" s="5">
        <v>100925.22</v>
      </c>
      <c r="AA186" s="5">
        <v>1</v>
      </c>
      <c r="AB186" s="5">
        <v>2593738.13</v>
      </c>
    </row>
    <row r="187" spans="1:28" ht="12.75">
      <c r="A187" s="5">
        <v>50</v>
      </c>
      <c r="B187" s="5">
        <v>0</v>
      </c>
      <c r="C187" s="5">
        <v>0</v>
      </c>
      <c r="D187" s="5">
        <v>2</v>
      </c>
      <c r="E187" s="5">
        <v>0</v>
      </c>
      <c r="F187" s="5">
        <f>ROUND(F164,O187)</f>
        <v>31278.68</v>
      </c>
      <c r="G187" s="5" t="s">
        <v>230</v>
      </c>
      <c r="H187" s="5" t="s">
        <v>230</v>
      </c>
      <c r="I187" s="5"/>
      <c r="J187" s="5"/>
      <c r="K187" s="5">
        <v>212</v>
      </c>
      <c r="L187" s="5">
        <v>28</v>
      </c>
      <c r="M187" s="5">
        <v>3</v>
      </c>
      <c r="N187" s="5" t="s">
        <v>3</v>
      </c>
      <c r="O187" s="5">
        <v>2</v>
      </c>
      <c r="P187" s="5">
        <f>ROUND(P164,O187)</f>
        <v>31278.68</v>
      </c>
      <c r="Q187" s="5"/>
      <c r="R187" s="5"/>
      <c r="S187" s="5"/>
      <c r="T187" s="5"/>
      <c r="U187" s="5"/>
      <c r="V187" s="5"/>
      <c r="W187" s="5">
        <v>31278.68</v>
      </c>
      <c r="X187" s="5">
        <v>1</v>
      </c>
      <c r="Y187" s="5">
        <v>31278.68</v>
      </c>
      <c r="Z187" s="5">
        <v>31278.68</v>
      </c>
      <c r="AA187" s="5">
        <v>1</v>
      </c>
      <c r="AB187" s="5">
        <v>213320.6</v>
      </c>
    </row>
    <row r="188" spans="1:28" ht="12.75">
      <c r="A188" s="5">
        <v>50</v>
      </c>
      <c r="B188" s="5">
        <v>1</v>
      </c>
      <c r="C188" s="5">
        <v>0</v>
      </c>
      <c r="D188" s="5">
        <v>2</v>
      </c>
      <c r="E188" s="5">
        <v>0</v>
      </c>
      <c r="F188" s="5">
        <f>ROUND(F186,O188)</f>
        <v>100925.22</v>
      </c>
      <c r="G188" s="5" t="s">
        <v>231</v>
      </c>
      <c r="H188" s="5" t="s">
        <v>232</v>
      </c>
      <c r="I188" s="5"/>
      <c r="J188" s="5"/>
      <c r="K188" s="5">
        <v>212</v>
      </c>
      <c r="L188" s="5">
        <v>29</v>
      </c>
      <c r="M188" s="5">
        <v>0</v>
      </c>
      <c r="N188" s="5" t="s">
        <v>3</v>
      </c>
      <c r="O188" s="5">
        <v>2</v>
      </c>
      <c r="P188" s="5">
        <f>ROUND(P186,O188)</f>
        <v>100925.22</v>
      </c>
      <c r="Q188" s="5"/>
      <c r="R188" s="5"/>
      <c r="S188" s="5"/>
      <c r="T188" s="5"/>
      <c r="U188" s="5"/>
      <c r="V188" s="5"/>
      <c r="W188" s="5">
        <v>100925.22</v>
      </c>
      <c r="X188" s="5">
        <v>1</v>
      </c>
      <c r="Y188" s="5">
        <v>100925.22</v>
      </c>
      <c r="Z188" s="5">
        <v>100925.22</v>
      </c>
      <c r="AA188" s="5">
        <v>1</v>
      </c>
      <c r="AB188" s="5">
        <v>2593738.13</v>
      </c>
    </row>
    <row r="189" spans="1:28" ht="12.75">
      <c r="A189" s="5">
        <v>50</v>
      </c>
      <c r="B189" s="5">
        <v>1</v>
      </c>
      <c r="C189" s="5">
        <v>0</v>
      </c>
      <c r="D189" s="5">
        <v>2</v>
      </c>
      <c r="E189" s="5">
        <v>0</v>
      </c>
      <c r="F189" s="5">
        <f>ROUND(F188*0.2,O189)</f>
        <v>20185.04</v>
      </c>
      <c r="G189" s="5" t="s">
        <v>233</v>
      </c>
      <c r="H189" s="5" t="s">
        <v>234</v>
      </c>
      <c r="I189" s="5"/>
      <c r="J189" s="5"/>
      <c r="K189" s="5">
        <v>212</v>
      </c>
      <c r="L189" s="5">
        <v>32</v>
      </c>
      <c r="M189" s="5">
        <v>0</v>
      </c>
      <c r="N189" s="5" t="s">
        <v>3</v>
      </c>
      <c r="O189" s="5">
        <v>2</v>
      </c>
      <c r="P189" s="5">
        <f>ROUND(P188*0.2,O189)</f>
        <v>20185.04</v>
      </c>
      <c r="Q189" s="5"/>
      <c r="R189" s="5"/>
      <c r="S189" s="5"/>
      <c r="T189" s="5"/>
      <c r="U189" s="5"/>
      <c r="V189" s="5"/>
      <c r="W189" s="5">
        <v>20185.04</v>
      </c>
      <c r="X189" s="5">
        <v>1</v>
      </c>
      <c r="Y189" s="5">
        <v>20185.04</v>
      </c>
      <c r="Z189" s="5">
        <v>20185.04</v>
      </c>
      <c r="AA189" s="5">
        <v>1</v>
      </c>
      <c r="AB189" s="5">
        <v>518747.63</v>
      </c>
    </row>
    <row r="190" spans="1:28" ht="12.75">
      <c r="A190" s="5">
        <v>50</v>
      </c>
      <c r="B190" s="5">
        <v>1</v>
      </c>
      <c r="C190" s="5">
        <v>0</v>
      </c>
      <c r="D190" s="5">
        <v>2</v>
      </c>
      <c r="E190" s="5">
        <v>224</v>
      </c>
      <c r="F190" s="5">
        <f>ROUND(F188+F189,O190)</f>
        <v>121110.26</v>
      </c>
      <c r="G190" s="5" t="s">
        <v>235</v>
      </c>
      <c r="H190" s="5" t="s">
        <v>236</v>
      </c>
      <c r="I190" s="5"/>
      <c r="J190" s="5"/>
      <c r="K190" s="5">
        <v>212</v>
      </c>
      <c r="L190" s="5">
        <v>33</v>
      </c>
      <c r="M190" s="5">
        <v>0</v>
      </c>
      <c r="N190" s="5" t="s">
        <v>3</v>
      </c>
      <c r="O190" s="5">
        <v>2</v>
      </c>
      <c r="P190" s="5">
        <f>ROUND(P188+P189,O190)</f>
        <v>121110.26</v>
      </c>
      <c r="Q190" s="5"/>
      <c r="R190" s="5"/>
      <c r="S190" s="5"/>
      <c r="T190" s="5"/>
      <c r="U190" s="5"/>
      <c r="V190" s="5"/>
      <c r="W190" s="5">
        <v>121110.26</v>
      </c>
      <c r="X190" s="5">
        <v>1</v>
      </c>
      <c r="Y190" s="5">
        <v>121110.26</v>
      </c>
      <c r="Z190" s="5">
        <v>121110.26</v>
      </c>
      <c r="AA190" s="5">
        <v>1</v>
      </c>
      <c r="AB190" s="5">
        <v>3112485.76</v>
      </c>
    </row>
    <row r="192" spans="1:206" ht="12.75">
      <c r="A192" s="3">
        <v>51</v>
      </c>
      <c r="B192" s="3">
        <f>B12</f>
        <v>256</v>
      </c>
      <c r="C192" s="3">
        <f>A12</f>
        <v>1</v>
      </c>
      <c r="D192" s="3">
        <f>ROW(A12)</f>
        <v>12</v>
      </c>
      <c r="E192" s="3"/>
      <c r="F192" s="3">
        <f>IF(F12&lt;&gt;"",F12,"")</f>
      </c>
      <c r="G192" s="3" t="str">
        <f>IF(G12&lt;&gt;"",G12,"")</f>
        <v>Выполнение ремонтных работ по облицовке пола лифтовых холлов 5-6 этажа строения № 1 ИПУ РАН</v>
      </c>
      <c r="H192" s="3">
        <v>0</v>
      </c>
      <c r="I192" s="3"/>
      <c r="J192" s="3"/>
      <c r="K192" s="3"/>
      <c r="L192" s="3"/>
      <c r="M192" s="3"/>
      <c r="N192" s="3"/>
      <c r="O192" s="3">
        <f aca="true" t="shared" si="169" ref="O192:T192">ROUND(O158,2)</f>
        <v>61894.85</v>
      </c>
      <c r="P192" s="3">
        <f t="shared" si="169"/>
        <v>31278.68</v>
      </c>
      <c r="Q192" s="3">
        <f t="shared" si="169"/>
        <v>6107.77</v>
      </c>
      <c r="R192" s="3">
        <f t="shared" si="169"/>
        <v>357.44</v>
      </c>
      <c r="S192" s="3">
        <f t="shared" si="169"/>
        <v>24508.4</v>
      </c>
      <c r="T192" s="3">
        <f t="shared" si="169"/>
        <v>0</v>
      </c>
      <c r="U192" s="3">
        <f>U158</f>
        <v>2839.833835</v>
      </c>
      <c r="V192" s="3">
        <f>V158</f>
        <v>30.044020000000003</v>
      </c>
      <c r="W192" s="3">
        <f>ROUND(W158,2)</f>
        <v>0</v>
      </c>
      <c r="X192" s="3">
        <f>ROUND(X158,2)</f>
        <v>24762.17</v>
      </c>
      <c r="Y192" s="3">
        <f>ROUND(Y158,2)</f>
        <v>13584.85</v>
      </c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>
        <f aca="true" t="shared" si="170" ref="AO192:BD192">ROUND(AO158,2)</f>
        <v>0</v>
      </c>
      <c r="AP192" s="3">
        <f t="shared" si="170"/>
        <v>0</v>
      </c>
      <c r="AQ192" s="3">
        <f t="shared" si="170"/>
        <v>0</v>
      </c>
      <c r="AR192" s="3">
        <f t="shared" si="170"/>
        <v>100925.22</v>
      </c>
      <c r="AS192" s="3">
        <f t="shared" si="170"/>
        <v>100925.22</v>
      </c>
      <c r="AT192" s="3">
        <f t="shared" si="170"/>
        <v>0</v>
      </c>
      <c r="AU192" s="3">
        <f t="shared" si="170"/>
        <v>0</v>
      </c>
      <c r="AV192" s="3">
        <f t="shared" si="170"/>
        <v>31278.68</v>
      </c>
      <c r="AW192" s="3">
        <f t="shared" si="170"/>
        <v>31278.68</v>
      </c>
      <c r="AX192" s="3">
        <f t="shared" si="170"/>
        <v>0</v>
      </c>
      <c r="AY192" s="3">
        <f t="shared" si="170"/>
        <v>31278.68</v>
      </c>
      <c r="AZ192" s="3">
        <f t="shared" si="170"/>
        <v>0</v>
      </c>
      <c r="BA192" s="3">
        <f t="shared" si="170"/>
        <v>0</v>
      </c>
      <c r="BB192" s="3">
        <f t="shared" si="170"/>
        <v>0</v>
      </c>
      <c r="BC192" s="3">
        <f t="shared" si="170"/>
        <v>0</v>
      </c>
      <c r="BD192" s="3">
        <f t="shared" si="170"/>
        <v>683.35</v>
      </c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4">
        <f aca="true" t="shared" si="171" ref="DG192:DL192">ROUND(DG158,2)</f>
        <v>61894.85</v>
      </c>
      <c r="DH192" s="4">
        <f t="shared" si="171"/>
        <v>31278.68</v>
      </c>
      <c r="DI192" s="4">
        <f t="shared" si="171"/>
        <v>6107.77</v>
      </c>
      <c r="DJ192" s="4">
        <f t="shared" si="171"/>
        <v>357.44</v>
      </c>
      <c r="DK192" s="4">
        <f t="shared" si="171"/>
        <v>24508.4</v>
      </c>
      <c r="DL192" s="4">
        <f t="shared" si="171"/>
        <v>0</v>
      </c>
      <c r="DM192" s="4">
        <f>DM158</f>
        <v>2839.833835</v>
      </c>
      <c r="DN192" s="4">
        <f>DN158</f>
        <v>30.044020000000003</v>
      </c>
      <c r="DO192" s="4">
        <f>ROUND(DO158,2)</f>
        <v>0</v>
      </c>
      <c r="DP192" s="4">
        <f>ROUND(DP158,2)</f>
        <v>24762.17</v>
      </c>
      <c r="DQ192" s="4">
        <f>ROUND(DQ158,2)</f>
        <v>13584.85</v>
      </c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>
        <f aca="true" t="shared" si="172" ref="EG192:EV192">ROUND(EG158,2)</f>
        <v>0</v>
      </c>
      <c r="EH192" s="4">
        <f t="shared" si="172"/>
        <v>0</v>
      </c>
      <c r="EI192" s="4">
        <f t="shared" si="172"/>
        <v>0</v>
      </c>
      <c r="EJ192" s="4">
        <f t="shared" si="172"/>
        <v>100925.22</v>
      </c>
      <c r="EK192" s="4">
        <f t="shared" si="172"/>
        <v>100925.22</v>
      </c>
      <c r="EL192" s="4">
        <f t="shared" si="172"/>
        <v>0</v>
      </c>
      <c r="EM192" s="4">
        <f t="shared" si="172"/>
        <v>0</v>
      </c>
      <c r="EN192" s="4">
        <f t="shared" si="172"/>
        <v>31278.68</v>
      </c>
      <c r="EO192" s="4">
        <f t="shared" si="172"/>
        <v>31278.68</v>
      </c>
      <c r="EP192" s="4">
        <f t="shared" si="172"/>
        <v>0</v>
      </c>
      <c r="EQ192" s="4">
        <f t="shared" si="172"/>
        <v>31278.68</v>
      </c>
      <c r="ER192" s="4">
        <f t="shared" si="172"/>
        <v>0</v>
      </c>
      <c r="ES192" s="4">
        <f t="shared" si="172"/>
        <v>0</v>
      </c>
      <c r="ET192" s="4">
        <f t="shared" si="172"/>
        <v>0</v>
      </c>
      <c r="EU192" s="4">
        <f t="shared" si="172"/>
        <v>0</v>
      </c>
      <c r="EV192" s="4">
        <f t="shared" si="172"/>
        <v>683.35</v>
      </c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>
        <v>0</v>
      </c>
    </row>
    <row r="194" spans="1:28" ht="12.75">
      <c r="A194" s="5">
        <v>50</v>
      </c>
      <c r="B194" s="5">
        <v>0</v>
      </c>
      <c r="C194" s="5">
        <v>0</v>
      </c>
      <c r="D194" s="5">
        <v>1</v>
      </c>
      <c r="E194" s="5">
        <v>201</v>
      </c>
      <c r="F194" s="5">
        <f>ROUND(Source!O192,O194)</f>
        <v>61894.85</v>
      </c>
      <c r="G194" s="5" t="s">
        <v>148</v>
      </c>
      <c r="H194" s="5" t="s">
        <v>149</v>
      </c>
      <c r="I194" s="5"/>
      <c r="J194" s="5"/>
      <c r="K194" s="5">
        <v>201</v>
      </c>
      <c r="L194" s="5">
        <v>1</v>
      </c>
      <c r="M194" s="5">
        <v>3</v>
      </c>
      <c r="N194" s="5" t="s">
        <v>3</v>
      </c>
      <c r="O194" s="5">
        <v>2</v>
      </c>
      <c r="P194" s="5">
        <f>ROUND(Source!DG192,O194)</f>
        <v>61894.85</v>
      </c>
      <c r="Q194" s="5"/>
      <c r="R194" s="5"/>
      <c r="S194" s="5"/>
      <c r="T194" s="5"/>
      <c r="U194" s="5"/>
      <c r="V194" s="5"/>
      <c r="W194" s="5">
        <v>62578.2</v>
      </c>
      <c r="X194" s="5">
        <v>1</v>
      </c>
      <c r="Y194" s="5">
        <v>62578.2</v>
      </c>
      <c r="Z194" s="5">
        <v>62578.2</v>
      </c>
      <c r="AA194" s="5">
        <v>1</v>
      </c>
      <c r="AB194" s="5">
        <v>1195222.79</v>
      </c>
    </row>
    <row r="195" spans="1:28" ht="12.75">
      <c r="A195" s="5">
        <v>50</v>
      </c>
      <c r="B195" s="5">
        <v>0</v>
      </c>
      <c r="C195" s="5">
        <v>0</v>
      </c>
      <c r="D195" s="5">
        <v>1</v>
      </c>
      <c r="E195" s="5">
        <v>202</v>
      </c>
      <c r="F195" s="5">
        <f>ROUND(Source!P192,O195)</f>
        <v>31278.68</v>
      </c>
      <c r="G195" s="5" t="s">
        <v>150</v>
      </c>
      <c r="H195" s="5" t="s">
        <v>151</v>
      </c>
      <c r="I195" s="5"/>
      <c r="J195" s="5"/>
      <c r="K195" s="5">
        <v>202</v>
      </c>
      <c r="L195" s="5">
        <v>2</v>
      </c>
      <c r="M195" s="5">
        <v>3</v>
      </c>
      <c r="N195" s="5" t="s">
        <v>3</v>
      </c>
      <c r="O195" s="5">
        <v>2</v>
      </c>
      <c r="P195" s="5">
        <f>ROUND(Source!DH192,O195)</f>
        <v>31278.68</v>
      </c>
      <c r="Q195" s="5"/>
      <c r="R195" s="5"/>
      <c r="S195" s="5"/>
      <c r="T195" s="5"/>
      <c r="U195" s="5"/>
      <c r="V195" s="5"/>
      <c r="W195" s="5">
        <v>31278.68</v>
      </c>
      <c r="X195" s="5">
        <v>1</v>
      </c>
      <c r="Y195" s="5">
        <v>31278.68</v>
      </c>
      <c r="Z195" s="5">
        <v>31278.68</v>
      </c>
      <c r="AA195" s="5">
        <v>1</v>
      </c>
      <c r="AB195" s="5">
        <v>0</v>
      </c>
    </row>
    <row r="196" spans="1:28" ht="12.75">
      <c r="A196" s="5">
        <v>50</v>
      </c>
      <c r="B196" s="5">
        <v>0</v>
      </c>
      <c r="C196" s="5">
        <v>0</v>
      </c>
      <c r="D196" s="5">
        <v>1</v>
      </c>
      <c r="E196" s="5">
        <v>222</v>
      </c>
      <c r="F196" s="5">
        <f>ROUND(Source!AO192,O196)</f>
        <v>0</v>
      </c>
      <c r="G196" s="5" t="s">
        <v>152</v>
      </c>
      <c r="H196" s="5" t="s">
        <v>153</v>
      </c>
      <c r="I196" s="5"/>
      <c r="J196" s="5"/>
      <c r="K196" s="5">
        <v>222</v>
      </c>
      <c r="L196" s="5">
        <v>3</v>
      </c>
      <c r="M196" s="5">
        <v>3</v>
      </c>
      <c r="N196" s="5" t="s">
        <v>3</v>
      </c>
      <c r="O196" s="5">
        <v>2</v>
      </c>
      <c r="P196" s="5">
        <f>ROUND(Source!EG192,O196)</f>
        <v>0</v>
      </c>
      <c r="Q196" s="5"/>
      <c r="R196" s="5"/>
      <c r="S196" s="5"/>
      <c r="T196" s="5"/>
      <c r="U196" s="5"/>
      <c r="V196" s="5"/>
      <c r="W196" s="5">
        <v>0</v>
      </c>
      <c r="X196" s="5">
        <v>1</v>
      </c>
      <c r="Y196" s="5">
        <v>0</v>
      </c>
      <c r="Z196" s="5">
        <v>0</v>
      </c>
      <c r="AA196" s="5">
        <v>1</v>
      </c>
      <c r="AB196" s="5">
        <v>0</v>
      </c>
    </row>
    <row r="197" spans="1:28" ht="12.75">
      <c r="A197" s="5">
        <v>50</v>
      </c>
      <c r="B197" s="5">
        <v>0</v>
      </c>
      <c r="C197" s="5">
        <v>0</v>
      </c>
      <c r="D197" s="5">
        <v>1</v>
      </c>
      <c r="E197" s="5">
        <v>225</v>
      </c>
      <c r="F197" s="5">
        <f>ROUND(Source!AV192,O197)</f>
        <v>31278.68</v>
      </c>
      <c r="G197" s="5" t="s">
        <v>154</v>
      </c>
      <c r="H197" s="5" t="s">
        <v>155</v>
      </c>
      <c r="I197" s="5"/>
      <c r="J197" s="5"/>
      <c r="K197" s="5">
        <v>225</v>
      </c>
      <c r="L197" s="5">
        <v>4</v>
      </c>
      <c r="M197" s="5">
        <v>3</v>
      </c>
      <c r="N197" s="5" t="s">
        <v>3</v>
      </c>
      <c r="O197" s="5">
        <v>2</v>
      </c>
      <c r="P197" s="5">
        <f>ROUND(Source!EN192,O197)</f>
        <v>31278.68</v>
      </c>
      <c r="Q197" s="5"/>
      <c r="R197" s="5"/>
      <c r="S197" s="5"/>
      <c r="T197" s="5"/>
      <c r="U197" s="5"/>
      <c r="V197" s="5"/>
      <c r="W197" s="5">
        <v>31278.68</v>
      </c>
      <c r="X197" s="5">
        <v>1</v>
      </c>
      <c r="Y197" s="5">
        <v>31278.68</v>
      </c>
      <c r="Z197" s="5">
        <v>31278.68</v>
      </c>
      <c r="AA197" s="5">
        <v>1</v>
      </c>
      <c r="AB197" s="5">
        <v>0</v>
      </c>
    </row>
    <row r="198" spans="1:28" ht="12.75">
      <c r="A198" s="5">
        <v>50</v>
      </c>
      <c r="B198" s="5">
        <v>0</v>
      </c>
      <c r="C198" s="5">
        <v>0</v>
      </c>
      <c r="D198" s="5">
        <v>1</v>
      </c>
      <c r="E198" s="5">
        <v>226</v>
      </c>
      <c r="F198" s="5">
        <f>ROUND(Source!AW192,O198)</f>
        <v>31278.68</v>
      </c>
      <c r="G198" s="5" t="s">
        <v>156</v>
      </c>
      <c r="H198" s="5" t="s">
        <v>157</v>
      </c>
      <c r="I198" s="5"/>
      <c r="J198" s="5"/>
      <c r="K198" s="5">
        <v>226</v>
      </c>
      <c r="L198" s="5">
        <v>5</v>
      </c>
      <c r="M198" s="5">
        <v>3</v>
      </c>
      <c r="N198" s="5" t="s">
        <v>3</v>
      </c>
      <c r="O198" s="5">
        <v>2</v>
      </c>
      <c r="P198" s="5">
        <f>ROUND(Source!EO192,O198)</f>
        <v>31278.68</v>
      </c>
      <c r="Q198" s="5"/>
      <c r="R198" s="5"/>
      <c r="S198" s="5"/>
      <c r="T198" s="5"/>
      <c r="U198" s="5"/>
      <c r="V198" s="5"/>
      <c r="W198" s="5">
        <v>31278.68</v>
      </c>
      <c r="X198" s="5">
        <v>1</v>
      </c>
      <c r="Y198" s="5">
        <v>31278.68</v>
      </c>
      <c r="Z198" s="5">
        <v>31278.68</v>
      </c>
      <c r="AA198" s="5">
        <v>1</v>
      </c>
      <c r="AB198" s="5">
        <v>213320.6</v>
      </c>
    </row>
    <row r="199" spans="1:28" ht="12.75">
      <c r="A199" s="5">
        <v>50</v>
      </c>
      <c r="B199" s="5">
        <v>0</v>
      </c>
      <c r="C199" s="5">
        <v>0</v>
      </c>
      <c r="D199" s="5">
        <v>1</v>
      </c>
      <c r="E199" s="5">
        <v>227</v>
      </c>
      <c r="F199" s="5">
        <f>ROUND(Source!AX192,O199)</f>
        <v>0</v>
      </c>
      <c r="G199" s="5" t="s">
        <v>158</v>
      </c>
      <c r="H199" s="5" t="s">
        <v>159</v>
      </c>
      <c r="I199" s="5"/>
      <c r="J199" s="5"/>
      <c r="K199" s="5">
        <v>227</v>
      </c>
      <c r="L199" s="5">
        <v>6</v>
      </c>
      <c r="M199" s="5">
        <v>3</v>
      </c>
      <c r="N199" s="5" t="s">
        <v>3</v>
      </c>
      <c r="O199" s="5">
        <v>2</v>
      </c>
      <c r="P199" s="5">
        <f>ROUND(Source!EP192,O199)</f>
        <v>0</v>
      </c>
      <c r="Q199" s="5"/>
      <c r="R199" s="5"/>
      <c r="S199" s="5"/>
      <c r="T199" s="5"/>
      <c r="U199" s="5"/>
      <c r="V199" s="5"/>
      <c r="W199" s="5">
        <v>0</v>
      </c>
      <c r="X199" s="5">
        <v>1</v>
      </c>
      <c r="Y199" s="5">
        <v>0</v>
      </c>
      <c r="Z199" s="5">
        <v>0</v>
      </c>
      <c r="AA199" s="5">
        <v>1</v>
      </c>
      <c r="AB199" s="5">
        <v>0</v>
      </c>
    </row>
    <row r="200" spans="1:28" ht="12.75">
      <c r="A200" s="5">
        <v>50</v>
      </c>
      <c r="B200" s="5">
        <v>1</v>
      </c>
      <c r="C200" s="5">
        <v>0</v>
      </c>
      <c r="D200" s="5">
        <v>1</v>
      </c>
      <c r="E200" s="5">
        <v>228</v>
      </c>
      <c r="F200" s="5">
        <f>ROUND(Source!AY192,O200)</f>
        <v>31278.68</v>
      </c>
      <c r="G200" s="5" t="s">
        <v>160</v>
      </c>
      <c r="H200" s="5" t="s">
        <v>161</v>
      </c>
      <c r="I200" s="5"/>
      <c r="J200" s="5"/>
      <c r="K200" s="5">
        <v>228</v>
      </c>
      <c r="L200" s="5">
        <v>7</v>
      </c>
      <c r="M200" s="5">
        <v>0</v>
      </c>
      <c r="N200" s="5" t="s">
        <v>3</v>
      </c>
      <c r="O200" s="5">
        <v>2</v>
      </c>
      <c r="P200" s="5">
        <f>ROUND(Source!EQ192,O200)</f>
        <v>31278.68</v>
      </c>
      <c r="Q200" s="5"/>
      <c r="R200" s="5"/>
      <c r="S200" s="5"/>
      <c r="T200" s="5"/>
      <c r="U200" s="5"/>
      <c r="V200" s="5"/>
      <c r="W200" s="5">
        <v>31278.68</v>
      </c>
      <c r="X200" s="5">
        <v>1</v>
      </c>
      <c r="Y200" s="5">
        <v>31278.68</v>
      </c>
      <c r="Z200" s="5">
        <v>31278.68</v>
      </c>
      <c r="AA200" s="5">
        <v>1</v>
      </c>
      <c r="AB200" s="5">
        <v>213320.6</v>
      </c>
    </row>
    <row r="201" spans="1:28" ht="12.75">
      <c r="A201" s="5">
        <v>50</v>
      </c>
      <c r="B201" s="5">
        <v>0</v>
      </c>
      <c r="C201" s="5">
        <v>0</v>
      </c>
      <c r="D201" s="5">
        <v>1</v>
      </c>
      <c r="E201" s="5">
        <v>216</v>
      </c>
      <c r="F201" s="5">
        <f>ROUND(Source!AP192,O201)</f>
        <v>0</v>
      </c>
      <c r="G201" s="5" t="s">
        <v>162</v>
      </c>
      <c r="H201" s="5" t="s">
        <v>163</v>
      </c>
      <c r="I201" s="5"/>
      <c r="J201" s="5"/>
      <c r="K201" s="5">
        <v>216</v>
      </c>
      <c r="L201" s="5">
        <v>8</v>
      </c>
      <c r="M201" s="5">
        <v>3</v>
      </c>
      <c r="N201" s="5" t="s">
        <v>3</v>
      </c>
      <c r="O201" s="5">
        <v>2</v>
      </c>
      <c r="P201" s="5">
        <f>ROUND(Source!EH192,O201)</f>
        <v>0</v>
      </c>
      <c r="Q201" s="5"/>
      <c r="R201" s="5"/>
      <c r="S201" s="5"/>
      <c r="T201" s="5"/>
      <c r="U201" s="5"/>
      <c r="V201" s="5"/>
      <c r="W201" s="5">
        <v>0</v>
      </c>
      <c r="X201" s="5">
        <v>1</v>
      </c>
      <c r="Y201" s="5">
        <v>0</v>
      </c>
      <c r="Z201" s="5">
        <v>0</v>
      </c>
      <c r="AA201" s="5">
        <v>1</v>
      </c>
      <c r="AB201" s="5">
        <v>0</v>
      </c>
    </row>
    <row r="202" spans="1:28" ht="12.75">
      <c r="A202" s="5">
        <v>50</v>
      </c>
      <c r="B202" s="5">
        <v>0</v>
      </c>
      <c r="C202" s="5">
        <v>0</v>
      </c>
      <c r="D202" s="5">
        <v>1</v>
      </c>
      <c r="E202" s="5">
        <v>223</v>
      </c>
      <c r="F202" s="5">
        <f>ROUND(Source!AQ192,O202)</f>
        <v>0</v>
      </c>
      <c r="G202" s="5" t="s">
        <v>164</v>
      </c>
      <c r="H202" s="5" t="s">
        <v>165</v>
      </c>
      <c r="I202" s="5"/>
      <c r="J202" s="5"/>
      <c r="K202" s="5">
        <v>223</v>
      </c>
      <c r="L202" s="5">
        <v>9</v>
      </c>
      <c r="M202" s="5">
        <v>3</v>
      </c>
      <c r="N202" s="5" t="s">
        <v>3</v>
      </c>
      <c r="O202" s="5">
        <v>2</v>
      </c>
      <c r="P202" s="5">
        <f>ROUND(Source!EI192,O202)</f>
        <v>0</v>
      </c>
      <c r="Q202" s="5"/>
      <c r="R202" s="5"/>
      <c r="S202" s="5"/>
      <c r="T202" s="5"/>
      <c r="U202" s="5"/>
      <c r="V202" s="5"/>
      <c r="W202" s="5">
        <v>0</v>
      </c>
      <c r="X202" s="5">
        <v>1</v>
      </c>
      <c r="Y202" s="5">
        <v>0</v>
      </c>
      <c r="Z202" s="5">
        <v>0</v>
      </c>
      <c r="AA202" s="5">
        <v>1</v>
      </c>
      <c r="AB202" s="5">
        <v>0</v>
      </c>
    </row>
    <row r="203" spans="1:28" ht="12.75">
      <c r="A203" s="5">
        <v>50</v>
      </c>
      <c r="B203" s="5">
        <v>0</v>
      </c>
      <c r="C203" s="5">
        <v>0</v>
      </c>
      <c r="D203" s="5">
        <v>1</v>
      </c>
      <c r="E203" s="5">
        <v>229</v>
      </c>
      <c r="F203" s="5">
        <f>ROUND(Source!AZ192,O203)</f>
        <v>0</v>
      </c>
      <c r="G203" s="5" t="s">
        <v>166</v>
      </c>
      <c r="H203" s="5" t="s">
        <v>167</v>
      </c>
      <c r="I203" s="5"/>
      <c r="J203" s="5"/>
      <c r="K203" s="5">
        <v>229</v>
      </c>
      <c r="L203" s="5">
        <v>10</v>
      </c>
      <c r="M203" s="5">
        <v>3</v>
      </c>
      <c r="N203" s="5" t="s">
        <v>3</v>
      </c>
      <c r="O203" s="5">
        <v>2</v>
      </c>
      <c r="P203" s="5">
        <f>ROUND(Source!ER192,O203)</f>
        <v>0</v>
      </c>
      <c r="Q203" s="5"/>
      <c r="R203" s="5"/>
      <c r="S203" s="5"/>
      <c r="T203" s="5"/>
      <c r="U203" s="5"/>
      <c r="V203" s="5"/>
      <c r="W203" s="5">
        <v>0</v>
      </c>
      <c r="X203" s="5">
        <v>1</v>
      </c>
      <c r="Y203" s="5">
        <v>0</v>
      </c>
      <c r="Z203" s="5">
        <v>0</v>
      </c>
      <c r="AA203" s="5">
        <v>1</v>
      </c>
      <c r="AB203" s="5">
        <v>0</v>
      </c>
    </row>
    <row r="204" spans="1:28" ht="12.75">
      <c r="A204" s="5">
        <v>50</v>
      </c>
      <c r="B204" s="5">
        <v>0</v>
      </c>
      <c r="C204" s="5">
        <v>0</v>
      </c>
      <c r="D204" s="5">
        <v>1</v>
      </c>
      <c r="E204" s="5">
        <v>203</v>
      </c>
      <c r="F204" s="5">
        <f>ROUND(Source!Q192,O204)</f>
        <v>6107.77</v>
      </c>
      <c r="G204" s="5" t="s">
        <v>168</v>
      </c>
      <c r="H204" s="5" t="s">
        <v>169</v>
      </c>
      <c r="I204" s="5"/>
      <c r="J204" s="5"/>
      <c r="K204" s="5">
        <v>203</v>
      </c>
      <c r="L204" s="5">
        <v>11</v>
      </c>
      <c r="M204" s="5">
        <v>3</v>
      </c>
      <c r="N204" s="5" t="s">
        <v>3</v>
      </c>
      <c r="O204" s="5">
        <v>2</v>
      </c>
      <c r="P204" s="5">
        <f>ROUND(Source!DI192,O204)</f>
        <v>6107.77</v>
      </c>
      <c r="Q204" s="5"/>
      <c r="R204" s="5"/>
      <c r="S204" s="5"/>
      <c r="T204" s="5"/>
      <c r="U204" s="5"/>
      <c r="V204" s="5"/>
      <c r="W204" s="5">
        <v>6107.77</v>
      </c>
      <c r="X204" s="5">
        <v>1</v>
      </c>
      <c r="Y204" s="5">
        <v>6107.77</v>
      </c>
      <c r="Z204" s="5">
        <v>6107.77</v>
      </c>
      <c r="AA204" s="5">
        <v>1</v>
      </c>
      <c r="AB204" s="5">
        <v>79217.78</v>
      </c>
    </row>
    <row r="205" spans="1:28" ht="12.75">
      <c r="A205" s="5">
        <v>50</v>
      </c>
      <c r="B205" s="5">
        <v>0</v>
      </c>
      <c r="C205" s="5">
        <v>0</v>
      </c>
      <c r="D205" s="5">
        <v>1</v>
      </c>
      <c r="E205" s="5">
        <v>231</v>
      </c>
      <c r="F205" s="5">
        <f>ROUND(Source!BB192,O205)</f>
        <v>0</v>
      </c>
      <c r="G205" s="5" t="s">
        <v>170</v>
      </c>
      <c r="H205" s="5" t="s">
        <v>171</v>
      </c>
      <c r="I205" s="5"/>
      <c r="J205" s="5"/>
      <c r="K205" s="5">
        <v>231</v>
      </c>
      <c r="L205" s="5">
        <v>12</v>
      </c>
      <c r="M205" s="5">
        <v>3</v>
      </c>
      <c r="N205" s="5" t="s">
        <v>3</v>
      </c>
      <c r="O205" s="5">
        <v>2</v>
      </c>
      <c r="P205" s="5">
        <f>ROUND(Source!ET192,O205)</f>
        <v>0</v>
      </c>
      <c r="Q205" s="5"/>
      <c r="R205" s="5"/>
      <c r="S205" s="5"/>
      <c r="T205" s="5"/>
      <c r="U205" s="5"/>
      <c r="V205" s="5"/>
      <c r="W205" s="5">
        <v>0</v>
      </c>
      <c r="X205" s="5">
        <v>1</v>
      </c>
      <c r="Y205" s="5">
        <v>0</v>
      </c>
      <c r="Z205" s="5">
        <v>0</v>
      </c>
      <c r="AA205" s="5">
        <v>1</v>
      </c>
      <c r="AB205" s="5">
        <v>0</v>
      </c>
    </row>
    <row r="206" spans="1:28" ht="12.75">
      <c r="A206" s="5">
        <v>50</v>
      </c>
      <c r="B206" s="5">
        <v>0</v>
      </c>
      <c r="C206" s="5">
        <v>0</v>
      </c>
      <c r="D206" s="5">
        <v>1</v>
      </c>
      <c r="E206" s="5">
        <v>204</v>
      </c>
      <c r="F206" s="5">
        <f>ROUND(Source!R192,O206)</f>
        <v>357.44</v>
      </c>
      <c r="G206" s="5" t="s">
        <v>172</v>
      </c>
      <c r="H206" s="5" t="s">
        <v>173</v>
      </c>
      <c r="I206" s="5"/>
      <c r="J206" s="5"/>
      <c r="K206" s="5">
        <v>204</v>
      </c>
      <c r="L206" s="5">
        <v>13</v>
      </c>
      <c r="M206" s="5">
        <v>3</v>
      </c>
      <c r="N206" s="5" t="s">
        <v>3</v>
      </c>
      <c r="O206" s="5">
        <v>2</v>
      </c>
      <c r="P206" s="5">
        <f>ROUND(Source!DJ192,O206)</f>
        <v>357.44</v>
      </c>
      <c r="Q206" s="5"/>
      <c r="R206" s="5"/>
      <c r="S206" s="5"/>
      <c r="T206" s="5"/>
      <c r="U206" s="5"/>
      <c r="V206" s="5"/>
      <c r="W206" s="5">
        <v>357.44</v>
      </c>
      <c r="X206" s="5">
        <v>1</v>
      </c>
      <c r="Y206" s="5">
        <v>357.44</v>
      </c>
      <c r="Z206" s="5">
        <v>357.44</v>
      </c>
      <c r="AA206" s="5">
        <v>1</v>
      </c>
      <c r="AB206" s="5">
        <v>13035.840000000002</v>
      </c>
    </row>
    <row r="207" spans="1:28" ht="12.75">
      <c r="A207" s="5">
        <v>50</v>
      </c>
      <c r="B207" s="5">
        <v>0</v>
      </c>
      <c r="C207" s="5">
        <v>0</v>
      </c>
      <c r="D207" s="5">
        <v>1</v>
      </c>
      <c r="E207" s="5">
        <v>205</v>
      </c>
      <c r="F207" s="5">
        <f>ROUND(Source!S192,O207)</f>
        <v>24508.4</v>
      </c>
      <c r="G207" s="5" t="s">
        <v>174</v>
      </c>
      <c r="H207" s="5" t="s">
        <v>175</v>
      </c>
      <c r="I207" s="5"/>
      <c r="J207" s="5"/>
      <c r="K207" s="5">
        <v>205</v>
      </c>
      <c r="L207" s="5">
        <v>14</v>
      </c>
      <c r="M207" s="5">
        <v>3</v>
      </c>
      <c r="N207" s="5" t="s">
        <v>3</v>
      </c>
      <c r="O207" s="5">
        <v>2</v>
      </c>
      <c r="P207" s="5">
        <f>ROUND(Source!DK192,O207)</f>
        <v>24508.4</v>
      </c>
      <c r="Q207" s="5"/>
      <c r="R207" s="5"/>
      <c r="S207" s="5"/>
      <c r="T207" s="5"/>
      <c r="U207" s="5"/>
      <c r="V207" s="5"/>
      <c r="W207" s="5">
        <v>24508.399999999998</v>
      </c>
      <c r="X207" s="5">
        <v>1</v>
      </c>
      <c r="Y207" s="5">
        <v>24508.399999999998</v>
      </c>
      <c r="Z207" s="5">
        <v>24508.399999999998</v>
      </c>
      <c r="AA207" s="5">
        <v>1</v>
      </c>
      <c r="AB207" s="5">
        <v>893821.3599999999</v>
      </c>
    </row>
    <row r="208" spans="1:28" ht="12.75">
      <c r="A208" s="5">
        <v>50</v>
      </c>
      <c r="B208" s="5">
        <v>0</v>
      </c>
      <c r="C208" s="5">
        <v>0</v>
      </c>
      <c r="D208" s="5">
        <v>1</v>
      </c>
      <c r="E208" s="5">
        <v>232</v>
      </c>
      <c r="F208" s="5">
        <f>ROUND(Source!BC192,O208)</f>
        <v>0</v>
      </c>
      <c r="G208" s="5" t="s">
        <v>176</v>
      </c>
      <c r="H208" s="5" t="s">
        <v>177</v>
      </c>
      <c r="I208" s="5"/>
      <c r="J208" s="5"/>
      <c r="K208" s="5">
        <v>232</v>
      </c>
      <c r="L208" s="5">
        <v>15</v>
      </c>
      <c r="M208" s="5">
        <v>3</v>
      </c>
      <c r="N208" s="5" t="s">
        <v>3</v>
      </c>
      <c r="O208" s="5">
        <v>2</v>
      </c>
      <c r="P208" s="5">
        <f>ROUND(Source!EU192,O208)</f>
        <v>0</v>
      </c>
      <c r="Q208" s="5"/>
      <c r="R208" s="5"/>
      <c r="S208" s="5"/>
      <c r="T208" s="5"/>
      <c r="U208" s="5"/>
      <c r="V208" s="5"/>
      <c r="W208" s="5">
        <v>0</v>
      </c>
      <c r="X208" s="5">
        <v>1</v>
      </c>
      <c r="Y208" s="5">
        <v>0</v>
      </c>
      <c r="Z208" s="5">
        <v>0</v>
      </c>
      <c r="AA208" s="5">
        <v>1</v>
      </c>
      <c r="AB208" s="5">
        <v>0</v>
      </c>
    </row>
    <row r="209" spans="1:28" ht="12.75">
      <c r="A209" s="5">
        <v>50</v>
      </c>
      <c r="B209" s="5">
        <v>0</v>
      </c>
      <c r="C209" s="5">
        <v>0</v>
      </c>
      <c r="D209" s="5">
        <v>1</v>
      </c>
      <c r="E209" s="5">
        <v>214</v>
      </c>
      <c r="F209" s="5">
        <f>ROUND(Source!AS192,O209)</f>
        <v>100925.22</v>
      </c>
      <c r="G209" s="5" t="s">
        <v>178</v>
      </c>
      <c r="H209" s="5" t="s">
        <v>179</v>
      </c>
      <c r="I209" s="5"/>
      <c r="J209" s="5"/>
      <c r="K209" s="5">
        <v>214</v>
      </c>
      <c r="L209" s="5">
        <v>16</v>
      </c>
      <c r="M209" s="5">
        <v>3</v>
      </c>
      <c r="N209" s="5" t="s">
        <v>3</v>
      </c>
      <c r="O209" s="5">
        <v>2</v>
      </c>
      <c r="P209" s="5">
        <f>ROUND(Source!EK192,O209)</f>
        <v>100925.22</v>
      </c>
      <c r="Q209" s="5"/>
      <c r="R209" s="5"/>
      <c r="S209" s="5"/>
      <c r="T209" s="5"/>
      <c r="U209" s="5"/>
      <c r="V209" s="5"/>
      <c r="W209" s="5">
        <v>100925.22</v>
      </c>
      <c r="X209" s="5">
        <v>1</v>
      </c>
      <c r="Y209" s="5">
        <v>100925.22</v>
      </c>
      <c r="Z209" s="5">
        <v>100925.22</v>
      </c>
      <c r="AA209" s="5">
        <v>1</v>
      </c>
      <c r="AB209" s="5">
        <v>2593738.13</v>
      </c>
    </row>
    <row r="210" spans="1:28" ht="12.75">
      <c r="A210" s="5">
        <v>50</v>
      </c>
      <c r="B210" s="5">
        <v>0</v>
      </c>
      <c r="C210" s="5">
        <v>0</v>
      </c>
      <c r="D210" s="5">
        <v>1</v>
      </c>
      <c r="E210" s="5">
        <v>215</v>
      </c>
      <c r="F210" s="5">
        <f>ROUND(Source!AT192,O210)</f>
        <v>0</v>
      </c>
      <c r="G210" s="5" t="s">
        <v>180</v>
      </c>
      <c r="H210" s="5" t="s">
        <v>181</v>
      </c>
      <c r="I210" s="5"/>
      <c r="J210" s="5"/>
      <c r="K210" s="5">
        <v>215</v>
      </c>
      <c r="L210" s="5">
        <v>17</v>
      </c>
      <c r="M210" s="5">
        <v>3</v>
      </c>
      <c r="N210" s="5" t="s">
        <v>3</v>
      </c>
      <c r="O210" s="5">
        <v>2</v>
      </c>
      <c r="P210" s="5">
        <f>ROUND(Source!EL192,O210)</f>
        <v>0</v>
      </c>
      <c r="Q210" s="5"/>
      <c r="R210" s="5"/>
      <c r="S210" s="5"/>
      <c r="T210" s="5"/>
      <c r="U210" s="5"/>
      <c r="V210" s="5"/>
      <c r="W210" s="5">
        <v>0</v>
      </c>
      <c r="X210" s="5">
        <v>1</v>
      </c>
      <c r="Y210" s="5">
        <v>0</v>
      </c>
      <c r="Z210" s="5">
        <v>0</v>
      </c>
      <c r="AA210" s="5">
        <v>1</v>
      </c>
      <c r="AB210" s="5">
        <v>0</v>
      </c>
    </row>
    <row r="211" spans="1:28" ht="12.75">
      <c r="A211" s="5">
        <v>50</v>
      </c>
      <c r="B211" s="5">
        <v>0</v>
      </c>
      <c r="C211" s="5">
        <v>0</v>
      </c>
      <c r="D211" s="5">
        <v>1</v>
      </c>
      <c r="E211" s="5">
        <v>217</v>
      </c>
      <c r="F211" s="5">
        <f>ROUND(Source!AU192,O211)</f>
        <v>0</v>
      </c>
      <c r="G211" s="5" t="s">
        <v>182</v>
      </c>
      <c r="H211" s="5" t="s">
        <v>183</v>
      </c>
      <c r="I211" s="5"/>
      <c r="J211" s="5"/>
      <c r="K211" s="5">
        <v>217</v>
      </c>
      <c r="L211" s="5">
        <v>18</v>
      </c>
      <c r="M211" s="5">
        <v>3</v>
      </c>
      <c r="N211" s="5" t="s">
        <v>3</v>
      </c>
      <c r="O211" s="5">
        <v>2</v>
      </c>
      <c r="P211" s="5">
        <f>ROUND(Source!EM192,O211)</f>
        <v>0</v>
      </c>
      <c r="Q211" s="5"/>
      <c r="R211" s="5"/>
      <c r="S211" s="5"/>
      <c r="T211" s="5"/>
      <c r="U211" s="5"/>
      <c r="V211" s="5"/>
      <c r="W211" s="5">
        <v>0</v>
      </c>
      <c r="X211" s="5">
        <v>1</v>
      </c>
      <c r="Y211" s="5">
        <v>0</v>
      </c>
      <c r="Z211" s="5">
        <v>0</v>
      </c>
      <c r="AA211" s="5">
        <v>1</v>
      </c>
      <c r="AB211" s="5">
        <v>0</v>
      </c>
    </row>
    <row r="212" spans="1:28" ht="12.75">
      <c r="A212" s="5">
        <v>50</v>
      </c>
      <c r="B212" s="5">
        <v>0</v>
      </c>
      <c r="C212" s="5">
        <v>0</v>
      </c>
      <c r="D212" s="5">
        <v>1</v>
      </c>
      <c r="E212" s="5">
        <v>230</v>
      </c>
      <c r="F212" s="5">
        <f>ROUND(Source!BA192,O212)</f>
        <v>0</v>
      </c>
      <c r="G212" s="5" t="s">
        <v>184</v>
      </c>
      <c r="H212" s="5" t="s">
        <v>185</v>
      </c>
      <c r="I212" s="5"/>
      <c r="J212" s="5"/>
      <c r="K212" s="5">
        <v>230</v>
      </c>
      <c r="L212" s="5">
        <v>19</v>
      </c>
      <c r="M212" s="5">
        <v>3</v>
      </c>
      <c r="N212" s="5" t="s">
        <v>3</v>
      </c>
      <c r="O212" s="5">
        <v>2</v>
      </c>
      <c r="P212" s="5">
        <f>ROUND(Source!ES192,O212)</f>
        <v>0</v>
      </c>
      <c r="Q212" s="5"/>
      <c r="R212" s="5"/>
      <c r="S212" s="5"/>
      <c r="T212" s="5"/>
      <c r="U212" s="5"/>
      <c r="V212" s="5"/>
      <c r="W212" s="5">
        <v>0</v>
      </c>
      <c r="X212" s="5">
        <v>1</v>
      </c>
      <c r="Y212" s="5">
        <v>0</v>
      </c>
      <c r="Z212" s="5">
        <v>0</v>
      </c>
      <c r="AA212" s="5">
        <v>1</v>
      </c>
      <c r="AB212" s="5">
        <v>0</v>
      </c>
    </row>
    <row r="213" spans="1:28" ht="12.75">
      <c r="A213" s="5">
        <v>50</v>
      </c>
      <c r="B213" s="5">
        <v>0</v>
      </c>
      <c r="C213" s="5">
        <v>0</v>
      </c>
      <c r="D213" s="5">
        <v>1</v>
      </c>
      <c r="E213" s="5">
        <v>206</v>
      </c>
      <c r="F213" s="5">
        <f>ROUND(Source!T192,O213)</f>
        <v>0</v>
      </c>
      <c r="G213" s="5" t="s">
        <v>186</v>
      </c>
      <c r="H213" s="5" t="s">
        <v>187</v>
      </c>
      <c r="I213" s="5"/>
      <c r="J213" s="5"/>
      <c r="K213" s="5">
        <v>206</v>
      </c>
      <c r="L213" s="5">
        <v>20</v>
      </c>
      <c r="M213" s="5">
        <v>3</v>
      </c>
      <c r="N213" s="5" t="s">
        <v>3</v>
      </c>
      <c r="O213" s="5">
        <v>2</v>
      </c>
      <c r="P213" s="5">
        <f>ROUND(Source!DL192,O213)</f>
        <v>0</v>
      </c>
      <c r="Q213" s="5"/>
      <c r="R213" s="5"/>
      <c r="S213" s="5"/>
      <c r="T213" s="5"/>
      <c r="U213" s="5"/>
      <c r="V213" s="5"/>
      <c r="W213" s="5">
        <v>0</v>
      </c>
      <c r="X213" s="5">
        <v>1</v>
      </c>
      <c r="Y213" s="5">
        <v>0</v>
      </c>
      <c r="Z213" s="5">
        <v>0</v>
      </c>
      <c r="AA213" s="5">
        <v>1</v>
      </c>
      <c r="AB213" s="5">
        <v>0</v>
      </c>
    </row>
    <row r="214" spans="1:28" ht="12.75">
      <c r="A214" s="5">
        <v>50</v>
      </c>
      <c r="B214" s="5">
        <v>0</v>
      </c>
      <c r="C214" s="5">
        <v>0</v>
      </c>
      <c r="D214" s="5">
        <v>1</v>
      </c>
      <c r="E214" s="5">
        <v>207</v>
      </c>
      <c r="F214" s="5">
        <f>Source!U192</f>
        <v>2839.833835</v>
      </c>
      <c r="G214" s="5" t="s">
        <v>188</v>
      </c>
      <c r="H214" s="5" t="s">
        <v>189</v>
      </c>
      <c r="I214" s="5"/>
      <c r="J214" s="5"/>
      <c r="K214" s="5">
        <v>207</v>
      </c>
      <c r="L214" s="5">
        <v>21</v>
      </c>
      <c r="M214" s="5">
        <v>3</v>
      </c>
      <c r="N214" s="5" t="s">
        <v>3</v>
      </c>
      <c r="O214" s="5">
        <v>-1</v>
      </c>
      <c r="P214" s="5">
        <f>Source!DM192</f>
        <v>2839.833835</v>
      </c>
      <c r="Q214" s="5"/>
      <c r="R214" s="5"/>
      <c r="S214" s="5"/>
      <c r="T214" s="5"/>
      <c r="U214" s="5"/>
      <c r="V214" s="5"/>
      <c r="W214" s="5">
        <v>2839.833835</v>
      </c>
      <c r="X214" s="5">
        <v>1</v>
      </c>
      <c r="Y214" s="5">
        <v>2839.833835</v>
      </c>
      <c r="Z214" s="5">
        <v>2839.833835</v>
      </c>
      <c r="AA214" s="5">
        <v>1</v>
      </c>
      <c r="AB214" s="5">
        <v>2839.833835</v>
      </c>
    </row>
    <row r="215" spans="1:28" ht="12.75">
      <c r="A215" s="5">
        <v>50</v>
      </c>
      <c r="B215" s="5">
        <v>0</v>
      </c>
      <c r="C215" s="5">
        <v>0</v>
      </c>
      <c r="D215" s="5">
        <v>1</v>
      </c>
      <c r="E215" s="5">
        <v>208</v>
      </c>
      <c r="F215" s="5">
        <f>Source!V192</f>
        <v>30.044020000000003</v>
      </c>
      <c r="G215" s="5" t="s">
        <v>190</v>
      </c>
      <c r="H215" s="5" t="s">
        <v>191</v>
      </c>
      <c r="I215" s="5"/>
      <c r="J215" s="5"/>
      <c r="K215" s="5">
        <v>208</v>
      </c>
      <c r="L215" s="5">
        <v>22</v>
      </c>
      <c r="M215" s="5">
        <v>3</v>
      </c>
      <c r="N215" s="5" t="s">
        <v>3</v>
      </c>
      <c r="O215" s="5">
        <v>-1</v>
      </c>
      <c r="P215" s="5">
        <f>Source!DN192</f>
        <v>30.044020000000003</v>
      </c>
      <c r="Q215" s="5"/>
      <c r="R215" s="5"/>
      <c r="S215" s="5"/>
      <c r="T215" s="5"/>
      <c r="U215" s="5"/>
      <c r="V215" s="5"/>
      <c r="W215" s="5">
        <v>30.04402</v>
      </c>
      <c r="X215" s="5">
        <v>1</v>
      </c>
      <c r="Y215" s="5">
        <v>30.04402</v>
      </c>
      <c r="Z215" s="5">
        <v>30.04402</v>
      </c>
      <c r="AA215" s="5">
        <v>1</v>
      </c>
      <c r="AB215" s="5">
        <v>30.04402</v>
      </c>
    </row>
    <row r="216" spans="1:28" ht="12.75">
      <c r="A216" s="5">
        <v>50</v>
      </c>
      <c r="B216" s="5">
        <v>0</v>
      </c>
      <c r="C216" s="5">
        <v>0</v>
      </c>
      <c r="D216" s="5">
        <v>1</v>
      </c>
      <c r="E216" s="5">
        <v>209</v>
      </c>
      <c r="F216" s="5">
        <f>ROUND(Source!W192,O216)</f>
        <v>0</v>
      </c>
      <c r="G216" s="5" t="s">
        <v>192</v>
      </c>
      <c r="H216" s="5" t="s">
        <v>193</v>
      </c>
      <c r="I216" s="5"/>
      <c r="J216" s="5"/>
      <c r="K216" s="5">
        <v>209</v>
      </c>
      <c r="L216" s="5">
        <v>23</v>
      </c>
      <c r="M216" s="5">
        <v>3</v>
      </c>
      <c r="N216" s="5" t="s">
        <v>3</v>
      </c>
      <c r="O216" s="5">
        <v>2</v>
      </c>
      <c r="P216" s="5">
        <f>ROUND(Source!DO192,O216)</f>
        <v>0</v>
      </c>
      <c r="Q216" s="5"/>
      <c r="R216" s="5"/>
      <c r="S216" s="5"/>
      <c r="T216" s="5"/>
      <c r="U216" s="5"/>
      <c r="V216" s="5"/>
      <c r="W216" s="5">
        <v>0</v>
      </c>
      <c r="X216" s="5">
        <v>1</v>
      </c>
      <c r="Y216" s="5">
        <v>0</v>
      </c>
      <c r="Z216" s="5">
        <v>0</v>
      </c>
      <c r="AA216" s="5">
        <v>1</v>
      </c>
      <c r="AB216" s="5">
        <v>0</v>
      </c>
    </row>
    <row r="217" spans="1:28" ht="12.75">
      <c r="A217" s="5">
        <v>50</v>
      </c>
      <c r="B217" s="5">
        <v>0</v>
      </c>
      <c r="C217" s="5">
        <v>0</v>
      </c>
      <c r="D217" s="5">
        <v>1</v>
      </c>
      <c r="E217" s="5">
        <v>233</v>
      </c>
      <c r="F217" s="5">
        <f>ROUND(Source!BD192,O217)</f>
        <v>683.35</v>
      </c>
      <c r="G217" s="5" t="s">
        <v>194</v>
      </c>
      <c r="H217" s="5" t="s">
        <v>195</v>
      </c>
      <c r="I217" s="5"/>
      <c r="J217" s="5"/>
      <c r="K217" s="5">
        <v>233</v>
      </c>
      <c r="L217" s="5">
        <v>24</v>
      </c>
      <c r="M217" s="5">
        <v>3</v>
      </c>
      <c r="N217" s="5" t="s">
        <v>3</v>
      </c>
      <c r="O217" s="5">
        <v>2</v>
      </c>
      <c r="P217" s="5">
        <f>ROUND(Source!EV192,O217)</f>
        <v>683.35</v>
      </c>
      <c r="Q217" s="5"/>
      <c r="R217" s="5"/>
      <c r="S217" s="5"/>
      <c r="T217" s="5"/>
      <c r="U217" s="5"/>
      <c r="V217" s="5"/>
      <c r="W217" s="5">
        <v>683.35</v>
      </c>
      <c r="X217" s="5">
        <v>1</v>
      </c>
      <c r="Y217" s="5">
        <v>683.35</v>
      </c>
      <c r="Z217" s="5">
        <v>683.35</v>
      </c>
      <c r="AA217" s="5">
        <v>1</v>
      </c>
      <c r="AB217" s="5">
        <v>8863.05</v>
      </c>
    </row>
    <row r="218" spans="1:28" ht="12.75">
      <c r="A218" s="5">
        <v>50</v>
      </c>
      <c r="B218" s="5">
        <v>0</v>
      </c>
      <c r="C218" s="5">
        <v>0</v>
      </c>
      <c r="D218" s="5">
        <v>1</v>
      </c>
      <c r="E218" s="5">
        <v>210</v>
      </c>
      <c r="F218" s="5">
        <f>ROUND(Source!X192,O218)</f>
        <v>24762.17</v>
      </c>
      <c r="G218" s="5" t="s">
        <v>196</v>
      </c>
      <c r="H218" s="5" t="s">
        <v>197</v>
      </c>
      <c r="I218" s="5"/>
      <c r="J218" s="5"/>
      <c r="K218" s="5">
        <v>210</v>
      </c>
      <c r="L218" s="5">
        <v>25</v>
      </c>
      <c r="M218" s="5">
        <v>3</v>
      </c>
      <c r="N218" s="5" t="s">
        <v>3</v>
      </c>
      <c r="O218" s="5">
        <v>2</v>
      </c>
      <c r="P218" s="5">
        <f>ROUND(Source!DP192,O218)</f>
        <v>24762.17</v>
      </c>
      <c r="Q218" s="5"/>
      <c r="R218" s="5"/>
      <c r="S218" s="5"/>
      <c r="T218" s="5"/>
      <c r="U218" s="5"/>
      <c r="V218" s="5"/>
      <c r="W218" s="5">
        <v>24762.17</v>
      </c>
      <c r="X218" s="5">
        <v>1</v>
      </c>
      <c r="Y218" s="5">
        <v>24762.17</v>
      </c>
      <c r="Z218" s="5">
        <v>24762.17</v>
      </c>
      <c r="AA218" s="5">
        <v>1</v>
      </c>
      <c r="AB218" s="5">
        <v>903076.31</v>
      </c>
    </row>
    <row r="219" spans="1:28" ht="12.75">
      <c r="A219" s="5">
        <v>50</v>
      </c>
      <c r="B219" s="5">
        <v>0</v>
      </c>
      <c r="C219" s="5">
        <v>0</v>
      </c>
      <c r="D219" s="5">
        <v>1</v>
      </c>
      <c r="E219" s="5">
        <v>211</v>
      </c>
      <c r="F219" s="5">
        <f>ROUND(Source!Y192,O219)</f>
        <v>13584.85</v>
      </c>
      <c r="G219" s="5" t="s">
        <v>198</v>
      </c>
      <c r="H219" s="5" t="s">
        <v>199</v>
      </c>
      <c r="I219" s="5"/>
      <c r="J219" s="5"/>
      <c r="K219" s="5">
        <v>211</v>
      </c>
      <c r="L219" s="5">
        <v>26</v>
      </c>
      <c r="M219" s="5">
        <v>3</v>
      </c>
      <c r="N219" s="5" t="s">
        <v>3</v>
      </c>
      <c r="O219" s="5">
        <v>2</v>
      </c>
      <c r="P219" s="5">
        <f>ROUND(Source!DQ192,O219)</f>
        <v>13584.85</v>
      </c>
      <c r="Q219" s="5"/>
      <c r="R219" s="5"/>
      <c r="S219" s="5"/>
      <c r="T219" s="5"/>
      <c r="U219" s="5"/>
      <c r="V219" s="5"/>
      <c r="W219" s="5">
        <v>13584.85</v>
      </c>
      <c r="X219" s="5">
        <v>1</v>
      </c>
      <c r="Y219" s="5">
        <v>13584.85</v>
      </c>
      <c r="Z219" s="5">
        <v>13584.85</v>
      </c>
      <c r="AA219" s="5">
        <v>1</v>
      </c>
      <c r="AB219" s="5">
        <v>495439.03</v>
      </c>
    </row>
    <row r="220" spans="1:28" ht="12.75">
      <c r="A220" s="5">
        <v>50</v>
      </c>
      <c r="B220" s="5">
        <v>0</v>
      </c>
      <c r="C220" s="5">
        <v>0</v>
      </c>
      <c r="D220" s="5">
        <v>1</v>
      </c>
      <c r="E220" s="5">
        <v>0</v>
      </c>
      <c r="F220" s="5">
        <f>ROUND(Source!AR192,O220)</f>
        <v>100925.22</v>
      </c>
      <c r="G220" s="5" t="s">
        <v>200</v>
      </c>
      <c r="H220" s="5" t="s">
        <v>201</v>
      </c>
      <c r="I220" s="5"/>
      <c r="J220" s="5"/>
      <c r="K220" s="5">
        <v>224</v>
      </c>
      <c r="L220" s="5">
        <v>27</v>
      </c>
      <c r="M220" s="5">
        <v>3</v>
      </c>
      <c r="N220" s="5" t="s">
        <v>3</v>
      </c>
      <c r="O220" s="5">
        <v>2</v>
      </c>
      <c r="P220" s="5">
        <f>ROUND(Source!EJ192,O220)</f>
        <v>100925.22</v>
      </c>
      <c r="Q220" s="5"/>
      <c r="R220" s="5"/>
      <c r="S220" s="5"/>
      <c r="T220" s="5"/>
      <c r="U220" s="5"/>
      <c r="V220" s="5"/>
      <c r="W220" s="5">
        <v>100925.22</v>
      </c>
      <c r="X220" s="5">
        <v>1</v>
      </c>
      <c r="Y220" s="5">
        <v>100925.22</v>
      </c>
      <c r="Z220" s="5">
        <v>100925.22</v>
      </c>
      <c r="AA220" s="5">
        <v>1</v>
      </c>
      <c r="AB220" s="5">
        <v>2593738.13</v>
      </c>
    </row>
    <row r="221" spans="1:28" ht="12.75">
      <c r="A221" s="5">
        <v>50</v>
      </c>
      <c r="B221" s="5">
        <v>1</v>
      </c>
      <c r="C221" s="5">
        <v>0</v>
      </c>
      <c r="D221" s="5">
        <v>2</v>
      </c>
      <c r="E221" s="5">
        <v>0</v>
      </c>
      <c r="F221" s="5">
        <f>ROUND(F198,O221)</f>
        <v>31278.68</v>
      </c>
      <c r="G221" s="5" t="s">
        <v>230</v>
      </c>
      <c r="H221" s="5" t="s">
        <v>230</v>
      </c>
      <c r="I221" s="5"/>
      <c r="J221" s="5"/>
      <c r="K221" s="5">
        <v>212</v>
      </c>
      <c r="L221" s="5">
        <v>28</v>
      </c>
      <c r="M221" s="5">
        <v>0</v>
      </c>
      <c r="N221" s="5" t="s">
        <v>3</v>
      </c>
      <c r="O221" s="5">
        <v>2</v>
      </c>
      <c r="P221" s="5">
        <f>ROUND(P198,O221)</f>
        <v>31278.68</v>
      </c>
      <c r="Q221" s="5"/>
      <c r="R221" s="5"/>
      <c r="S221" s="5"/>
      <c r="T221" s="5"/>
      <c r="U221" s="5"/>
      <c r="V221" s="5"/>
      <c r="W221" s="5">
        <v>31278.68</v>
      </c>
      <c r="X221" s="5">
        <v>1</v>
      </c>
      <c r="Y221" s="5">
        <v>31278.68</v>
      </c>
      <c r="Z221" s="5">
        <v>31278.68</v>
      </c>
      <c r="AA221" s="5">
        <v>1</v>
      </c>
      <c r="AB221" s="5">
        <v>213320.6</v>
      </c>
    </row>
    <row r="222" spans="1:28" ht="12.75">
      <c r="A222" s="5">
        <v>50</v>
      </c>
      <c r="B222" s="5">
        <v>1</v>
      </c>
      <c r="C222" s="5">
        <v>0</v>
      </c>
      <c r="D222" s="5">
        <v>2</v>
      </c>
      <c r="E222" s="5">
        <v>0</v>
      </c>
      <c r="F222" s="5">
        <f>ROUND(F220,O222)</f>
        <v>100925.22</v>
      </c>
      <c r="G222" s="5" t="s">
        <v>237</v>
      </c>
      <c r="H222" s="5" t="s">
        <v>200</v>
      </c>
      <c r="I222" s="5"/>
      <c r="J222" s="5"/>
      <c r="K222" s="5">
        <v>212</v>
      </c>
      <c r="L222" s="5">
        <v>29</v>
      </c>
      <c r="M222" s="5">
        <v>0</v>
      </c>
      <c r="N222" s="5" t="s">
        <v>3</v>
      </c>
      <c r="O222" s="5">
        <v>2</v>
      </c>
      <c r="P222" s="5">
        <f>ROUND(P220,O222)</f>
        <v>100925.22</v>
      </c>
      <c r="Q222" s="5"/>
      <c r="R222" s="5"/>
      <c r="S222" s="5"/>
      <c r="T222" s="5"/>
      <c r="U222" s="5"/>
      <c r="V222" s="5"/>
      <c r="W222" s="5">
        <v>100925.22</v>
      </c>
      <c r="X222" s="5">
        <v>1</v>
      </c>
      <c r="Y222" s="5">
        <v>100925.22</v>
      </c>
      <c r="Z222" s="5">
        <v>100925.22</v>
      </c>
      <c r="AA222" s="5">
        <v>1</v>
      </c>
      <c r="AB222" s="5">
        <v>2593738.13</v>
      </c>
    </row>
    <row r="223" spans="1:28" ht="12.75">
      <c r="A223" s="5">
        <v>50</v>
      </c>
      <c r="B223" s="5">
        <v>1</v>
      </c>
      <c r="C223" s="5">
        <v>0</v>
      </c>
      <c r="D223" s="5">
        <v>2</v>
      </c>
      <c r="E223" s="5">
        <v>0</v>
      </c>
      <c r="F223" s="5">
        <f>ROUND(F222*0.2,O223)</f>
        <v>20185.04</v>
      </c>
      <c r="G223" s="5" t="s">
        <v>238</v>
      </c>
      <c r="H223" s="5" t="s">
        <v>234</v>
      </c>
      <c r="I223" s="5"/>
      <c r="J223" s="5"/>
      <c r="K223" s="5">
        <v>212</v>
      </c>
      <c r="L223" s="5">
        <v>32</v>
      </c>
      <c r="M223" s="5">
        <v>0</v>
      </c>
      <c r="N223" s="5" t="s">
        <v>3</v>
      </c>
      <c r="O223" s="5">
        <v>2</v>
      </c>
      <c r="P223" s="5">
        <f>ROUND(P222*0.2,O223)</f>
        <v>20185.04</v>
      </c>
      <c r="Q223" s="5"/>
      <c r="R223" s="5"/>
      <c r="S223" s="5"/>
      <c r="T223" s="5"/>
      <c r="U223" s="5"/>
      <c r="V223" s="5"/>
      <c r="W223" s="5">
        <v>20185.04</v>
      </c>
      <c r="X223" s="5">
        <v>1</v>
      </c>
      <c r="Y223" s="5">
        <v>20185.04</v>
      </c>
      <c r="Z223" s="5">
        <v>20185.04</v>
      </c>
      <c r="AA223" s="5">
        <v>1</v>
      </c>
      <c r="AB223" s="5">
        <v>518747.63</v>
      </c>
    </row>
    <row r="224" spans="1:28" ht="12.75">
      <c r="A224" s="5">
        <v>50</v>
      </c>
      <c r="B224" s="5">
        <v>1</v>
      </c>
      <c r="C224" s="5">
        <v>0</v>
      </c>
      <c r="D224" s="5">
        <v>2</v>
      </c>
      <c r="E224" s="5">
        <v>224</v>
      </c>
      <c r="F224" s="5">
        <f>ROUND(F222+F223,O224)</f>
        <v>121110.26</v>
      </c>
      <c r="G224" s="5" t="s">
        <v>239</v>
      </c>
      <c r="H224" s="5" t="s">
        <v>235</v>
      </c>
      <c r="I224" s="5"/>
      <c r="J224" s="5"/>
      <c r="K224" s="5">
        <v>212</v>
      </c>
      <c r="L224" s="5">
        <v>33</v>
      </c>
      <c r="M224" s="5">
        <v>0</v>
      </c>
      <c r="N224" s="5" t="s">
        <v>3</v>
      </c>
      <c r="O224" s="5">
        <v>2</v>
      </c>
      <c r="P224" s="5">
        <f>ROUND(P222+P223,O224)</f>
        <v>121110.26</v>
      </c>
      <c r="Q224" s="5"/>
      <c r="R224" s="5"/>
      <c r="S224" s="5"/>
      <c r="T224" s="5"/>
      <c r="U224" s="5"/>
      <c r="V224" s="5"/>
      <c r="W224" s="5">
        <v>121110.26</v>
      </c>
      <c r="X224" s="5">
        <v>1</v>
      </c>
      <c r="Y224" s="5">
        <v>121110.26</v>
      </c>
      <c r="Z224" s="5">
        <v>121110.26</v>
      </c>
      <c r="AA224" s="5">
        <v>1</v>
      </c>
      <c r="AB224" s="5">
        <v>3112485.76</v>
      </c>
    </row>
    <row r="226" spans="1:8" ht="12.75">
      <c r="A226" s="6">
        <v>61</v>
      </c>
      <c r="B226" s="6"/>
      <c r="C226" s="6"/>
      <c r="D226" s="6"/>
      <c r="E226" s="6"/>
      <c r="F226" s="6">
        <v>3</v>
      </c>
      <c r="G226" s="6" t="s">
        <v>240</v>
      </c>
      <c r="H226" s="6" t="s">
        <v>241</v>
      </c>
    </row>
    <row r="227" spans="1:8" ht="12.75">
      <c r="A227" s="6">
        <v>61</v>
      </c>
      <c r="B227" s="6"/>
      <c r="C227" s="6"/>
      <c r="D227" s="6"/>
      <c r="E227" s="6"/>
      <c r="F227" s="6">
        <v>2</v>
      </c>
      <c r="G227" s="6" t="s">
        <v>242</v>
      </c>
      <c r="H227" s="6" t="s">
        <v>241</v>
      </c>
    </row>
    <row r="228" spans="1:8" ht="12.75">
      <c r="A228" s="6">
        <v>61</v>
      </c>
      <c r="B228" s="6"/>
      <c r="C228" s="6"/>
      <c r="D228" s="6"/>
      <c r="E228" s="6"/>
      <c r="F228" s="6">
        <v>1</v>
      </c>
      <c r="G228" s="6" t="s">
        <v>243</v>
      </c>
      <c r="H228" s="6" t="s">
        <v>241</v>
      </c>
    </row>
    <row r="231" spans="1:16" ht="12.75">
      <c r="A231">
        <v>70</v>
      </c>
      <c r="B231">
        <v>1</v>
      </c>
      <c r="D231">
        <v>1</v>
      </c>
      <c r="E231" t="s">
        <v>244</v>
      </c>
      <c r="F231" t="s">
        <v>245</v>
      </c>
      <c r="G231">
        <v>0</v>
      </c>
      <c r="H231">
        <v>0</v>
      </c>
      <c r="J231">
        <v>1</v>
      </c>
      <c r="K231">
        <v>0</v>
      </c>
      <c r="N231">
        <v>0</v>
      </c>
      <c r="O231">
        <v>0</v>
      </c>
      <c r="P231" t="s">
        <v>246</v>
      </c>
    </row>
    <row r="232" spans="1:16" ht="12.75">
      <c r="A232">
        <v>70</v>
      </c>
      <c r="B232">
        <v>1</v>
      </c>
      <c r="D232">
        <v>2</v>
      </c>
      <c r="E232" t="s">
        <v>247</v>
      </c>
      <c r="F232" t="s">
        <v>248</v>
      </c>
      <c r="G232">
        <v>1</v>
      </c>
      <c r="H232">
        <v>0</v>
      </c>
      <c r="J232">
        <v>1</v>
      </c>
      <c r="K232">
        <v>0</v>
      </c>
      <c r="N232">
        <v>0</v>
      </c>
      <c r="O232">
        <v>1</v>
      </c>
      <c r="P232" t="s">
        <v>249</v>
      </c>
    </row>
    <row r="233" spans="1:16" ht="12.75">
      <c r="A233">
        <v>70</v>
      </c>
      <c r="B233">
        <v>1</v>
      </c>
      <c r="D233">
        <v>3</v>
      </c>
      <c r="E233" t="s">
        <v>250</v>
      </c>
      <c r="F233" t="s">
        <v>251</v>
      </c>
      <c r="G233">
        <v>0</v>
      </c>
      <c r="H233">
        <v>0</v>
      </c>
      <c r="J233">
        <v>1</v>
      </c>
      <c r="K233">
        <v>0</v>
      </c>
      <c r="N233">
        <v>0</v>
      </c>
      <c r="O233">
        <v>0</v>
      </c>
      <c r="P233" t="s">
        <v>252</v>
      </c>
    </row>
    <row r="234" spans="1:16" ht="12.75">
      <c r="A234">
        <v>70</v>
      </c>
      <c r="B234">
        <v>1</v>
      </c>
      <c r="D234">
        <v>4</v>
      </c>
      <c r="E234" t="s">
        <v>253</v>
      </c>
      <c r="F234" t="s">
        <v>254</v>
      </c>
      <c r="G234">
        <v>1</v>
      </c>
      <c r="H234">
        <v>0</v>
      </c>
      <c r="J234">
        <v>2</v>
      </c>
      <c r="K234">
        <v>0</v>
      </c>
      <c r="N234">
        <v>0</v>
      </c>
      <c r="O234">
        <v>1</v>
      </c>
    </row>
    <row r="235" spans="1:16" ht="12.75">
      <c r="A235">
        <v>70</v>
      </c>
      <c r="B235">
        <v>1</v>
      </c>
      <c r="D235">
        <v>5</v>
      </c>
      <c r="E235" t="s">
        <v>255</v>
      </c>
      <c r="F235" t="s">
        <v>256</v>
      </c>
      <c r="G235">
        <v>0</v>
      </c>
      <c r="H235">
        <v>0</v>
      </c>
      <c r="J235">
        <v>2</v>
      </c>
      <c r="K235">
        <v>0</v>
      </c>
      <c r="N235">
        <v>0</v>
      </c>
      <c r="O235">
        <v>0</v>
      </c>
    </row>
    <row r="236" spans="1:16" ht="12.75">
      <c r="A236">
        <v>70</v>
      </c>
      <c r="B236">
        <v>1</v>
      </c>
      <c r="D236">
        <v>6</v>
      </c>
      <c r="E236" t="s">
        <v>257</v>
      </c>
      <c r="F236" t="s">
        <v>258</v>
      </c>
      <c r="G236">
        <v>0</v>
      </c>
      <c r="H236">
        <v>0</v>
      </c>
      <c r="J236">
        <v>2</v>
      </c>
      <c r="K236">
        <v>0</v>
      </c>
      <c r="N236">
        <v>0</v>
      </c>
      <c r="O236">
        <v>0</v>
      </c>
    </row>
    <row r="237" spans="1:16" ht="12.75">
      <c r="A237">
        <v>70</v>
      </c>
      <c r="B237">
        <v>1</v>
      </c>
      <c r="D237">
        <v>7</v>
      </c>
      <c r="E237" t="s">
        <v>259</v>
      </c>
      <c r="F237" t="s">
        <v>260</v>
      </c>
      <c r="G237">
        <v>0</v>
      </c>
      <c r="H237">
        <v>0</v>
      </c>
      <c r="I237" t="s">
        <v>261</v>
      </c>
      <c r="J237">
        <v>0</v>
      </c>
      <c r="K237">
        <v>0</v>
      </c>
      <c r="N237">
        <v>0</v>
      </c>
      <c r="O237">
        <v>0</v>
      </c>
      <c r="P237" t="s">
        <v>262</v>
      </c>
    </row>
    <row r="238" spans="1:16" ht="12.75">
      <c r="A238">
        <v>70</v>
      </c>
      <c r="B238">
        <v>1</v>
      </c>
      <c r="D238">
        <v>8</v>
      </c>
      <c r="E238" t="s">
        <v>263</v>
      </c>
      <c r="F238" t="s">
        <v>264</v>
      </c>
      <c r="G238">
        <v>1</v>
      </c>
      <c r="H238">
        <v>0</v>
      </c>
      <c r="J238">
        <v>5</v>
      </c>
      <c r="K238">
        <v>0</v>
      </c>
      <c r="N238">
        <v>0</v>
      </c>
      <c r="O238">
        <v>1</v>
      </c>
    </row>
    <row r="239" spans="1:16" ht="12.75">
      <c r="A239">
        <v>70</v>
      </c>
      <c r="B239">
        <v>1</v>
      </c>
      <c r="D239">
        <v>9</v>
      </c>
      <c r="E239" t="s">
        <v>265</v>
      </c>
      <c r="F239" t="s">
        <v>266</v>
      </c>
      <c r="G239">
        <v>0</v>
      </c>
      <c r="H239">
        <v>0</v>
      </c>
      <c r="J239">
        <v>5</v>
      </c>
      <c r="K239">
        <v>0</v>
      </c>
      <c r="N239">
        <v>0</v>
      </c>
      <c r="O239">
        <v>0</v>
      </c>
    </row>
    <row r="240" spans="1:16" ht="12.75">
      <c r="A240">
        <v>70</v>
      </c>
      <c r="B240">
        <v>1</v>
      </c>
      <c r="D240">
        <v>10</v>
      </c>
      <c r="E240" t="s">
        <v>267</v>
      </c>
      <c r="F240" t="s">
        <v>268</v>
      </c>
      <c r="G240">
        <v>0</v>
      </c>
      <c r="H240">
        <v>0</v>
      </c>
      <c r="I240" t="s">
        <v>269</v>
      </c>
      <c r="J240">
        <v>5</v>
      </c>
      <c r="K240">
        <v>0</v>
      </c>
      <c r="N240">
        <v>0</v>
      </c>
      <c r="O240">
        <v>0</v>
      </c>
      <c r="P240" t="s">
        <v>270</v>
      </c>
    </row>
    <row r="241" spans="1:16" ht="12.75">
      <c r="A241">
        <v>70</v>
      </c>
      <c r="B241">
        <v>1</v>
      </c>
      <c r="D241">
        <v>11</v>
      </c>
      <c r="E241" t="s">
        <v>271</v>
      </c>
      <c r="F241" t="s">
        <v>272</v>
      </c>
      <c r="G241">
        <v>0</v>
      </c>
      <c r="H241">
        <v>0</v>
      </c>
      <c r="I241" t="s">
        <v>273</v>
      </c>
      <c r="J241">
        <v>0</v>
      </c>
      <c r="K241">
        <v>0</v>
      </c>
      <c r="N241">
        <v>0</v>
      </c>
      <c r="O241">
        <v>0</v>
      </c>
      <c r="P241" t="s">
        <v>274</v>
      </c>
    </row>
    <row r="242" spans="1:16" ht="12.75">
      <c r="A242">
        <v>70</v>
      </c>
      <c r="B242">
        <v>1</v>
      </c>
      <c r="D242">
        <v>12</v>
      </c>
      <c r="E242" t="s">
        <v>275</v>
      </c>
      <c r="F242" t="s">
        <v>276</v>
      </c>
      <c r="G242">
        <v>0</v>
      </c>
      <c r="H242">
        <v>0</v>
      </c>
      <c r="I242" t="s">
        <v>277</v>
      </c>
      <c r="J242">
        <v>0</v>
      </c>
      <c r="K242">
        <v>0</v>
      </c>
      <c r="N242">
        <v>0</v>
      </c>
      <c r="O242">
        <v>0</v>
      </c>
      <c r="P242" t="s">
        <v>278</v>
      </c>
    </row>
    <row r="243" spans="1:16" ht="12.75">
      <c r="A243">
        <v>70</v>
      </c>
      <c r="B243">
        <v>1</v>
      </c>
      <c r="D243">
        <v>13</v>
      </c>
      <c r="E243" t="s">
        <v>279</v>
      </c>
      <c r="F243" t="s">
        <v>280</v>
      </c>
      <c r="G243">
        <v>0</v>
      </c>
      <c r="H243">
        <v>0</v>
      </c>
      <c r="I243" t="s">
        <v>281</v>
      </c>
      <c r="J243">
        <v>0</v>
      </c>
      <c r="K243">
        <v>0</v>
      </c>
      <c r="N243">
        <v>0</v>
      </c>
      <c r="O243">
        <v>0</v>
      </c>
      <c r="P243" t="s">
        <v>282</v>
      </c>
    </row>
    <row r="244" spans="1:16" ht="12.75">
      <c r="A244">
        <v>70</v>
      </c>
      <c r="B244">
        <v>1</v>
      </c>
      <c r="D244">
        <v>14</v>
      </c>
      <c r="E244" t="s">
        <v>283</v>
      </c>
      <c r="F244" t="s">
        <v>284</v>
      </c>
      <c r="G244">
        <v>0</v>
      </c>
      <c r="H244">
        <v>0</v>
      </c>
      <c r="J244">
        <v>0</v>
      </c>
      <c r="K244">
        <v>0</v>
      </c>
      <c r="N244">
        <v>0</v>
      </c>
      <c r="O244">
        <v>0</v>
      </c>
      <c r="P244" t="s">
        <v>285</v>
      </c>
    </row>
    <row r="245" spans="1:16" ht="12.75">
      <c r="A245">
        <v>70</v>
      </c>
      <c r="B245">
        <v>1</v>
      </c>
      <c r="D245">
        <v>15</v>
      </c>
      <c r="E245" t="s">
        <v>286</v>
      </c>
      <c r="F245" t="s">
        <v>287</v>
      </c>
      <c r="G245">
        <v>0</v>
      </c>
      <c r="H245">
        <v>0</v>
      </c>
      <c r="J245">
        <v>3</v>
      </c>
      <c r="K245">
        <v>0</v>
      </c>
      <c r="N245">
        <v>0</v>
      </c>
      <c r="O245">
        <v>0</v>
      </c>
    </row>
    <row r="246" spans="1:16" ht="12.75">
      <c r="A246">
        <v>70</v>
      </c>
      <c r="B246">
        <v>1</v>
      </c>
      <c r="D246">
        <v>16</v>
      </c>
      <c r="E246" t="s">
        <v>288</v>
      </c>
      <c r="F246" t="s">
        <v>289</v>
      </c>
      <c r="G246">
        <v>1</v>
      </c>
      <c r="H246">
        <v>0</v>
      </c>
      <c r="J246">
        <v>3</v>
      </c>
      <c r="K246">
        <v>0</v>
      </c>
      <c r="N246">
        <v>0</v>
      </c>
      <c r="O246">
        <v>1</v>
      </c>
    </row>
    <row r="247" spans="1:16" ht="12.75">
      <c r="A247">
        <v>70</v>
      </c>
      <c r="B247">
        <v>1</v>
      </c>
      <c r="D247">
        <v>1</v>
      </c>
      <c r="E247" t="s">
        <v>290</v>
      </c>
      <c r="F247" t="s">
        <v>291</v>
      </c>
      <c r="G247">
        <v>0.9</v>
      </c>
      <c r="H247">
        <v>1</v>
      </c>
      <c r="I247" t="s">
        <v>292</v>
      </c>
      <c r="J247">
        <v>0</v>
      </c>
      <c r="K247">
        <v>0</v>
      </c>
      <c r="N247">
        <v>0</v>
      </c>
      <c r="O247">
        <v>0.9</v>
      </c>
      <c r="P247" t="s">
        <v>293</v>
      </c>
    </row>
    <row r="248" spans="1:16" ht="12.75">
      <c r="A248">
        <v>70</v>
      </c>
      <c r="B248">
        <v>1</v>
      </c>
      <c r="D248">
        <v>2</v>
      </c>
      <c r="E248" t="s">
        <v>294</v>
      </c>
      <c r="F248" t="s">
        <v>295</v>
      </c>
      <c r="G248">
        <v>0.85</v>
      </c>
      <c r="H248">
        <v>1</v>
      </c>
      <c r="I248" t="s">
        <v>296</v>
      </c>
      <c r="J248">
        <v>0</v>
      </c>
      <c r="K248">
        <v>0</v>
      </c>
      <c r="N248">
        <v>0</v>
      </c>
      <c r="O248">
        <v>0.85</v>
      </c>
      <c r="P248" t="s">
        <v>297</v>
      </c>
    </row>
    <row r="249" spans="1:16" ht="12.75">
      <c r="A249">
        <v>70</v>
      </c>
      <c r="B249">
        <v>1</v>
      </c>
      <c r="D249">
        <v>3</v>
      </c>
      <c r="E249" t="s">
        <v>298</v>
      </c>
      <c r="F249" t="s">
        <v>299</v>
      </c>
      <c r="G249">
        <v>1.03</v>
      </c>
      <c r="H249">
        <v>0</v>
      </c>
      <c r="J249">
        <v>0</v>
      </c>
      <c r="K249">
        <v>0</v>
      </c>
      <c r="N249">
        <v>0</v>
      </c>
      <c r="O249">
        <v>1.03</v>
      </c>
      <c r="P249" t="s">
        <v>300</v>
      </c>
    </row>
    <row r="250" spans="1:16" ht="12.75">
      <c r="A250">
        <v>70</v>
      </c>
      <c r="B250">
        <v>1</v>
      </c>
      <c r="D250">
        <v>4</v>
      </c>
      <c r="E250" t="s">
        <v>301</v>
      </c>
      <c r="F250" t="s">
        <v>302</v>
      </c>
      <c r="G250">
        <v>1.15</v>
      </c>
      <c r="H250">
        <v>0</v>
      </c>
      <c r="J250">
        <v>0</v>
      </c>
      <c r="K250">
        <v>0</v>
      </c>
      <c r="N250">
        <v>0</v>
      </c>
      <c r="O250">
        <v>1.15</v>
      </c>
      <c r="P250" t="s">
        <v>303</v>
      </c>
    </row>
    <row r="251" spans="1:16" ht="12.75">
      <c r="A251">
        <v>70</v>
      </c>
      <c r="B251">
        <v>1</v>
      </c>
      <c r="D251">
        <v>5</v>
      </c>
      <c r="E251" t="s">
        <v>304</v>
      </c>
      <c r="F251" t="s">
        <v>305</v>
      </c>
      <c r="G251">
        <v>7</v>
      </c>
      <c r="H251">
        <v>0</v>
      </c>
      <c r="J251">
        <v>0</v>
      </c>
      <c r="K251">
        <v>0</v>
      </c>
      <c r="N251">
        <v>0</v>
      </c>
      <c r="O251">
        <v>7</v>
      </c>
    </row>
    <row r="252" spans="1:16" ht="12.75">
      <c r="A252">
        <v>70</v>
      </c>
      <c r="B252">
        <v>1</v>
      </c>
      <c r="D252">
        <v>6</v>
      </c>
      <c r="E252" t="s">
        <v>306</v>
      </c>
      <c r="G252">
        <v>2</v>
      </c>
      <c r="H252">
        <v>0</v>
      </c>
      <c r="J252">
        <v>0</v>
      </c>
      <c r="K252">
        <v>0</v>
      </c>
      <c r="N252">
        <v>0</v>
      </c>
      <c r="O252">
        <v>2</v>
      </c>
    </row>
    <row r="254" ht="12.75">
      <c r="A254">
        <v>-1</v>
      </c>
    </row>
    <row r="256" spans="1:15" ht="12.75">
      <c r="A256" s="4">
        <v>75</v>
      </c>
      <c r="B256" s="4" t="s">
        <v>307</v>
      </c>
      <c r="C256" s="4">
        <v>2000</v>
      </c>
      <c r="D256" s="4">
        <v>0</v>
      </c>
      <c r="E256" s="4">
        <v>1</v>
      </c>
      <c r="F256" s="4"/>
      <c r="G256" s="4">
        <v>0</v>
      </c>
      <c r="H256" s="4">
        <v>1</v>
      </c>
      <c r="I256" s="4">
        <v>0</v>
      </c>
      <c r="J256" s="4">
        <v>1</v>
      </c>
      <c r="K256" s="4">
        <v>0</v>
      </c>
      <c r="L256" s="4">
        <v>0</v>
      </c>
      <c r="M256" s="4">
        <v>0</v>
      </c>
      <c r="N256" s="4">
        <v>55454918</v>
      </c>
      <c r="O256" s="4">
        <v>1</v>
      </c>
    </row>
    <row r="257" spans="1:15" ht="12.75">
      <c r="A257" s="4">
        <v>75</v>
      </c>
      <c r="B257" s="4" t="s">
        <v>308</v>
      </c>
      <c r="C257" s="4">
        <v>2023</v>
      </c>
      <c r="D257" s="4">
        <v>1</v>
      </c>
      <c r="E257" s="4">
        <v>0</v>
      </c>
      <c r="F257" s="4"/>
      <c r="G257" s="4">
        <v>0</v>
      </c>
      <c r="H257" s="4">
        <v>1</v>
      </c>
      <c r="I257" s="4">
        <v>0</v>
      </c>
      <c r="J257" s="4">
        <v>1</v>
      </c>
      <c r="K257" s="4">
        <v>0</v>
      </c>
      <c r="L257" s="4">
        <v>0</v>
      </c>
      <c r="M257" s="4">
        <v>1</v>
      </c>
      <c r="N257" s="4">
        <v>55454919</v>
      </c>
      <c r="O257" s="4">
        <v>2</v>
      </c>
    </row>
    <row r="258" spans="1:40" ht="12.75">
      <c r="A258" s="7">
        <v>3</v>
      </c>
      <c r="B258" s="7" t="s">
        <v>309</v>
      </c>
      <c r="C258" s="7">
        <v>1</v>
      </c>
      <c r="D258" s="7">
        <v>6.82</v>
      </c>
      <c r="E258" s="7">
        <v>12.97</v>
      </c>
      <c r="F258" s="7">
        <v>36.47</v>
      </c>
      <c r="G258" s="7">
        <v>36.47</v>
      </c>
      <c r="H258" s="7">
        <v>1</v>
      </c>
      <c r="I258" s="7">
        <v>1</v>
      </c>
      <c r="J258" s="7">
        <v>2</v>
      </c>
      <c r="K258" s="7">
        <v>1</v>
      </c>
      <c r="L258" s="7">
        <v>12.97</v>
      </c>
      <c r="M258" s="7">
        <v>1</v>
      </c>
      <c r="N258" s="7">
        <v>6.82</v>
      </c>
      <c r="O258" s="7">
        <v>1</v>
      </c>
      <c r="P258" s="7">
        <v>1</v>
      </c>
      <c r="Q258" s="7">
        <v>1</v>
      </c>
      <c r="R258" s="7">
        <v>12.97</v>
      </c>
      <c r="S258" s="7" t="s">
        <v>3</v>
      </c>
      <c r="T258" s="7" t="s">
        <v>3</v>
      </c>
      <c r="U258" s="7" t="s">
        <v>3</v>
      </c>
      <c r="V258" s="7" t="s">
        <v>3</v>
      </c>
      <c r="W258" s="7" t="s">
        <v>3</v>
      </c>
      <c r="X258" s="7" t="s">
        <v>3</v>
      </c>
      <c r="Y258" s="7" t="s">
        <v>3</v>
      </c>
      <c r="Z258" s="7" t="s">
        <v>3</v>
      </c>
      <c r="AA258" s="7" t="s">
        <v>3</v>
      </c>
      <c r="AB258" s="7" t="s">
        <v>3</v>
      </c>
      <c r="AC258" s="7" t="s">
        <v>3</v>
      </c>
      <c r="AD258" s="7" t="s">
        <v>3</v>
      </c>
      <c r="AE258" s="7" t="s">
        <v>3</v>
      </c>
      <c r="AF258" s="7" t="s">
        <v>3</v>
      </c>
      <c r="AG258" s="7" t="s">
        <v>3</v>
      </c>
      <c r="AH258" s="7" t="s">
        <v>3</v>
      </c>
      <c r="AI258" s="7"/>
      <c r="AJ258" s="7"/>
      <c r="AK258" s="7"/>
      <c r="AL258" s="7"/>
      <c r="AM258" s="7"/>
      <c r="AN258" s="7">
        <v>55454920</v>
      </c>
    </row>
    <row r="262" spans="1:5" ht="12.75">
      <c r="A262">
        <v>65</v>
      </c>
      <c r="C262">
        <v>1</v>
      </c>
      <c r="D262">
        <v>0</v>
      </c>
      <c r="E262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C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310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55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408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55454918</v>
      </c>
      <c r="E14" s="1">
        <v>55454919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0</v>
      </c>
      <c r="C16" s="8" t="s">
        <v>3</v>
      </c>
      <c r="D16" s="8" t="s">
        <v>3</v>
      </c>
      <c r="E16" s="9">
        <v>100.93</v>
      </c>
      <c r="F16" s="9">
        <v>0</v>
      </c>
      <c r="G16" s="9">
        <v>0</v>
      </c>
      <c r="H16" s="9">
        <v>0</v>
      </c>
      <c r="I16" s="9">
        <v>100.93</v>
      </c>
      <c r="J16" s="9">
        <v>24.87</v>
      </c>
      <c r="T16" s="10">
        <v>2593.74</v>
      </c>
      <c r="U16" s="10">
        <v>0</v>
      </c>
      <c r="V16" s="10">
        <v>0</v>
      </c>
      <c r="W16" s="10">
        <v>0</v>
      </c>
      <c r="X16" s="10">
        <v>2593.74</v>
      </c>
      <c r="Y16" s="10">
        <v>906.86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62578.2</v>
      </c>
      <c r="AU16" s="9">
        <v>31278.68</v>
      </c>
      <c r="AV16" s="9">
        <v>0</v>
      </c>
      <c r="AW16" s="9">
        <v>0</v>
      </c>
      <c r="AX16" s="9">
        <v>0</v>
      </c>
      <c r="AY16" s="9">
        <v>6107.77</v>
      </c>
      <c r="AZ16" s="9">
        <v>357.44</v>
      </c>
      <c r="BA16" s="9">
        <v>24508.399999999998</v>
      </c>
      <c r="BB16" s="9">
        <v>100925.22</v>
      </c>
      <c r="BC16" s="9">
        <v>0</v>
      </c>
      <c r="BD16" s="9">
        <v>0</v>
      </c>
      <c r="BE16" s="9">
        <v>0</v>
      </c>
      <c r="BF16" s="9">
        <v>2839.833835</v>
      </c>
      <c r="BG16" s="9">
        <v>30.04402</v>
      </c>
      <c r="BH16" s="9">
        <v>0</v>
      </c>
      <c r="BI16" s="9">
        <v>24762.17</v>
      </c>
      <c r="BJ16" s="9">
        <v>13584.85</v>
      </c>
      <c r="BK16" s="9">
        <v>121110.26</v>
      </c>
      <c r="BR16" s="10">
        <v>1195222.79</v>
      </c>
      <c r="BS16" s="10">
        <v>0</v>
      </c>
      <c r="BT16" s="10">
        <v>0</v>
      </c>
      <c r="BU16" s="10">
        <v>0</v>
      </c>
      <c r="BV16" s="10">
        <v>0</v>
      </c>
      <c r="BW16" s="10">
        <v>79217.78</v>
      </c>
      <c r="BX16" s="10">
        <v>13035.840000000002</v>
      </c>
      <c r="BY16" s="10">
        <v>893821.3599999999</v>
      </c>
      <c r="BZ16" s="10">
        <v>2593738.13</v>
      </c>
      <c r="CA16" s="10">
        <v>0</v>
      </c>
      <c r="CB16" s="10">
        <v>0</v>
      </c>
      <c r="CC16" s="10">
        <v>0</v>
      </c>
      <c r="CD16" s="10">
        <v>2839.833835</v>
      </c>
      <c r="CE16" s="10">
        <v>30.04402</v>
      </c>
      <c r="CF16" s="10">
        <v>0</v>
      </c>
      <c r="CG16" s="10">
        <v>903076.31</v>
      </c>
      <c r="CH16" s="10">
        <v>495439.03</v>
      </c>
      <c r="CI16" s="10">
        <v>3112485.76</v>
      </c>
    </row>
    <row r="18" spans="1:40" ht="12.75">
      <c r="A18">
        <v>51</v>
      </c>
      <c r="E18" s="6">
        <f>SUMIF(A16:A17,3,E16:E17)</f>
        <v>100.93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100.93</v>
      </c>
      <c r="J18" s="6">
        <f>SUMIF(A16:A17,3,J16:J17)</f>
        <v>24.87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2593.74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2593.74</v>
      </c>
      <c r="Y18" s="3">
        <f>SUMIF(A16:A17,3,Y16:Y17)</f>
        <v>906.86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62578.2</v>
      </c>
      <c r="G20" s="5" t="s">
        <v>148</v>
      </c>
      <c r="H20" s="5" t="s">
        <v>149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1195222.79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31278.68</v>
      </c>
      <c r="G21" s="5" t="s">
        <v>150</v>
      </c>
      <c r="H21" s="5" t="s">
        <v>151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0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152</v>
      </c>
      <c r="H22" s="5" t="s">
        <v>153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31278.68</v>
      </c>
      <c r="G23" s="5" t="s">
        <v>154</v>
      </c>
      <c r="H23" s="5" t="s">
        <v>155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0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31278.68</v>
      </c>
      <c r="G24" s="5" t="s">
        <v>156</v>
      </c>
      <c r="H24" s="5" t="s">
        <v>157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213320.6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158</v>
      </c>
      <c r="H25" s="5" t="s">
        <v>159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1</v>
      </c>
      <c r="C26" s="5">
        <v>0</v>
      </c>
      <c r="D26" s="5">
        <v>1</v>
      </c>
      <c r="E26" s="5">
        <v>228</v>
      </c>
      <c r="F26" s="5">
        <v>31278.68</v>
      </c>
      <c r="G26" s="5" t="s">
        <v>160</v>
      </c>
      <c r="H26" s="5" t="s">
        <v>161</v>
      </c>
      <c r="I26" s="5"/>
      <c r="J26" s="5"/>
      <c r="K26" s="5">
        <v>228</v>
      </c>
      <c r="L26" s="5">
        <v>7</v>
      </c>
      <c r="M26" s="5">
        <v>0</v>
      </c>
      <c r="N26" s="5" t="s">
        <v>3</v>
      </c>
      <c r="O26" s="5">
        <v>2</v>
      </c>
      <c r="P26" s="5">
        <v>213320.6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162</v>
      </c>
      <c r="H27" s="5" t="s">
        <v>163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164</v>
      </c>
      <c r="H28" s="5" t="s">
        <v>165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166</v>
      </c>
      <c r="H29" s="5" t="s">
        <v>167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6107.77</v>
      </c>
      <c r="G30" s="5" t="s">
        <v>168</v>
      </c>
      <c r="H30" s="5" t="s">
        <v>169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79217.78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170</v>
      </c>
      <c r="H31" s="5" t="s">
        <v>171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357.44</v>
      </c>
      <c r="G32" s="5" t="s">
        <v>172</v>
      </c>
      <c r="H32" s="5" t="s">
        <v>173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13035.840000000002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24508.399999999998</v>
      </c>
      <c r="G33" s="5" t="s">
        <v>174</v>
      </c>
      <c r="H33" s="5" t="s">
        <v>175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893821.3599999999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176</v>
      </c>
      <c r="H34" s="5" t="s">
        <v>177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100925.22</v>
      </c>
      <c r="G35" s="5" t="s">
        <v>178</v>
      </c>
      <c r="H35" s="5" t="s">
        <v>179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2593738.13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180</v>
      </c>
      <c r="H36" s="5" t="s">
        <v>181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182</v>
      </c>
      <c r="H37" s="5" t="s">
        <v>183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184</v>
      </c>
      <c r="H38" s="5" t="s">
        <v>185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186</v>
      </c>
      <c r="H39" s="5" t="s">
        <v>187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2839.833835</v>
      </c>
      <c r="G40" s="5" t="s">
        <v>188</v>
      </c>
      <c r="H40" s="5" t="s">
        <v>189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2839.833835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30.04402</v>
      </c>
      <c r="G41" s="5" t="s">
        <v>190</v>
      </c>
      <c r="H41" s="5" t="s">
        <v>191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30.04402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192</v>
      </c>
      <c r="H42" s="5" t="s">
        <v>193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683.35</v>
      </c>
      <c r="G43" s="5" t="s">
        <v>194</v>
      </c>
      <c r="H43" s="5" t="s">
        <v>195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8863.05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24762.17</v>
      </c>
      <c r="G44" s="5" t="s">
        <v>196</v>
      </c>
      <c r="H44" s="5" t="s">
        <v>197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903076.31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13584.85</v>
      </c>
      <c r="G45" s="5" t="s">
        <v>198</v>
      </c>
      <c r="H45" s="5" t="s">
        <v>199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495439.03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100925.22</v>
      </c>
      <c r="G46" s="5" t="s">
        <v>200</v>
      </c>
      <c r="H46" s="5" t="s">
        <v>201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2593738.13</v>
      </c>
    </row>
    <row r="47" spans="1:16" ht="12.75">
      <c r="A47" s="5">
        <v>50</v>
      </c>
      <c r="B47" s="5">
        <v>1</v>
      </c>
      <c r="C47" s="5">
        <v>0</v>
      </c>
      <c r="D47" s="5">
        <v>2</v>
      </c>
      <c r="E47" s="5">
        <v>0</v>
      </c>
      <c r="F47" s="5">
        <v>31278.68</v>
      </c>
      <c r="G47" s="5" t="s">
        <v>230</v>
      </c>
      <c r="H47" s="5" t="s">
        <v>230</v>
      </c>
      <c r="I47" s="5"/>
      <c r="J47" s="5"/>
      <c r="K47" s="5">
        <v>212</v>
      </c>
      <c r="L47" s="5">
        <v>28</v>
      </c>
      <c r="M47" s="5">
        <v>0</v>
      </c>
      <c r="N47" s="5" t="s">
        <v>3</v>
      </c>
      <c r="O47" s="5">
        <v>2</v>
      </c>
      <c r="P47" s="5">
        <v>213320.6</v>
      </c>
    </row>
    <row r="48" spans="1:16" ht="12.75">
      <c r="A48" s="5">
        <v>50</v>
      </c>
      <c r="B48" s="5">
        <v>1</v>
      </c>
      <c r="C48" s="5">
        <v>0</v>
      </c>
      <c r="D48" s="5">
        <v>2</v>
      </c>
      <c r="E48" s="5">
        <v>0</v>
      </c>
      <c r="F48" s="5">
        <v>100925.22</v>
      </c>
      <c r="G48" s="5" t="s">
        <v>237</v>
      </c>
      <c r="H48" s="5" t="s">
        <v>200</v>
      </c>
      <c r="I48" s="5"/>
      <c r="J48" s="5"/>
      <c r="K48" s="5">
        <v>212</v>
      </c>
      <c r="L48" s="5">
        <v>29</v>
      </c>
      <c r="M48" s="5">
        <v>0</v>
      </c>
      <c r="N48" s="5" t="s">
        <v>3</v>
      </c>
      <c r="O48" s="5">
        <v>2</v>
      </c>
      <c r="P48" s="5">
        <v>2593738.13</v>
      </c>
    </row>
    <row r="49" spans="1:16" ht="12.75">
      <c r="A49" s="5">
        <v>50</v>
      </c>
      <c r="B49" s="5">
        <v>1</v>
      </c>
      <c r="C49" s="5">
        <v>0</v>
      </c>
      <c r="D49" s="5">
        <v>2</v>
      </c>
      <c r="E49" s="5">
        <v>0</v>
      </c>
      <c r="F49" s="5">
        <v>20185.04</v>
      </c>
      <c r="G49" s="5" t="s">
        <v>238</v>
      </c>
      <c r="H49" s="5" t="s">
        <v>234</v>
      </c>
      <c r="I49" s="5"/>
      <c r="J49" s="5"/>
      <c r="K49" s="5">
        <v>212</v>
      </c>
      <c r="L49" s="5">
        <v>32</v>
      </c>
      <c r="M49" s="5">
        <v>0</v>
      </c>
      <c r="N49" s="5" t="s">
        <v>3</v>
      </c>
      <c r="O49" s="5">
        <v>2</v>
      </c>
      <c r="P49" s="5">
        <v>518747.63</v>
      </c>
    </row>
    <row r="50" spans="1:16" ht="12.75">
      <c r="A50" s="5">
        <v>50</v>
      </c>
      <c r="B50" s="5">
        <v>1</v>
      </c>
      <c r="C50" s="5">
        <v>0</v>
      </c>
      <c r="D50" s="5">
        <v>2</v>
      </c>
      <c r="E50" s="5">
        <v>224</v>
      </c>
      <c r="F50" s="5">
        <v>121110.26</v>
      </c>
      <c r="G50" s="5" t="s">
        <v>239</v>
      </c>
      <c r="H50" s="5" t="s">
        <v>235</v>
      </c>
      <c r="I50" s="5"/>
      <c r="J50" s="5"/>
      <c r="K50" s="5">
        <v>212</v>
      </c>
      <c r="L50" s="5">
        <v>33</v>
      </c>
      <c r="M50" s="5">
        <v>0</v>
      </c>
      <c r="N50" s="5" t="s">
        <v>3</v>
      </c>
      <c r="O50" s="5">
        <v>2</v>
      </c>
      <c r="P50" s="5">
        <v>3112485.76</v>
      </c>
    </row>
    <row r="52" ht="12.75">
      <c r="A52">
        <v>-1</v>
      </c>
    </row>
    <row r="55" spans="1:15" ht="12.75">
      <c r="A55" s="4">
        <v>75</v>
      </c>
      <c r="B55" s="4" t="s">
        <v>307</v>
      </c>
      <c r="C55" s="4">
        <v>2000</v>
      </c>
      <c r="D55" s="4">
        <v>0</v>
      </c>
      <c r="E55" s="4">
        <v>1</v>
      </c>
      <c r="F55" s="4"/>
      <c r="G55" s="4">
        <v>0</v>
      </c>
      <c r="H55" s="4">
        <v>1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55454918</v>
      </c>
      <c r="O55" s="4">
        <v>1</v>
      </c>
    </row>
    <row r="56" spans="1:15" ht="12.75">
      <c r="A56" s="4">
        <v>75</v>
      </c>
      <c r="B56" s="4" t="s">
        <v>308</v>
      </c>
      <c r="C56" s="4">
        <v>2023</v>
      </c>
      <c r="D56" s="4">
        <v>1</v>
      </c>
      <c r="E56" s="4">
        <v>0</v>
      </c>
      <c r="F56" s="4"/>
      <c r="G56" s="4">
        <v>0</v>
      </c>
      <c r="H56" s="4">
        <v>1</v>
      </c>
      <c r="I56" s="4">
        <v>0</v>
      </c>
      <c r="J56" s="4">
        <v>1</v>
      </c>
      <c r="K56" s="4">
        <v>0</v>
      </c>
      <c r="L56" s="4">
        <v>0</v>
      </c>
      <c r="M56" s="4">
        <v>1</v>
      </c>
      <c r="N56" s="4">
        <v>55454919</v>
      </c>
      <c r="O56" s="4">
        <v>2</v>
      </c>
    </row>
    <row r="57" spans="1:40" ht="12.75">
      <c r="A57" s="7">
        <v>3</v>
      </c>
      <c r="B57" s="7" t="s">
        <v>309</v>
      </c>
      <c r="C57" s="7">
        <v>1</v>
      </c>
      <c r="D57" s="7">
        <v>6.82</v>
      </c>
      <c r="E57" s="7">
        <v>12.97</v>
      </c>
      <c r="F57" s="7">
        <v>36.47</v>
      </c>
      <c r="G57" s="7">
        <v>36.47</v>
      </c>
      <c r="H57" s="7">
        <v>1</v>
      </c>
      <c r="I57" s="7">
        <v>1</v>
      </c>
      <c r="J57" s="7">
        <v>2</v>
      </c>
      <c r="K57" s="7">
        <v>1</v>
      </c>
      <c r="L57" s="7">
        <v>12.97</v>
      </c>
      <c r="M57" s="7">
        <v>1</v>
      </c>
      <c r="N57" s="7">
        <v>6.82</v>
      </c>
      <c r="O57" s="7">
        <v>1</v>
      </c>
      <c r="P57" s="7">
        <v>1</v>
      </c>
      <c r="Q57" s="7">
        <v>1</v>
      </c>
      <c r="R57" s="7">
        <v>12.97</v>
      </c>
      <c r="S57" s="7" t="s">
        <v>3</v>
      </c>
      <c r="T57" s="7" t="s">
        <v>3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7" t="s">
        <v>3</v>
      </c>
      <c r="AC57" s="7" t="s">
        <v>3</v>
      </c>
      <c r="AD57" s="7" t="s">
        <v>3</v>
      </c>
      <c r="AE57" s="7" t="s">
        <v>3</v>
      </c>
      <c r="AF57" s="7" t="s">
        <v>3</v>
      </c>
      <c r="AG57" s="7" t="s">
        <v>3</v>
      </c>
      <c r="AH57" s="7" t="s">
        <v>3</v>
      </c>
      <c r="AI57" s="7"/>
      <c r="AJ57" s="7"/>
      <c r="AK57" s="7"/>
      <c r="AL57" s="7"/>
      <c r="AM57" s="7"/>
      <c r="AN57" s="7">
        <v>55454920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C15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55454918</v>
      </c>
      <c r="C1">
        <v>55455097</v>
      </c>
      <c r="D1">
        <v>44800219</v>
      </c>
      <c r="E1">
        <v>54</v>
      </c>
      <c r="F1">
        <v>1</v>
      </c>
      <c r="G1">
        <v>1</v>
      </c>
      <c r="H1">
        <v>1</v>
      </c>
      <c r="I1" t="s">
        <v>311</v>
      </c>
      <c r="K1" t="s">
        <v>312</v>
      </c>
      <c r="L1">
        <v>1191</v>
      </c>
      <c r="N1">
        <v>1013</v>
      </c>
      <c r="O1" t="s">
        <v>313</v>
      </c>
      <c r="P1" t="s">
        <v>313</v>
      </c>
      <c r="Q1">
        <v>1</v>
      </c>
      <c r="W1">
        <v>0</v>
      </c>
      <c r="X1">
        <v>735429535</v>
      </c>
      <c r="Y1">
        <v>3.77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3.77</v>
      </c>
      <c r="AV1">
        <v>1</v>
      </c>
      <c r="AW1">
        <v>2</v>
      </c>
      <c r="AX1">
        <v>55455100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18.0583</v>
      </c>
      <c r="CY1">
        <f>AD1</f>
        <v>7.8</v>
      </c>
      <c r="CZ1">
        <f>AH1</f>
        <v>7.8</v>
      </c>
      <c r="DA1">
        <f>AL1</f>
        <v>1</v>
      </c>
      <c r="DB1">
        <f>ROUND(ROUND(AT1*CZ1,2),2)</f>
        <v>29.41</v>
      </c>
      <c r="DC1">
        <f>ROUND(ROUND(AT1*AG1,2),2)</f>
        <v>0</v>
      </c>
    </row>
    <row r="2" spans="1:107" ht="12.75">
      <c r="A2">
        <f>ROW(Source!A28)</f>
        <v>28</v>
      </c>
      <c r="B2">
        <v>55454918</v>
      </c>
      <c r="C2">
        <v>55455097</v>
      </c>
      <c r="D2">
        <v>44805115</v>
      </c>
      <c r="E2">
        <v>54</v>
      </c>
      <c r="F2">
        <v>1</v>
      </c>
      <c r="G2">
        <v>1</v>
      </c>
      <c r="H2">
        <v>3</v>
      </c>
      <c r="I2" t="s">
        <v>32</v>
      </c>
      <c r="K2" t="s">
        <v>33</v>
      </c>
      <c r="L2">
        <v>1348</v>
      </c>
      <c r="N2">
        <v>1009</v>
      </c>
      <c r="O2" t="s">
        <v>34</v>
      </c>
      <c r="P2" t="s">
        <v>34</v>
      </c>
      <c r="Q2">
        <v>1000</v>
      </c>
      <c r="W2">
        <v>0</v>
      </c>
      <c r="X2">
        <v>2102561428</v>
      </c>
      <c r="Y2">
        <v>0.11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T2">
        <v>0.11</v>
      </c>
      <c r="AV2">
        <v>0</v>
      </c>
      <c r="AW2">
        <v>2</v>
      </c>
      <c r="AX2">
        <v>55455101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0.5269</v>
      </c>
      <c r="CY2">
        <f>AA2</f>
        <v>0</v>
      </c>
      <c r="CZ2">
        <f>AE2</f>
        <v>0</v>
      </c>
      <c r="DA2">
        <f>AI2</f>
        <v>1</v>
      </c>
      <c r="DB2">
        <f>ROUND(ROUND(AT2*CZ2,2),2)</f>
        <v>0</v>
      </c>
      <c r="DC2">
        <f>ROUND(ROUND(AT2*AG2,2),2)</f>
        <v>0</v>
      </c>
    </row>
    <row r="3" spans="1:107" ht="12.75">
      <c r="A3">
        <f>ROW(Source!A29)</f>
        <v>29</v>
      </c>
      <c r="B3">
        <v>55454919</v>
      </c>
      <c r="C3">
        <v>55455097</v>
      </c>
      <c r="D3">
        <v>44800219</v>
      </c>
      <c r="E3">
        <v>54</v>
      </c>
      <c r="F3">
        <v>1</v>
      </c>
      <c r="G3">
        <v>1</v>
      </c>
      <c r="H3">
        <v>1</v>
      </c>
      <c r="I3" t="s">
        <v>311</v>
      </c>
      <c r="K3" t="s">
        <v>312</v>
      </c>
      <c r="L3">
        <v>1191</v>
      </c>
      <c r="N3">
        <v>1013</v>
      </c>
      <c r="O3" t="s">
        <v>313</v>
      </c>
      <c r="P3" t="s">
        <v>313</v>
      </c>
      <c r="Q3">
        <v>1</v>
      </c>
      <c r="W3">
        <v>0</v>
      </c>
      <c r="X3">
        <v>735429535</v>
      </c>
      <c r="Y3">
        <v>3.77</v>
      </c>
      <c r="AA3">
        <v>0</v>
      </c>
      <c r="AB3">
        <v>0</v>
      </c>
      <c r="AC3">
        <v>0</v>
      </c>
      <c r="AD3">
        <v>284.47</v>
      </c>
      <c r="AE3">
        <v>0</v>
      </c>
      <c r="AF3">
        <v>0</v>
      </c>
      <c r="AG3">
        <v>0</v>
      </c>
      <c r="AH3">
        <v>7.8</v>
      </c>
      <c r="AI3">
        <v>1</v>
      </c>
      <c r="AJ3">
        <v>1</v>
      </c>
      <c r="AK3">
        <v>1</v>
      </c>
      <c r="AL3">
        <v>36.47</v>
      </c>
      <c r="AN3">
        <v>0</v>
      </c>
      <c r="AO3">
        <v>1</v>
      </c>
      <c r="AP3">
        <v>0</v>
      </c>
      <c r="AQ3">
        <v>0</v>
      </c>
      <c r="AR3">
        <v>0</v>
      </c>
      <c r="AT3">
        <v>3.77</v>
      </c>
      <c r="AV3">
        <v>1</v>
      </c>
      <c r="AW3">
        <v>2</v>
      </c>
      <c r="AX3">
        <v>55455100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18.0583</v>
      </c>
      <c r="CY3">
        <f>AD3</f>
        <v>284.47</v>
      </c>
      <c r="CZ3">
        <f>AH3</f>
        <v>7.8</v>
      </c>
      <c r="DA3">
        <f>AL3</f>
        <v>36.47</v>
      </c>
      <c r="DB3">
        <f>ROUND(ROUND(AT3*CZ3,2),2)</f>
        <v>29.41</v>
      </c>
      <c r="DC3">
        <f>ROUND(ROUND(AT3*AG3,2),2)</f>
        <v>0</v>
      </c>
    </row>
    <row r="4" spans="1:107" ht="12.75">
      <c r="A4">
        <f>ROW(Source!A29)</f>
        <v>29</v>
      </c>
      <c r="B4">
        <v>55454919</v>
      </c>
      <c r="C4">
        <v>55455097</v>
      </c>
      <c r="D4">
        <v>44805115</v>
      </c>
      <c r="E4">
        <v>54</v>
      </c>
      <c r="F4">
        <v>1</v>
      </c>
      <c r="G4">
        <v>1</v>
      </c>
      <c r="H4">
        <v>3</v>
      </c>
      <c r="I4" t="s">
        <v>32</v>
      </c>
      <c r="K4" t="s">
        <v>33</v>
      </c>
      <c r="L4">
        <v>1348</v>
      </c>
      <c r="N4">
        <v>1009</v>
      </c>
      <c r="O4" t="s">
        <v>34</v>
      </c>
      <c r="P4" t="s">
        <v>34</v>
      </c>
      <c r="Q4">
        <v>1000</v>
      </c>
      <c r="W4">
        <v>0</v>
      </c>
      <c r="X4">
        <v>2102561428</v>
      </c>
      <c r="Y4">
        <v>0.11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6.82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T4">
        <v>0.11</v>
      </c>
      <c r="AV4">
        <v>0</v>
      </c>
      <c r="AW4">
        <v>2</v>
      </c>
      <c r="AX4">
        <v>55455101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0.5269</v>
      </c>
      <c r="CY4">
        <f>AA4</f>
        <v>0</v>
      </c>
      <c r="CZ4">
        <f>AE4</f>
        <v>0</v>
      </c>
      <c r="DA4">
        <f>AI4</f>
        <v>6.82</v>
      </c>
      <c r="DB4">
        <f>ROUND(ROUND(AT4*CZ4,2),2)</f>
        <v>0</v>
      </c>
      <c r="DC4">
        <f>ROUND(ROUND(AT4*AG4,2),2)</f>
        <v>0</v>
      </c>
    </row>
    <row r="5" spans="1:107" ht="12.75">
      <c r="A5">
        <f>ROW(Source!A32)</f>
        <v>32</v>
      </c>
      <c r="B5">
        <v>55454918</v>
      </c>
      <c r="C5">
        <v>55455103</v>
      </c>
      <c r="D5">
        <v>53630063</v>
      </c>
      <c r="E5">
        <v>70</v>
      </c>
      <c r="F5">
        <v>1</v>
      </c>
      <c r="G5">
        <v>1</v>
      </c>
      <c r="H5">
        <v>1</v>
      </c>
      <c r="I5" t="s">
        <v>314</v>
      </c>
      <c r="K5" t="s">
        <v>315</v>
      </c>
      <c r="L5">
        <v>1191</v>
      </c>
      <c r="N5">
        <v>1013</v>
      </c>
      <c r="O5" t="s">
        <v>313</v>
      </c>
      <c r="P5" t="s">
        <v>313</v>
      </c>
      <c r="Q5">
        <v>1</v>
      </c>
      <c r="W5">
        <v>0</v>
      </c>
      <c r="X5">
        <v>-961628416</v>
      </c>
      <c r="Y5">
        <v>45.904</v>
      </c>
      <c r="AA5">
        <v>0</v>
      </c>
      <c r="AB5">
        <v>0</v>
      </c>
      <c r="AC5">
        <v>0</v>
      </c>
      <c r="AD5">
        <v>8.46</v>
      </c>
      <c r="AE5">
        <v>0</v>
      </c>
      <c r="AF5">
        <v>0</v>
      </c>
      <c r="AG5">
        <v>0</v>
      </c>
      <c r="AH5">
        <v>8.46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57.38</v>
      </c>
      <c r="AU5" t="s">
        <v>42</v>
      </c>
      <c r="AV5">
        <v>1</v>
      </c>
      <c r="AW5">
        <v>2</v>
      </c>
      <c r="AX5">
        <v>55455114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Y5*Source!I32</f>
        <v>113.84192</v>
      </c>
      <c r="CY5">
        <f>AD5</f>
        <v>8.46</v>
      </c>
      <c r="CZ5">
        <f>AH5</f>
        <v>8.46</v>
      </c>
      <c r="DA5">
        <f>AL5</f>
        <v>1</v>
      </c>
      <c r="DB5">
        <f>ROUND((ROUND(AT5*CZ5,2)*ROUND(0.8,7)),2)</f>
        <v>388.34</v>
      </c>
      <c r="DC5">
        <f>ROUND((ROUND(AT5*AG5,2)*ROUND(0.8,7)),2)</f>
        <v>0</v>
      </c>
    </row>
    <row r="6" spans="1:107" ht="12.75">
      <c r="A6">
        <f>ROW(Source!A32)</f>
        <v>32</v>
      </c>
      <c r="B6">
        <v>55454918</v>
      </c>
      <c r="C6">
        <v>55455103</v>
      </c>
      <c r="D6">
        <v>53630257</v>
      </c>
      <c r="E6">
        <v>70</v>
      </c>
      <c r="F6">
        <v>1</v>
      </c>
      <c r="G6">
        <v>1</v>
      </c>
      <c r="H6">
        <v>1</v>
      </c>
      <c r="I6" t="s">
        <v>316</v>
      </c>
      <c r="K6" t="s">
        <v>317</v>
      </c>
      <c r="L6">
        <v>1191</v>
      </c>
      <c r="N6">
        <v>1013</v>
      </c>
      <c r="O6" t="s">
        <v>313</v>
      </c>
      <c r="P6" t="s">
        <v>313</v>
      </c>
      <c r="Q6">
        <v>1</v>
      </c>
      <c r="W6">
        <v>0</v>
      </c>
      <c r="X6">
        <v>-1417349443</v>
      </c>
      <c r="Y6">
        <v>0.7040000000000001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0.88</v>
      </c>
      <c r="AU6" t="s">
        <v>42</v>
      </c>
      <c r="AV6">
        <v>2</v>
      </c>
      <c r="AW6">
        <v>2</v>
      </c>
      <c r="AX6">
        <v>55455115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Y6*Source!I32</f>
        <v>1.7459200000000001</v>
      </c>
      <c r="CY6">
        <f>AD6</f>
        <v>0</v>
      </c>
      <c r="CZ6">
        <f>AH6</f>
        <v>0</v>
      </c>
      <c r="DA6">
        <f>AL6</f>
        <v>1</v>
      </c>
      <c r="DB6">
        <f>ROUND((ROUND(AT6*CZ6,2)*ROUND(0.8,7)),2)</f>
        <v>0</v>
      </c>
      <c r="DC6">
        <f>ROUND((ROUND(AT6*AG6,2)*ROUND(0.8,7)),2)</f>
        <v>0</v>
      </c>
    </row>
    <row r="7" spans="1:107" ht="12.75">
      <c r="A7">
        <f>ROW(Source!A32)</f>
        <v>32</v>
      </c>
      <c r="B7">
        <v>55454918</v>
      </c>
      <c r="C7">
        <v>55455103</v>
      </c>
      <c r="D7">
        <v>53792191</v>
      </c>
      <c r="E7">
        <v>1</v>
      </c>
      <c r="F7">
        <v>1</v>
      </c>
      <c r="G7">
        <v>1</v>
      </c>
      <c r="H7">
        <v>2</v>
      </c>
      <c r="I7" t="s">
        <v>318</v>
      </c>
      <c r="J7" t="s">
        <v>319</v>
      </c>
      <c r="K7" t="s">
        <v>320</v>
      </c>
      <c r="L7">
        <v>1367</v>
      </c>
      <c r="N7">
        <v>1011</v>
      </c>
      <c r="O7" t="s">
        <v>321</v>
      </c>
      <c r="P7" t="s">
        <v>321</v>
      </c>
      <c r="Q7">
        <v>1</v>
      </c>
      <c r="W7">
        <v>0</v>
      </c>
      <c r="X7">
        <v>1232162608</v>
      </c>
      <c r="Y7">
        <v>0.08800000000000001</v>
      </c>
      <c r="AA7">
        <v>0</v>
      </c>
      <c r="AB7">
        <v>31.26</v>
      </c>
      <c r="AC7">
        <v>13.5</v>
      </c>
      <c r="AD7">
        <v>0</v>
      </c>
      <c r="AE7">
        <v>0</v>
      </c>
      <c r="AF7">
        <v>31.26</v>
      </c>
      <c r="AG7">
        <v>13.5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0.11</v>
      </c>
      <c r="AU7" t="s">
        <v>42</v>
      </c>
      <c r="AV7">
        <v>0</v>
      </c>
      <c r="AW7">
        <v>2</v>
      </c>
      <c r="AX7">
        <v>55455116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Y7*Source!I32</f>
        <v>0.21824000000000002</v>
      </c>
      <c r="CY7">
        <f>AB7</f>
        <v>31.26</v>
      </c>
      <c r="CZ7">
        <f>AF7</f>
        <v>31.26</v>
      </c>
      <c r="DA7">
        <f>AJ7</f>
        <v>1</v>
      </c>
      <c r="DB7">
        <f>ROUND((ROUND(AT7*CZ7,2)*ROUND(0.8,7)),2)</f>
        <v>2.75</v>
      </c>
      <c r="DC7">
        <f>ROUND((ROUND(AT7*AG7,2)*ROUND(0.8,7)),2)</f>
        <v>1.19</v>
      </c>
    </row>
    <row r="8" spans="1:107" ht="12.75">
      <c r="A8">
        <f>ROW(Source!A32)</f>
        <v>32</v>
      </c>
      <c r="B8">
        <v>55454918</v>
      </c>
      <c r="C8">
        <v>55455103</v>
      </c>
      <c r="D8">
        <v>53792927</v>
      </c>
      <c r="E8">
        <v>1</v>
      </c>
      <c r="F8">
        <v>1</v>
      </c>
      <c r="G8">
        <v>1</v>
      </c>
      <c r="H8">
        <v>2</v>
      </c>
      <c r="I8" t="s">
        <v>322</v>
      </c>
      <c r="J8" t="s">
        <v>323</v>
      </c>
      <c r="K8" t="s">
        <v>324</v>
      </c>
      <c r="L8">
        <v>1367</v>
      </c>
      <c r="N8">
        <v>1011</v>
      </c>
      <c r="O8" t="s">
        <v>321</v>
      </c>
      <c r="P8" t="s">
        <v>321</v>
      </c>
      <c r="Q8">
        <v>1</v>
      </c>
      <c r="W8">
        <v>0</v>
      </c>
      <c r="X8">
        <v>509054691</v>
      </c>
      <c r="Y8">
        <v>0.6160000000000001</v>
      </c>
      <c r="AA8">
        <v>0</v>
      </c>
      <c r="AB8">
        <v>65.71</v>
      </c>
      <c r="AC8">
        <v>11.6</v>
      </c>
      <c r="AD8">
        <v>0</v>
      </c>
      <c r="AE8">
        <v>0</v>
      </c>
      <c r="AF8">
        <v>65.71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0.77</v>
      </c>
      <c r="AU8" t="s">
        <v>42</v>
      </c>
      <c r="AV8">
        <v>0</v>
      </c>
      <c r="AW8">
        <v>2</v>
      </c>
      <c r="AX8">
        <v>55455117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Y8*Source!I32</f>
        <v>1.5276800000000001</v>
      </c>
      <c r="CY8">
        <f>AB8</f>
        <v>65.71</v>
      </c>
      <c r="CZ8">
        <f>AF8</f>
        <v>65.71</v>
      </c>
      <c r="DA8">
        <f>AJ8</f>
        <v>1</v>
      </c>
      <c r="DB8">
        <f>ROUND((ROUND(AT8*CZ8,2)*ROUND(0.8,7)),2)</f>
        <v>40.48</v>
      </c>
      <c r="DC8">
        <f>ROUND((ROUND(AT8*AG8,2)*ROUND(0.8,7)),2)</f>
        <v>7.14</v>
      </c>
    </row>
    <row r="9" spans="1:107" ht="12.75">
      <c r="A9">
        <f>ROW(Source!A32)</f>
        <v>32</v>
      </c>
      <c r="B9">
        <v>55454918</v>
      </c>
      <c r="C9">
        <v>55455103</v>
      </c>
      <c r="D9">
        <v>53793792</v>
      </c>
      <c r="E9">
        <v>1</v>
      </c>
      <c r="F9">
        <v>1</v>
      </c>
      <c r="G9">
        <v>1</v>
      </c>
      <c r="H9">
        <v>2</v>
      </c>
      <c r="I9" t="s">
        <v>325</v>
      </c>
      <c r="J9" t="s">
        <v>326</v>
      </c>
      <c r="K9" t="s">
        <v>327</v>
      </c>
      <c r="L9">
        <v>1367</v>
      </c>
      <c r="N9">
        <v>1011</v>
      </c>
      <c r="O9" t="s">
        <v>321</v>
      </c>
      <c r="P9" t="s">
        <v>321</v>
      </c>
      <c r="Q9">
        <v>1</v>
      </c>
      <c r="W9">
        <v>0</v>
      </c>
      <c r="X9">
        <v>893954064</v>
      </c>
      <c r="Y9">
        <v>2.8800000000000003</v>
      </c>
      <c r="AA9">
        <v>0</v>
      </c>
      <c r="AB9">
        <v>3.29</v>
      </c>
      <c r="AC9">
        <v>0</v>
      </c>
      <c r="AD9">
        <v>0</v>
      </c>
      <c r="AE9">
        <v>0</v>
      </c>
      <c r="AF9">
        <v>3.29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3.6</v>
      </c>
      <c r="AU9" t="s">
        <v>42</v>
      </c>
      <c r="AV9">
        <v>0</v>
      </c>
      <c r="AW9">
        <v>2</v>
      </c>
      <c r="AX9">
        <v>55455118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7.142400000000001</v>
      </c>
      <c r="CY9">
        <f>AB9</f>
        <v>3.29</v>
      </c>
      <c r="CZ9">
        <f>AF9</f>
        <v>3.29</v>
      </c>
      <c r="DA9">
        <f>AJ9</f>
        <v>1</v>
      </c>
      <c r="DB9">
        <f>ROUND((ROUND(AT9*CZ9,2)*ROUND(0.8,7)),2)</f>
        <v>9.47</v>
      </c>
      <c r="DC9">
        <f>ROUND((ROUND(AT9*AG9,2)*ROUND(0.8,7)),2)</f>
        <v>0</v>
      </c>
    </row>
    <row r="10" spans="1:107" ht="12.75">
      <c r="A10">
        <f>ROW(Source!A32)</f>
        <v>32</v>
      </c>
      <c r="B10">
        <v>55454918</v>
      </c>
      <c r="C10">
        <v>55455103</v>
      </c>
      <c r="D10">
        <v>53643040</v>
      </c>
      <c r="E10">
        <v>1</v>
      </c>
      <c r="F10">
        <v>1</v>
      </c>
      <c r="G10">
        <v>1</v>
      </c>
      <c r="H10">
        <v>3</v>
      </c>
      <c r="I10" t="s">
        <v>328</v>
      </c>
      <c r="J10" t="s">
        <v>329</v>
      </c>
      <c r="K10" t="s">
        <v>330</v>
      </c>
      <c r="L10">
        <v>1327</v>
      </c>
      <c r="N10">
        <v>1005</v>
      </c>
      <c r="O10" t="s">
        <v>106</v>
      </c>
      <c r="P10" t="s">
        <v>106</v>
      </c>
      <c r="Q10">
        <v>1</v>
      </c>
      <c r="W10">
        <v>0</v>
      </c>
      <c r="X10">
        <v>-748384222</v>
      </c>
      <c r="Y10">
        <v>0</v>
      </c>
      <c r="AA10">
        <v>1.94</v>
      </c>
      <c r="AB10">
        <v>0</v>
      </c>
      <c r="AC10">
        <v>0</v>
      </c>
      <c r="AD10">
        <v>0</v>
      </c>
      <c r="AE10">
        <v>1.94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50</v>
      </c>
      <c r="AU10" t="s">
        <v>41</v>
      </c>
      <c r="AV10">
        <v>0</v>
      </c>
      <c r="AW10">
        <v>2</v>
      </c>
      <c r="AX10">
        <v>55455119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0</v>
      </c>
      <c r="CY10">
        <f>AA10</f>
        <v>1.94</v>
      </c>
      <c r="CZ10">
        <f>AE10</f>
        <v>1.94</v>
      </c>
      <c r="DA10">
        <f>AI10</f>
        <v>1</v>
      </c>
      <c r="DB10">
        <f>ROUND((ROUND(AT10*CZ10,2)*ROUND(0,7)),2)</f>
        <v>0</v>
      </c>
      <c r="DC10">
        <f>ROUND((ROUND(AT10*AG10,2)*ROUND(0,7)),2)</f>
        <v>0</v>
      </c>
    </row>
    <row r="11" spans="1:107" ht="12.75">
      <c r="A11">
        <f>ROW(Source!A32)</f>
        <v>32</v>
      </c>
      <c r="B11">
        <v>55454918</v>
      </c>
      <c r="C11">
        <v>55455103</v>
      </c>
      <c r="D11">
        <v>53646032</v>
      </c>
      <c r="E11">
        <v>1</v>
      </c>
      <c r="F11">
        <v>1</v>
      </c>
      <c r="G11">
        <v>1</v>
      </c>
      <c r="H11">
        <v>3</v>
      </c>
      <c r="I11" t="s">
        <v>331</v>
      </c>
      <c r="J11" t="s">
        <v>332</v>
      </c>
      <c r="K11" t="s">
        <v>333</v>
      </c>
      <c r="L11">
        <v>1346</v>
      </c>
      <c r="N11">
        <v>1009</v>
      </c>
      <c r="O11" t="s">
        <v>85</v>
      </c>
      <c r="P11" t="s">
        <v>85</v>
      </c>
      <c r="Q11">
        <v>1</v>
      </c>
      <c r="W11">
        <v>0</v>
      </c>
      <c r="X11">
        <v>1052716416</v>
      </c>
      <c r="Y11">
        <v>0</v>
      </c>
      <c r="AA11">
        <v>1.82</v>
      </c>
      <c r="AB11">
        <v>0</v>
      </c>
      <c r="AC11">
        <v>0</v>
      </c>
      <c r="AD11">
        <v>0</v>
      </c>
      <c r="AE11">
        <v>1.82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0.5</v>
      </c>
      <c r="AU11" t="s">
        <v>41</v>
      </c>
      <c r="AV11">
        <v>0</v>
      </c>
      <c r="AW11">
        <v>2</v>
      </c>
      <c r="AX11">
        <v>55455120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0</v>
      </c>
      <c r="CY11">
        <f>AA11</f>
        <v>1.82</v>
      </c>
      <c r="CZ11">
        <f>AE11</f>
        <v>1.82</v>
      </c>
      <c r="DA11">
        <f>AI11</f>
        <v>1</v>
      </c>
      <c r="DB11">
        <f>ROUND((ROUND(AT11*CZ11,2)*ROUND(0,7)),2)</f>
        <v>0</v>
      </c>
      <c r="DC11">
        <f>ROUND((ROUND(AT11*AG11,2)*ROUND(0,7)),2)</f>
        <v>0</v>
      </c>
    </row>
    <row r="12" spans="1:107" ht="12.75">
      <c r="A12">
        <f>ROW(Source!A32)</f>
        <v>32</v>
      </c>
      <c r="B12">
        <v>55454918</v>
      </c>
      <c r="C12">
        <v>55455103</v>
      </c>
      <c r="D12">
        <v>53646910</v>
      </c>
      <c r="E12">
        <v>1</v>
      </c>
      <c r="F12">
        <v>1</v>
      </c>
      <c r="G12">
        <v>1</v>
      </c>
      <c r="H12">
        <v>3</v>
      </c>
      <c r="I12" t="s">
        <v>334</v>
      </c>
      <c r="J12" t="s">
        <v>335</v>
      </c>
      <c r="K12" t="s">
        <v>336</v>
      </c>
      <c r="L12">
        <v>1348</v>
      </c>
      <c r="N12">
        <v>1009</v>
      </c>
      <c r="O12" t="s">
        <v>34</v>
      </c>
      <c r="P12" t="s">
        <v>34</v>
      </c>
      <c r="Q12">
        <v>1000</v>
      </c>
      <c r="W12">
        <v>0</v>
      </c>
      <c r="X12">
        <v>-1771719913</v>
      </c>
      <c r="Y12">
        <v>0</v>
      </c>
      <c r="AA12">
        <v>257</v>
      </c>
      <c r="AB12">
        <v>0</v>
      </c>
      <c r="AC12">
        <v>0</v>
      </c>
      <c r="AD12">
        <v>0</v>
      </c>
      <c r="AE12">
        <v>257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0.16</v>
      </c>
      <c r="AU12" t="s">
        <v>41</v>
      </c>
      <c r="AV12">
        <v>0</v>
      </c>
      <c r="AW12">
        <v>2</v>
      </c>
      <c r="AX12">
        <v>55455121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0</v>
      </c>
      <c r="CY12">
        <f>AA12</f>
        <v>257</v>
      </c>
      <c r="CZ12">
        <f>AE12</f>
        <v>257</v>
      </c>
      <c r="DA12">
        <f>AI12</f>
        <v>1</v>
      </c>
      <c r="DB12">
        <f>ROUND((ROUND(AT12*CZ12,2)*ROUND(0,7)),2)</f>
        <v>0</v>
      </c>
      <c r="DC12">
        <f>ROUND((ROUND(AT12*AG12,2)*ROUND(0,7)),2)</f>
        <v>0</v>
      </c>
    </row>
    <row r="13" spans="1:107" ht="12.75">
      <c r="A13">
        <f>ROW(Source!A32)</f>
        <v>32</v>
      </c>
      <c r="B13">
        <v>55454918</v>
      </c>
      <c r="C13">
        <v>55455103</v>
      </c>
      <c r="D13">
        <v>53647957</v>
      </c>
      <c r="E13">
        <v>1</v>
      </c>
      <c r="F13">
        <v>1</v>
      </c>
      <c r="G13">
        <v>1</v>
      </c>
      <c r="H13">
        <v>3</v>
      </c>
      <c r="I13" t="s">
        <v>337</v>
      </c>
      <c r="J13" t="s">
        <v>338</v>
      </c>
      <c r="K13" t="s">
        <v>339</v>
      </c>
      <c r="L13">
        <v>1346</v>
      </c>
      <c r="N13">
        <v>1009</v>
      </c>
      <c r="O13" t="s">
        <v>85</v>
      </c>
      <c r="P13" t="s">
        <v>85</v>
      </c>
      <c r="Q13">
        <v>1</v>
      </c>
      <c r="W13">
        <v>0</v>
      </c>
      <c r="X13">
        <v>-2084089385</v>
      </c>
      <c r="Y13">
        <v>0</v>
      </c>
      <c r="AA13">
        <v>50.19</v>
      </c>
      <c r="AB13">
        <v>0</v>
      </c>
      <c r="AC13">
        <v>0</v>
      </c>
      <c r="AD13">
        <v>0</v>
      </c>
      <c r="AE13">
        <v>50.19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572</v>
      </c>
      <c r="AU13" t="s">
        <v>41</v>
      </c>
      <c r="AV13">
        <v>0</v>
      </c>
      <c r="AW13">
        <v>2</v>
      </c>
      <c r="AX13">
        <v>55455122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Y13*Source!I32</f>
        <v>0</v>
      </c>
      <c r="CY13">
        <f>AA13</f>
        <v>50.19</v>
      </c>
      <c r="CZ13">
        <f>AE13</f>
        <v>50.19</v>
      </c>
      <c r="DA13">
        <f>AI13</f>
        <v>1</v>
      </c>
      <c r="DB13">
        <f>ROUND((ROUND(AT13*CZ13,2)*ROUND(0,7)),2)</f>
        <v>0</v>
      </c>
      <c r="DC13">
        <f>ROUND((ROUND(AT13*AG13,2)*ROUND(0,7)),2)</f>
        <v>0</v>
      </c>
    </row>
    <row r="14" spans="1:107" ht="12.75">
      <c r="A14">
        <f>ROW(Source!A32)</f>
        <v>32</v>
      </c>
      <c r="B14">
        <v>55454918</v>
      </c>
      <c r="C14">
        <v>55455103</v>
      </c>
      <c r="D14">
        <v>53674799</v>
      </c>
      <c r="E14">
        <v>1</v>
      </c>
      <c r="F14">
        <v>1</v>
      </c>
      <c r="G14">
        <v>1</v>
      </c>
      <c r="H14">
        <v>3</v>
      </c>
      <c r="I14" t="s">
        <v>340</v>
      </c>
      <c r="J14" t="s">
        <v>341</v>
      </c>
      <c r="K14" t="s">
        <v>342</v>
      </c>
      <c r="L14">
        <v>1296</v>
      </c>
      <c r="N14">
        <v>1002</v>
      </c>
      <c r="O14" t="s">
        <v>343</v>
      </c>
      <c r="P14" t="s">
        <v>343</v>
      </c>
      <c r="Q14">
        <v>1</v>
      </c>
      <c r="W14">
        <v>0</v>
      </c>
      <c r="X14">
        <v>-288631517</v>
      </c>
      <c r="Y14">
        <v>0</v>
      </c>
      <c r="AA14">
        <v>71.7</v>
      </c>
      <c r="AB14">
        <v>0</v>
      </c>
      <c r="AC14">
        <v>0</v>
      </c>
      <c r="AD14">
        <v>0</v>
      </c>
      <c r="AE14">
        <v>71.7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0.2</v>
      </c>
      <c r="AU14" t="s">
        <v>41</v>
      </c>
      <c r="AV14">
        <v>0</v>
      </c>
      <c r="AW14">
        <v>2</v>
      </c>
      <c r="AX14">
        <v>55455124</v>
      </c>
      <c r="AY14">
        <v>1</v>
      </c>
      <c r="AZ14">
        <v>0</v>
      </c>
      <c r="BA14">
        <v>15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Y14*Source!I32</f>
        <v>0</v>
      </c>
      <c r="CY14">
        <f>AA14</f>
        <v>71.7</v>
      </c>
      <c r="CZ14">
        <f>AE14</f>
        <v>71.7</v>
      </c>
      <c r="DA14">
        <f>AI14</f>
        <v>1</v>
      </c>
      <c r="DB14">
        <f>ROUND((ROUND(AT14*CZ14,2)*ROUND(0,7)),2)</f>
        <v>0</v>
      </c>
      <c r="DC14">
        <f>ROUND((ROUND(AT14*AG14,2)*ROUND(0,7)),2)</f>
        <v>0</v>
      </c>
    </row>
    <row r="15" spans="1:107" ht="12.75">
      <c r="A15">
        <f>ROW(Source!A33)</f>
        <v>33</v>
      </c>
      <c r="B15">
        <v>55454919</v>
      </c>
      <c r="C15">
        <v>55455103</v>
      </c>
      <c r="D15">
        <v>53630063</v>
      </c>
      <c r="E15">
        <v>70</v>
      </c>
      <c r="F15">
        <v>1</v>
      </c>
      <c r="G15">
        <v>1</v>
      </c>
      <c r="H15">
        <v>1</v>
      </c>
      <c r="I15" t="s">
        <v>314</v>
      </c>
      <c r="K15" t="s">
        <v>315</v>
      </c>
      <c r="L15">
        <v>1191</v>
      </c>
      <c r="N15">
        <v>1013</v>
      </c>
      <c r="O15" t="s">
        <v>313</v>
      </c>
      <c r="P15" t="s">
        <v>313</v>
      </c>
      <c r="Q15">
        <v>1</v>
      </c>
      <c r="W15">
        <v>0</v>
      </c>
      <c r="X15">
        <v>-961628416</v>
      </c>
      <c r="Y15">
        <v>45.904</v>
      </c>
      <c r="AA15">
        <v>0</v>
      </c>
      <c r="AB15">
        <v>0</v>
      </c>
      <c r="AC15">
        <v>0</v>
      </c>
      <c r="AD15">
        <v>308.54</v>
      </c>
      <c r="AE15">
        <v>0</v>
      </c>
      <c r="AF15">
        <v>0</v>
      </c>
      <c r="AG15">
        <v>0</v>
      </c>
      <c r="AH15">
        <v>8.46</v>
      </c>
      <c r="AI15">
        <v>1</v>
      </c>
      <c r="AJ15">
        <v>1</v>
      </c>
      <c r="AK15">
        <v>1</v>
      </c>
      <c r="AL15">
        <v>36.47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57.38</v>
      </c>
      <c r="AU15" t="s">
        <v>42</v>
      </c>
      <c r="AV15">
        <v>1</v>
      </c>
      <c r="AW15">
        <v>2</v>
      </c>
      <c r="AX15">
        <v>55455114</v>
      </c>
      <c r="AY15">
        <v>1</v>
      </c>
      <c r="AZ15">
        <v>0</v>
      </c>
      <c r="BA15">
        <v>16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Y15*Source!I33</f>
        <v>113.84192</v>
      </c>
      <c r="CY15">
        <f>AD15</f>
        <v>308.54</v>
      </c>
      <c r="CZ15">
        <f>AH15</f>
        <v>8.46</v>
      </c>
      <c r="DA15">
        <f>AL15</f>
        <v>36.47</v>
      </c>
      <c r="DB15">
        <f>ROUND((ROUND(AT15*CZ15,2)*ROUND(0.8,7)),2)</f>
        <v>388.34</v>
      </c>
      <c r="DC15">
        <f>ROUND((ROUND(AT15*AG15,2)*ROUND(0.8,7)),2)</f>
        <v>0</v>
      </c>
    </row>
    <row r="16" spans="1:107" ht="12.75">
      <c r="A16">
        <f>ROW(Source!A33)</f>
        <v>33</v>
      </c>
      <c r="B16">
        <v>55454919</v>
      </c>
      <c r="C16">
        <v>55455103</v>
      </c>
      <c r="D16">
        <v>53630257</v>
      </c>
      <c r="E16">
        <v>70</v>
      </c>
      <c r="F16">
        <v>1</v>
      </c>
      <c r="G16">
        <v>1</v>
      </c>
      <c r="H16">
        <v>1</v>
      </c>
      <c r="I16" t="s">
        <v>316</v>
      </c>
      <c r="K16" t="s">
        <v>317</v>
      </c>
      <c r="L16">
        <v>1191</v>
      </c>
      <c r="N16">
        <v>1013</v>
      </c>
      <c r="O16" t="s">
        <v>313</v>
      </c>
      <c r="P16" t="s">
        <v>313</v>
      </c>
      <c r="Q16">
        <v>1</v>
      </c>
      <c r="W16">
        <v>0</v>
      </c>
      <c r="X16">
        <v>-1417349443</v>
      </c>
      <c r="Y16">
        <v>0.7040000000000001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36.47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0.88</v>
      </c>
      <c r="AU16" t="s">
        <v>42</v>
      </c>
      <c r="AV16">
        <v>2</v>
      </c>
      <c r="AW16">
        <v>2</v>
      </c>
      <c r="AX16">
        <v>55455115</v>
      </c>
      <c r="AY16">
        <v>1</v>
      </c>
      <c r="AZ16">
        <v>0</v>
      </c>
      <c r="BA16">
        <v>17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Y16*Source!I33</f>
        <v>1.7459200000000001</v>
      </c>
      <c r="CY16">
        <f>AD16</f>
        <v>0</v>
      </c>
      <c r="CZ16">
        <f>AH16</f>
        <v>0</v>
      </c>
      <c r="DA16">
        <f>AL16</f>
        <v>1</v>
      </c>
      <c r="DB16">
        <f>ROUND((ROUND(AT16*CZ16,2)*ROUND(0.8,7)),2)</f>
        <v>0</v>
      </c>
      <c r="DC16">
        <f>ROUND((ROUND(AT16*AG16,2)*ROUND(0.8,7)),2)</f>
        <v>0</v>
      </c>
    </row>
    <row r="17" spans="1:107" ht="12.75">
      <c r="A17">
        <f>ROW(Source!A33)</f>
        <v>33</v>
      </c>
      <c r="B17">
        <v>55454919</v>
      </c>
      <c r="C17">
        <v>55455103</v>
      </c>
      <c r="D17">
        <v>53792191</v>
      </c>
      <c r="E17">
        <v>1</v>
      </c>
      <c r="F17">
        <v>1</v>
      </c>
      <c r="G17">
        <v>1</v>
      </c>
      <c r="H17">
        <v>2</v>
      </c>
      <c r="I17" t="s">
        <v>318</v>
      </c>
      <c r="J17" t="s">
        <v>319</v>
      </c>
      <c r="K17" t="s">
        <v>320</v>
      </c>
      <c r="L17">
        <v>1367</v>
      </c>
      <c r="N17">
        <v>1011</v>
      </c>
      <c r="O17" t="s">
        <v>321</v>
      </c>
      <c r="P17" t="s">
        <v>321</v>
      </c>
      <c r="Q17">
        <v>1</v>
      </c>
      <c r="W17">
        <v>0</v>
      </c>
      <c r="X17">
        <v>1232162608</v>
      </c>
      <c r="Y17">
        <v>0.08800000000000001</v>
      </c>
      <c r="AA17">
        <v>0</v>
      </c>
      <c r="AB17">
        <v>405.44</v>
      </c>
      <c r="AC17">
        <v>492.35</v>
      </c>
      <c r="AD17">
        <v>0</v>
      </c>
      <c r="AE17">
        <v>0</v>
      </c>
      <c r="AF17">
        <v>31.26</v>
      </c>
      <c r="AG17">
        <v>13.5</v>
      </c>
      <c r="AH17">
        <v>0</v>
      </c>
      <c r="AI17">
        <v>1</v>
      </c>
      <c r="AJ17">
        <v>12.97</v>
      </c>
      <c r="AK17">
        <v>36.47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0.11</v>
      </c>
      <c r="AU17" t="s">
        <v>42</v>
      </c>
      <c r="AV17">
        <v>0</v>
      </c>
      <c r="AW17">
        <v>2</v>
      </c>
      <c r="AX17">
        <v>55455116</v>
      </c>
      <c r="AY17">
        <v>1</v>
      </c>
      <c r="AZ17">
        <v>0</v>
      </c>
      <c r="BA17">
        <v>18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Y17*Source!I33</f>
        <v>0.21824000000000002</v>
      </c>
      <c r="CY17">
        <f>AB17</f>
        <v>405.44</v>
      </c>
      <c r="CZ17">
        <f>AF17</f>
        <v>31.26</v>
      </c>
      <c r="DA17">
        <f>AJ17</f>
        <v>12.97</v>
      </c>
      <c r="DB17">
        <f>ROUND((ROUND(AT17*CZ17,2)*ROUND(0.8,7)),2)</f>
        <v>2.75</v>
      </c>
      <c r="DC17">
        <f>ROUND((ROUND(AT17*AG17,2)*ROUND(0.8,7)),2)</f>
        <v>1.19</v>
      </c>
    </row>
    <row r="18" spans="1:107" ht="12.75">
      <c r="A18">
        <f>ROW(Source!A33)</f>
        <v>33</v>
      </c>
      <c r="B18">
        <v>55454919</v>
      </c>
      <c r="C18">
        <v>55455103</v>
      </c>
      <c r="D18">
        <v>53792927</v>
      </c>
      <c r="E18">
        <v>1</v>
      </c>
      <c r="F18">
        <v>1</v>
      </c>
      <c r="G18">
        <v>1</v>
      </c>
      <c r="H18">
        <v>2</v>
      </c>
      <c r="I18" t="s">
        <v>322</v>
      </c>
      <c r="J18" t="s">
        <v>323</v>
      </c>
      <c r="K18" t="s">
        <v>324</v>
      </c>
      <c r="L18">
        <v>1367</v>
      </c>
      <c r="N18">
        <v>1011</v>
      </c>
      <c r="O18" t="s">
        <v>321</v>
      </c>
      <c r="P18" t="s">
        <v>321</v>
      </c>
      <c r="Q18">
        <v>1</v>
      </c>
      <c r="W18">
        <v>0</v>
      </c>
      <c r="X18">
        <v>509054691</v>
      </c>
      <c r="Y18">
        <v>0.6160000000000001</v>
      </c>
      <c r="AA18">
        <v>0</v>
      </c>
      <c r="AB18">
        <v>852.26</v>
      </c>
      <c r="AC18">
        <v>423.05</v>
      </c>
      <c r="AD18">
        <v>0</v>
      </c>
      <c r="AE18">
        <v>0</v>
      </c>
      <c r="AF18">
        <v>65.71</v>
      </c>
      <c r="AG18">
        <v>11.6</v>
      </c>
      <c r="AH18">
        <v>0</v>
      </c>
      <c r="AI18">
        <v>1</v>
      </c>
      <c r="AJ18">
        <v>12.97</v>
      </c>
      <c r="AK18">
        <v>36.47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0.77</v>
      </c>
      <c r="AU18" t="s">
        <v>42</v>
      </c>
      <c r="AV18">
        <v>0</v>
      </c>
      <c r="AW18">
        <v>2</v>
      </c>
      <c r="AX18">
        <v>55455117</v>
      </c>
      <c r="AY18">
        <v>1</v>
      </c>
      <c r="AZ18">
        <v>0</v>
      </c>
      <c r="BA18">
        <v>19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Y18*Source!I33</f>
        <v>1.5276800000000001</v>
      </c>
      <c r="CY18">
        <f>AB18</f>
        <v>852.26</v>
      </c>
      <c r="CZ18">
        <f>AF18</f>
        <v>65.71</v>
      </c>
      <c r="DA18">
        <f>AJ18</f>
        <v>12.97</v>
      </c>
      <c r="DB18">
        <f>ROUND((ROUND(AT18*CZ18,2)*ROUND(0.8,7)),2)</f>
        <v>40.48</v>
      </c>
      <c r="DC18">
        <f>ROUND((ROUND(AT18*AG18,2)*ROUND(0.8,7)),2)</f>
        <v>7.14</v>
      </c>
    </row>
    <row r="19" spans="1:107" ht="12.75">
      <c r="A19">
        <f>ROW(Source!A33)</f>
        <v>33</v>
      </c>
      <c r="B19">
        <v>55454919</v>
      </c>
      <c r="C19">
        <v>55455103</v>
      </c>
      <c r="D19">
        <v>53793792</v>
      </c>
      <c r="E19">
        <v>1</v>
      </c>
      <c r="F19">
        <v>1</v>
      </c>
      <c r="G19">
        <v>1</v>
      </c>
      <c r="H19">
        <v>2</v>
      </c>
      <c r="I19" t="s">
        <v>325</v>
      </c>
      <c r="J19" t="s">
        <v>326</v>
      </c>
      <c r="K19" t="s">
        <v>327</v>
      </c>
      <c r="L19">
        <v>1367</v>
      </c>
      <c r="N19">
        <v>1011</v>
      </c>
      <c r="O19" t="s">
        <v>321</v>
      </c>
      <c r="P19" t="s">
        <v>321</v>
      </c>
      <c r="Q19">
        <v>1</v>
      </c>
      <c r="W19">
        <v>0</v>
      </c>
      <c r="X19">
        <v>893954064</v>
      </c>
      <c r="Y19">
        <v>2.8800000000000003</v>
      </c>
      <c r="AA19">
        <v>0</v>
      </c>
      <c r="AB19">
        <v>42.67</v>
      </c>
      <c r="AC19">
        <v>0</v>
      </c>
      <c r="AD19">
        <v>0</v>
      </c>
      <c r="AE19">
        <v>0</v>
      </c>
      <c r="AF19">
        <v>3.29</v>
      </c>
      <c r="AG19">
        <v>0</v>
      </c>
      <c r="AH19">
        <v>0</v>
      </c>
      <c r="AI19">
        <v>1</v>
      </c>
      <c r="AJ19">
        <v>12.97</v>
      </c>
      <c r="AK19">
        <v>36.47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3.6</v>
      </c>
      <c r="AU19" t="s">
        <v>42</v>
      </c>
      <c r="AV19">
        <v>0</v>
      </c>
      <c r="AW19">
        <v>2</v>
      </c>
      <c r="AX19">
        <v>55455118</v>
      </c>
      <c r="AY19">
        <v>1</v>
      </c>
      <c r="AZ19">
        <v>0</v>
      </c>
      <c r="BA19">
        <v>20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Y19*Source!I33</f>
        <v>7.142400000000001</v>
      </c>
      <c r="CY19">
        <f>AB19</f>
        <v>42.67</v>
      </c>
      <c r="CZ19">
        <f>AF19</f>
        <v>3.29</v>
      </c>
      <c r="DA19">
        <f>AJ19</f>
        <v>12.97</v>
      </c>
      <c r="DB19">
        <f>ROUND((ROUND(AT19*CZ19,2)*ROUND(0.8,7)),2)</f>
        <v>9.47</v>
      </c>
      <c r="DC19">
        <f>ROUND((ROUND(AT19*AG19,2)*ROUND(0.8,7)),2)</f>
        <v>0</v>
      </c>
    </row>
    <row r="20" spans="1:107" ht="12.75">
      <c r="A20">
        <f>ROW(Source!A33)</f>
        <v>33</v>
      </c>
      <c r="B20">
        <v>55454919</v>
      </c>
      <c r="C20">
        <v>55455103</v>
      </c>
      <c r="D20">
        <v>53643040</v>
      </c>
      <c r="E20">
        <v>1</v>
      </c>
      <c r="F20">
        <v>1</v>
      </c>
      <c r="G20">
        <v>1</v>
      </c>
      <c r="H20">
        <v>3</v>
      </c>
      <c r="I20" t="s">
        <v>328</v>
      </c>
      <c r="J20" t="s">
        <v>329</v>
      </c>
      <c r="K20" t="s">
        <v>330</v>
      </c>
      <c r="L20">
        <v>1327</v>
      </c>
      <c r="N20">
        <v>1005</v>
      </c>
      <c r="O20" t="s">
        <v>106</v>
      </c>
      <c r="P20" t="s">
        <v>106</v>
      </c>
      <c r="Q20">
        <v>1</v>
      </c>
      <c r="W20">
        <v>0</v>
      </c>
      <c r="X20">
        <v>-748384222</v>
      </c>
      <c r="Y20">
        <v>0</v>
      </c>
      <c r="AA20">
        <v>13.23</v>
      </c>
      <c r="AB20">
        <v>0</v>
      </c>
      <c r="AC20">
        <v>0</v>
      </c>
      <c r="AD20">
        <v>0</v>
      </c>
      <c r="AE20">
        <v>1.94</v>
      </c>
      <c r="AF20">
        <v>0</v>
      </c>
      <c r="AG20">
        <v>0</v>
      </c>
      <c r="AH20">
        <v>0</v>
      </c>
      <c r="AI20">
        <v>6.82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50</v>
      </c>
      <c r="AU20" t="s">
        <v>41</v>
      </c>
      <c r="AV20">
        <v>0</v>
      </c>
      <c r="AW20">
        <v>2</v>
      </c>
      <c r="AX20">
        <v>55455119</v>
      </c>
      <c r="AY20">
        <v>1</v>
      </c>
      <c r="AZ20">
        <v>0</v>
      </c>
      <c r="BA20">
        <v>21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Y20*Source!I33</f>
        <v>0</v>
      </c>
      <c r="CY20">
        <f>AA20</f>
        <v>13.23</v>
      </c>
      <c r="CZ20">
        <f>AE20</f>
        <v>1.94</v>
      </c>
      <c r="DA20">
        <f>AI20</f>
        <v>6.82</v>
      </c>
      <c r="DB20">
        <f>ROUND((ROUND(AT20*CZ20,2)*ROUND(0,7)),2)</f>
        <v>0</v>
      </c>
      <c r="DC20">
        <f>ROUND((ROUND(AT20*AG20,2)*ROUND(0,7)),2)</f>
        <v>0</v>
      </c>
    </row>
    <row r="21" spans="1:107" ht="12.75">
      <c r="A21">
        <f>ROW(Source!A33)</f>
        <v>33</v>
      </c>
      <c r="B21">
        <v>55454919</v>
      </c>
      <c r="C21">
        <v>55455103</v>
      </c>
      <c r="D21">
        <v>53646032</v>
      </c>
      <c r="E21">
        <v>1</v>
      </c>
      <c r="F21">
        <v>1</v>
      </c>
      <c r="G21">
        <v>1</v>
      </c>
      <c r="H21">
        <v>3</v>
      </c>
      <c r="I21" t="s">
        <v>331</v>
      </c>
      <c r="J21" t="s">
        <v>332</v>
      </c>
      <c r="K21" t="s">
        <v>333</v>
      </c>
      <c r="L21">
        <v>1346</v>
      </c>
      <c r="N21">
        <v>1009</v>
      </c>
      <c r="O21" t="s">
        <v>85</v>
      </c>
      <c r="P21" t="s">
        <v>85</v>
      </c>
      <c r="Q21">
        <v>1</v>
      </c>
      <c r="W21">
        <v>0</v>
      </c>
      <c r="X21">
        <v>1052716416</v>
      </c>
      <c r="Y21">
        <v>0</v>
      </c>
      <c r="AA21">
        <v>12.41</v>
      </c>
      <c r="AB21">
        <v>0</v>
      </c>
      <c r="AC21">
        <v>0</v>
      </c>
      <c r="AD21">
        <v>0</v>
      </c>
      <c r="AE21">
        <v>1.82</v>
      </c>
      <c r="AF21">
        <v>0</v>
      </c>
      <c r="AG21">
        <v>0</v>
      </c>
      <c r="AH21">
        <v>0</v>
      </c>
      <c r="AI21">
        <v>6.82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0.5</v>
      </c>
      <c r="AU21" t="s">
        <v>41</v>
      </c>
      <c r="AV21">
        <v>0</v>
      </c>
      <c r="AW21">
        <v>2</v>
      </c>
      <c r="AX21">
        <v>55455120</v>
      </c>
      <c r="AY21">
        <v>1</v>
      </c>
      <c r="AZ21">
        <v>0</v>
      </c>
      <c r="BA21">
        <v>22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Y21*Source!I33</f>
        <v>0</v>
      </c>
      <c r="CY21">
        <f>AA21</f>
        <v>12.41</v>
      </c>
      <c r="CZ21">
        <f>AE21</f>
        <v>1.82</v>
      </c>
      <c r="DA21">
        <f>AI21</f>
        <v>6.82</v>
      </c>
      <c r="DB21">
        <f>ROUND((ROUND(AT21*CZ21,2)*ROUND(0,7)),2)</f>
        <v>0</v>
      </c>
      <c r="DC21">
        <f>ROUND((ROUND(AT21*AG21,2)*ROUND(0,7)),2)</f>
        <v>0</v>
      </c>
    </row>
    <row r="22" spans="1:107" ht="12.75">
      <c r="A22">
        <f>ROW(Source!A33)</f>
        <v>33</v>
      </c>
      <c r="B22">
        <v>55454919</v>
      </c>
      <c r="C22">
        <v>55455103</v>
      </c>
      <c r="D22">
        <v>53646910</v>
      </c>
      <c r="E22">
        <v>1</v>
      </c>
      <c r="F22">
        <v>1</v>
      </c>
      <c r="G22">
        <v>1</v>
      </c>
      <c r="H22">
        <v>3</v>
      </c>
      <c r="I22" t="s">
        <v>334</v>
      </c>
      <c r="J22" t="s">
        <v>335</v>
      </c>
      <c r="K22" t="s">
        <v>336</v>
      </c>
      <c r="L22">
        <v>1348</v>
      </c>
      <c r="N22">
        <v>1009</v>
      </c>
      <c r="O22" t="s">
        <v>34</v>
      </c>
      <c r="P22" t="s">
        <v>34</v>
      </c>
      <c r="Q22">
        <v>1000</v>
      </c>
      <c r="W22">
        <v>0</v>
      </c>
      <c r="X22">
        <v>-1771719913</v>
      </c>
      <c r="Y22">
        <v>0</v>
      </c>
      <c r="AA22">
        <v>1752.74</v>
      </c>
      <c r="AB22">
        <v>0</v>
      </c>
      <c r="AC22">
        <v>0</v>
      </c>
      <c r="AD22">
        <v>0</v>
      </c>
      <c r="AE22">
        <v>257</v>
      </c>
      <c r="AF22">
        <v>0</v>
      </c>
      <c r="AG22">
        <v>0</v>
      </c>
      <c r="AH22">
        <v>0</v>
      </c>
      <c r="AI22">
        <v>6.82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0.16</v>
      </c>
      <c r="AU22" t="s">
        <v>41</v>
      </c>
      <c r="AV22">
        <v>0</v>
      </c>
      <c r="AW22">
        <v>2</v>
      </c>
      <c r="AX22">
        <v>55455121</v>
      </c>
      <c r="AY22">
        <v>1</v>
      </c>
      <c r="AZ22">
        <v>0</v>
      </c>
      <c r="BA22">
        <v>23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Y22*Source!I33</f>
        <v>0</v>
      </c>
      <c r="CY22">
        <f>AA22</f>
        <v>1752.74</v>
      </c>
      <c r="CZ22">
        <f>AE22</f>
        <v>257</v>
      </c>
      <c r="DA22">
        <f>AI22</f>
        <v>6.82</v>
      </c>
      <c r="DB22">
        <f>ROUND((ROUND(AT22*CZ22,2)*ROUND(0,7)),2)</f>
        <v>0</v>
      </c>
      <c r="DC22">
        <f>ROUND((ROUND(AT22*AG22,2)*ROUND(0,7)),2)</f>
        <v>0</v>
      </c>
    </row>
    <row r="23" spans="1:107" ht="12.75">
      <c r="A23">
        <f>ROW(Source!A33)</f>
        <v>33</v>
      </c>
      <c r="B23">
        <v>55454919</v>
      </c>
      <c r="C23">
        <v>55455103</v>
      </c>
      <c r="D23">
        <v>53647957</v>
      </c>
      <c r="E23">
        <v>1</v>
      </c>
      <c r="F23">
        <v>1</v>
      </c>
      <c r="G23">
        <v>1</v>
      </c>
      <c r="H23">
        <v>3</v>
      </c>
      <c r="I23" t="s">
        <v>337</v>
      </c>
      <c r="J23" t="s">
        <v>338</v>
      </c>
      <c r="K23" t="s">
        <v>339</v>
      </c>
      <c r="L23">
        <v>1346</v>
      </c>
      <c r="N23">
        <v>1009</v>
      </c>
      <c r="O23" t="s">
        <v>85</v>
      </c>
      <c r="P23" t="s">
        <v>85</v>
      </c>
      <c r="Q23">
        <v>1</v>
      </c>
      <c r="W23">
        <v>0</v>
      </c>
      <c r="X23">
        <v>-2084089385</v>
      </c>
      <c r="Y23">
        <v>0</v>
      </c>
      <c r="AA23">
        <v>342.3</v>
      </c>
      <c r="AB23">
        <v>0</v>
      </c>
      <c r="AC23">
        <v>0</v>
      </c>
      <c r="AD23">
        <v>0</v>
      </c>
      <c r="AE23">
        <v>50.19</v>
      </c>
      <c r="AF23">
        <v>0</v>
      </c>
      <c r="AG23">
        <v>0</v>
      </c>
      <c r="AH23">
        <v>0</v>
      </c>
      <c r="AI23">
        <v>6.82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572</v>
      </c>
      <c r="AU23" t="s">
        <v>41</v>
      </c>
      <c r="AV23">
        <v>0</v>
      </c>
      <c r="AW23">
        <v>2</v>
      </c>
      <c r="AX23">
        <v>55455122</v>
      </c>
      <c r="AY23">
        <v>1</v>
      </c>
      <c r="AZ23">
        <v>0</v>
      </c>
      <c r="BA23">
        <v>24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Y23*Source!I33</f>
        <v>0</v>
      </c>
      <c r="CY23">
        <f>AA23</f>
        <v>342.3</v>
      </c>
      <c r="CZ23">
        <f>AE23</f>
        <v>50.19</v>
      </c>
      <c r="DA23">
        <f>AI23</f>
        <v>6.82</v>
      </c>
      <c r="DB23">
        <f>ROUND((ROUND(AT23*CZ23,2)*ROUND(0,7)),2)</f>
        <v>0</v>
      </c>
      <c r="DC23">
        <f>ROUND((ROUND(AT23*AG23,2)*ROUND(0,7)),2)</f>
        <v>0</v>
      </c>
    </row>
    <row r="24" spans="1:107" ht="12.75">
      <c r="A24">
        <f>ROW(Source!A33)</f>
        <v>33</v>
      </c>
      <c r="B24">
        <v>55454919</v>
      </c>
      <c r="C24">
        <v>55455103</v>
      </c>
      <c r="D24">
        <v>53674799</v>
      </c>
      <c r="E24">
        <v>1</v>
      </c>
      <c r="F24">
        <v>1</v>
      </c>
      <c r="G24">
        <v>1</v>
      </c>
      <c r="H24">
        <v>3</v>
      </c>
      <c r="I24" t="s">
        <v>340</v>
      </c>
      <c r="J24" t="s">
        <v>341</v>
      </c>
      <c r="K24" t="s">
        <v>342</v>
      </c>
      <c r="L24">
        <v>1296</v>
      </c>
      <c r="N24">
        <v>1002</v>
      </c>
      <c r="O24" t="s">
        <v>343</v>
      </c>
      <c r="P24" t="s">
        <v>343</v>
      </c>
      <c r="Q24">
        <v>1</v>
      </c>
      <c r="W24">
        <v>0</v>
      </c>
      <c r="X24">
        <v>-288631517</v>
      </c>
      <c r="Y24">
        <v>0</v>
      </c>
      <c r="AA24">
        <v>488.99</v>
      </c>
      <c r="AB24">
        <v>0</v>
      </c>
      <c r="AC24">
        <v>0</v>
      </c>
      <c r="AD24">
        <v>0</v>
      </c>
      <c r="AE24">
        <v>71.7</v>
      </c>
      <c r="AF24">
        <v>0</v>
      </c>
      <c r="AG24">
        <v>0</v>
      </c>
      <c r="AH24">
        <v>0</v>
      </c>
      <c r="AI24">
        <v>6.82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0.2</v>
      </c>
      <c r="AU24" t="s">
        <v>41</v>
      </c>
      <c r="AV24">
        <v>0</v>
      </c>
      <c r="AW24">
        <v>2</v>
      </c>
      <c r="AX24">
        <v>55455124</v>
      </c>
      <c r="AY24">
        <v>1</v>
      </c>
      <c r="AZ24">
        <v>0</v>
      </c>
      <c r="BA24">
        <v>26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Y24*Source!I33</f>
        <v>0</v>
      </c>
      <c r="CY24">
        <f>AA24</f>
        <v>488.99</v>
      </c>
      <c r="CZ24">
        <f>AE24</f>
        <v>71.7</v>
      </c>
      <c r="DA24">
        <f>AI24</f>
        <v>6.82</v>
      </c>
      <c r="DB24">
        <f>ROUND((ROUND(AT24*CZ24,2)*ROUND(0,7)),2)</f>
        <v>0</v>
      </c>
      <c r="DC24">
        <f>ROUND((ROUND(AT24*AG24,2)*ROUND(0,7)),2)</f>
        <v>0</v>
      </c>
    </row>
    <row r="25" spans="1:107" ht="12.75">
      <c r="A25">
        <f>ROW(Source!A34)</f>
        <v>34</v>
      </c>
      <c r="B25">
        <v>55454918</v>
      </c>
      <c r="C25">
        <v>55455125</v>
      </c>
      <c r="D25">
        <v>53630033</v>
      </c>
      <c r="E25">
        <v>70</v>
      </c>
      <c r="F25">
        <v>1</v>
      </c>
      <c r="G25">
        <v>1</v>
      </c>
      <c r="H25">
        <v>1</v>
      </c>
      <c r="I25" t="s">
        <v>311</v>
      </c>
      <c r="K25" t="s">
        <v>344</v>
      </c>
      <c r="L25">
        <v>1191</v>
      </c>
      <c r="N25">
        <v>1013</v>
      </c>
      <c r="O25" t="s">
        <v>313</v>
      </c>
      <c r="P25" t="s">
        <v>313</v>
      </c>
      <c r="Q25">
        <v>1</v>
      </c>
      <c r="W25">
        <v>0</v>
      </c>
      <c r="X25">
        <v>2031828327</v>
      </c>
      <c r="Y25">
        <v>46.01</v>
      </c>
      <c r="AA25">
        <v>0</v>
      </c>
      <c r="AB25">
        <v>0</v>
      </c>
      <c r="AC25">
        <v>0</v>
      </c>
      <c r="AD25">
        <v>7.8</v>
      </c>
      <c r="AE25">
        <v>0</v>
      </c>
      <c r="AF25">
        <v>0</v>
      </c>
      <c r="AG25">
        <v>0</v>
      </c>
      <c r="AH25">
        <v>7.8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46.01</v>
      </c>
      <c r="AV25">
        <v>1</v>
      </c>
      <c r="AW25">
        <v>2</v>
      </c>
      <c r="AX25">
        <v>55455130</v>
      </c>
      <c r="AY25">
        <v>1</v>
      </c>
      <c r="AZ25">
        <v>0</v>
      </c>
      <c r="BA25">
        <v>27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Y25*Source!I34</f>
        <v>126.98759999999999</v>
      </c>
      <c r="CY25">
        <f>AD25</f>
        <v>7.8</v>
      </c>
      <c r="CZ25">
        <f>AH25</f>
        <v>7.8</v>
      </c>
      <c r="DA25">
        <f>AL25</f>
        <v>1</v>
      </c>
      <c r="DB25">
        <f aca="true" t="shared" si="0" ref="DB25:DB44">ROUND(ROUND(AT25*CZ25,2),2)</f>
        <v>358.88</v>
      </c>
      <c r="DC25">
        <f aca="true" t="shared" si="1" ref="DC25:DC44">ROUND(ROUND(AT25*AG25,2),2)</f>
        <v>0</v>
      </c>
    </row>
    <row r="26" spans="1:107" ht="12.75">
      <c r="A26">
        <f>ROW(Source!A34)</f>
        <v>34</v>
      </c>
      <c r="B26">
        <v>55454918</v>
      </c>
      <c r="C26">
        <v>55455125</v>
      </c>
      <c r="D26">
        <v>53630257</v>
      </c>
      <c r="E26">
        <v>70</v>
      </c>
      <c r="F26">
        <v>1</v>
      </c>
      <c r="G26">
        <v>1</v>
      </c>
      <c r="H26">
        <v>1</v>
      </c>
      <c r="I26" t="s">
        <v>316</v>
      </c>
      <c r="K26" t="s">
        <v>317</v>
      </c>
      <c r="L26">
        <v>1191</v>
      </c>
      <c r="N26">
        <v>1013</v>
      </c>
      <c r="O26" t="s">
        <v>313</v>
      </c>
      <c r="P26" t="s">
        <v>313</v>
      </c>
      <c r="Q26">
        <v>1</v>
      </c>
      <c r="W26">
        <v>0</v>
      </c>
      <c r="X26">
        <v>-1417349443</v>
      </c>
      <c r="Y26">
        <v>1.76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1.76</v>
      </c>
      <c r="AV26">
        <v>2</v>
      </c>
      <c r="AW26">
        <v>2</v>
      </c>
      <c r="AX26">
        <v>55455131</v>
      </c>
      <c r="AY26">
        <v>1</v>
      </c>
      <c r="AZ26">
        <v>0</v>
      </c>
      <c r="BA26">
        <v>28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Y26*Source!I34</f>
        <v>4.8576</v>
      </c>
      <c r="CY26">
        <f>AD26</f>
        <v>0</v>
      </c>
      <c r="CZ26">
        <f>AH26</f>
        <v>0</v>
      </c>
      <c r="DA26">
        <f>AL26</f>
        <v>1</v>
      </c>
      <c r="DB26">
        <f t="shared" si="0"/>
        <v>0</v>
      </c>
      <c r="DC26">
        <f t="shared" si="1"/>
        <v>0</v>
      </c>
    </row>
    <row r="27" spans="1:107" ht="12.75">
      <c r="A27">
        <f>ROW(Source!A34)</f>
        <v>34</v>
      </c>
      <c r="B27">
        <v>55454918</v>
      </c>
      <c r="C27">
        <v>55455125</v>
      </c>
      <c r="D27">
        <v>53792191</v>
      </c>
      <c r="E27">
        <v>1</v>
      </c>
      <c r="F27">
        <v>1</v>
      </c>
      <c r="G27">
        <v>1</v>
      </c>
      <c r="H27">
        <v>2</v>
      </c>
      <c r="I27" t="s">
        <v>318</v>
      </c>
      <c r="J27" t="s">
        <v>319</v>
      </c>
      <c r="K27" t="s">
        <v>320</v>
      </c>
      <c r="L27">
        <v>1367</v>
      </c>
      <c r="N27">
        <v>1011</v>
      </c>
      <c r="O27" t="s">
        <v>321</v>
      </c>
      <c r="P27" t="s">
        <v>321</v>
      </c>
      <c r="Q27">
        <v>1</v>
      </c>
      <c r="W27">
        <v>0</v>
      </c>
      <c r="X27">
        <v>1232162608</v>
      </c>
      <c r="Y27">
        <v>1.76</v>
      </c>
      <c r="AA27">
        <v>0</v>
      </c>
      <c r="AB27">
        <v>31.26</v>
      </c>
      <c r="AC27">
        <v>13.5</v>
      </c>
      <c r="AD27">
        <v>0</v>
      </c>
      <c r="AE27">
        <v>0</v>
      </c>
      <c r="AF27">
        <v>31.26</v>
      </c>
      <c r="AG27">
        <v>13.5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1.76</v>
      </c>
      <c r="AV27">
        <v>0</v>
      </c>
      <c r="AW27">
        <v>2</v>
      </c>
      <c r="AX27">
        <v>55455132</v>
      </c>
      <c r="AY27">
        <v>1</v>
      </c>
      <c r="AZ27">
        <v>0</v>
      </c>
      <c r="BA27">
        <v>29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Y27*Source!I34</f>
        <v>4.8576</v>
      </c>
      <c r="CY27">
        <f>AB27</f>
        <v>31.26</v>
      </c>
      <c r="CZ27">
        <f>AF27</f>
        <v>31.26</v>
      </c>
      <c r="DA27">
        <f>AJ27</f>
        <v>1</v>
      </c>
      <c r="DB27">
        <f t="shared" si="0"/>
        <v>55.02</v>
      </c>
      <c r="DC27">
        <f t="shared" si="1"/>
        <v>23.76</v>
      </c>
    </row>
    <row r="28" spans="1:107" ht="12.75">
      <c r="A28">
        <f>ROW(Source!A34)</f>
        <v>34</v>
      </c>
      <c r="B28">
        <v>55454918</v>
      </c>
      <c r="C28">
        <v>55455125</v>
      </c>
      <c r="D28">
        <v>53634988</v>
      </c>
      <c r="E28">
        <v>70</v>
      </c>
      <c r="F28">
        <v>1</v>
      </c>
      <c r="G28">
        <v>1</v>
      </c>
      <c r="H28">
        <v>3</v>
      </c>
      <c r="I28" t="s">
        <v>32</v>
      </c>
      <c r="K28" t="s">
        <v>33</v>
      </c>
      <c r="L28">
        <v>1348</v>
      </c>
      <c r="N28">
        <v>1009</v>
      </c>
      <c r="O28" t="s">
        <v>34</v>
      </c>
      <c r="P28" t="s">
        <v>34</v>
      </c>
      <c r="Q28">
        <v>1000</v>
      </c>
      <c r="W28">
        <v>0</v>
      </c>
      <c r="X28">
        <v>2102561428</v>
      </c>
      <c r="Y28">
        <v>2.8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T28">
        <v>2.8</v>
      </c>
      <c r="AV28">
        <v>0</v>
      </c>
      <c r="AW28">
        <v>2</v>
      </c>
      <c r="AX28">
        <v>55455133</v>
      </c>
      <c r="AY28">
        <v>1</v>
      </c>
      <c r="AZ28">
        <v>0</v>
      </c>
      <c r="BA28">
        <v>30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Y28*Source!I34</f>
        <v>7.727999999999999</v>
      </c>
      <c r="CY28">
        <f>AA28</f>
        <v>0</v>
      </c>
      <c r="CZ28">
        <f>AE28</f>
        <v>0</v>
      </c>
      <c r="DA28">
        <f>AI28</f>
        <v>1</v>
      </c>
      <c r="DB28">
        <f t="shared" si="0"/>
        <v>0</v>
      </c>
      <c r="DC28">
        <f t="shared" si="1"/>
        <v>0</v>
      </c>
    </row>
    <row r="29" spans="1:107" ht="12.75">
      <c r="A29">
        <f>ROW(Source!A35)</f>
        <v>35</v>
      </c>
      <c r="B29">
        <v>55454919</v>
      </c>
      <c r="C29">
        <v>55455125</v>
      </c>
      <c r="D29">
        <v>53630033</v>
      </c>
      <c r="E29">
        <v>70</v>
      </c>
      <c r="F29">
        <v>1</v>
      </c>
      <c r="G29">
        <v>1</v>
      </c>
      <c r="H29">
        <v>1</v>
      </c>
      <c r="I29" t="s">
        <v>311</v>
      </c>
      <c r="K29" t="s">
        <v>344</v>
      </c>
      <c r="L29">
        <v>1191</v>
      </c>
      <c r="N29">
        <v>1013</v>
      </c>
      <c r="O29" t="s">
        <v>313</v>
      </c>
      <c r="P29" t="s">
        <v>313</v>
      </c>
      <c r="Q29">
        <v>1</v>
      </c>
      <c r="W29">
        <v>0</v>
      </c>
      <c r="X29">
        <v>2031828327</v>
      </c>
      <c r="Y29">
        <v>46.01</v>
      </c>
      <c r="AA29">
        <v>0</v>
      </c>
      <c r="AB29">
        <v>0</v>
      </c>
      <c r="AC29">
        <v>0</v>
      </c>
      <c r="AD29">
        <v>284.47</v>
      </c>
      <c r="AE29">
        <v>0</v>
      </c>
      <c r="AF29">
        <v>0</v>
      </c>
      <c r="AG29">
        <v>0</v>
      </c>
      <c r="AH29">
        <v>7.8</v>
      </c>
      <c r="AI29">
        <v>1</v>
      </c>
      <c r="AJ29">
        <v>1</v>
      </c>
      <c r="AK29">
        <v>1</v>
      </c>
      <c r="AL29">
        <v>36.47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46.01</v>
      </c>
      <c r="AV29">
        <v>1</v>
      </c>
      <c r="AW29">
        <v>2</v>
      </c>
      <c r="AX29">
        <v>55455130</v>
      </c>
      <c r="AY29">
        <v>1</v>
      </c>
      <c r="AZ29">
        <v>0</v>
      </c>
      <c r="BA29">
        <v>31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Y29*Source!I35</f>
        <v>126.98759999999999</v>
      </c>
      <c r="CY29">
        <f>AD29</f>
        <v>284.47</v>
      </c>
      <c r="CZ29">
        <f>AH29</f>
        <v>7.8</v>
      </c>
      <c r="DA29">
        <f>AL29</f>
        <v>36.47</v>
      </c>
      <c r="DB29">
        <f t="shared" si="0"/>
        <v>358.88</v>
      </c>
      <c r="DC29">
        <f t="shared" si="1"/>
        <v>0</v>
      </c>
    </row>
    <row r="30" spans="1:107" ht="12.75">
      <c r="A30">
        <f>ROW(Source!A35)</f>
        <v>35</v>
      </c>
      <c r="B30">
        <v>55454919</v>
      </c>
      <c r="C30">
        <v>55455125</v>
      </c>
      <c r="D30">
        <v>53630257</v>
      </c>
      <c r="E30">
        <v>70</v>
      </c>
      <c r="F30">
        <v>1</v>
      </c>
      <c r="G30">
        <v>1</v>
      </c>
      <c r="H30">
        <v>1</v>
      </c>
      <c r="I30" t="s">
        <v>316</v>
      </c>
      <c r="K30" t="s">
        <v>317</v>
      </c>
      <c r="L30">
        <v>1191</v>
      </c>
      <c r="N30">
        <v>1013</v>
      </c>
      <c r="O30" t="s">
        <v>313</v>
      </c>
      <c r="P30" t="s">
        <v>313</v>
      </c>
      <c r="Q30">
        <v>1</v>
      </c>
      <c r="W30">
        <v>0</v>
      </c>
      <c r="X30">
        <v>-1417349443</v>
      </c>
      <c r="Y30">
        <v>1.76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36.47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1.76</v>
      </c>
      <c r="AV30">
        <v>2</v>
      </c>
      <c r="AW30">
        <v>2</v>
      </c>
      <c r="AX30">
        <v>55455131</v>
      </c>
      <c r="AY30">
        <v>1</v>
      </c>
      <c r="AZ30">
        <v>0</v>
      </c>
      <c r="BA30">
        <v>32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Y30*Source!I35</f>
        <v>4.8576</v>
      </c>
      <c r="CY30">
        <f>AD30</f>
        <v>0</v>
      </c>
      <c r="CZ30">
        <f>AH30</f>
        <v>0</v>
      </c>
      <c r="DA30">
        <f>AL30</f>
        <v>1</v>
      </c>
      <c r="DB30">
        <f t="shared" si="0"/>
        <v>0</v>
      </c>
      <c r="DC30">
        <f t="shared" si="1"/>
        <v>0</v>
      </c>
    </row>
    <row r="31" spans="1:107" ht="12.75">
      <c r="A31">
        <f>ROW(Source!A35)</f>
        <v>35</v>
      </c>
      <c r="B31">
        <v>55454919</v>
      </c>
      <c r="C31">
        <v>55455125</v>
      </c>
      <c r="D31">
        <v>53792191</v>
      </c>
      <c r="E31">
        <v>1</v>
      </c>
      <c r="F31">
        <v>1</v>
      </c>
      <c r="G31">
        <v>1</v>
      </c>
      <c r="H31">
        <v>2</v>
      </c>
      <c r="I31" t="s">
        <v>318</v>
      </c>
      <c r="J31" t="s">
        <v>319</v>
      </c>
      <c r="K31" t="s">
        <v>320</v>
      </c>
      <c r="L31">
        <v>1367</v>
      </c>
      <c r="N31">
        <v>1011</v>
      </c>
      <c r="O31" t="s">
        <v>321</v>
      </c>
      <c r="P31" t="s">
        <v>321</v>
      </c>
      <c r="Q31">
        <v>1</v>
      </c>
      <c r="W31">
        <v>0</v>
      </c>
      <c r="X31">
        <v>1232162608</v>
      </c>
      <c r="Y31">
        <v>1.76</v>
      </c>
      <c r="AA31">
        <v>0</v>
      </c>
      <c r="AB31">
        <v>405.44</v>
      </c>
      <c r="AC31">
        <v>492.35</v>
      </c>
      <c r="AD31">
        <v>0</v>
      </c>
      <c r="AE31">
        <v>0</v>
      </c>
      <c r="AF31">
        <v>31.26</v>
      </c>
      <c r="AG31">
        <v>13.5</v>
      </c>
      <c r="AH31">
        <v>0</v>
      </c>
      <c r="AI31">
        <v>1</v>
      </c>
      <c r="AJ31">
        <v>12.97</v>
      </c>
      <c r="AK31">
        <v>36.47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1.76</v>
      </c>
      <c r="AV31">
        <v>0</v>
      </c>
      <c r="AW31">
        <v>2</v>
      </c>
      <c r="AX31">
        <v>55455132</v>
      </c>
      <c r="AY31">
        <v>1</v>
      </c>
      <c r="AZ31">
        <v>0</v>
      </c>
      <c r="BA31">
        <v>33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Y31*Source!I35</f>
        <v>4.8576</v>
      </c>
      <c r="CY31">
        <f>AB31</f>
        <v>405.44</v>
      </c>
      <c r="CZ31">
        <f>AF31</f>
        <v>31.26</v>
      </c>
      <c r="DA31">
        <f>AJ31</f>
        <v>12.97</v>
      </c>
      <c r="DB31">
        <f t="shared" si="0"/>
        <v>55.02</v>
      </c>
      <c r="DC31">
        <f t="shared" si="1"/>
        <v>23.76</v>
      </c>
    </row>
    <row r="32" spans="1:107" ht="12.75">
      <c r="A32">
        <f>ROW(Source!A35)</f>
        <v>35</v>
      </c>
      <c r="B32">
        <v>55454919</v>
      </c>
      <c r="C32">
        <v>55455125</v>
      </c>
      <c r="D32">
        <v>53634988</v>
      </c>
      <c r="E32">
        <v>70</v>
      </c>
      <c r="F32">
        <v>1</v>
      </c>
      <c r="G32">
        <v>1</v>
      </c>
      <c r="H32">
        <v>3</v>
      </c>
      <c r="I32" t="s">
        <v>32</v>
      </c>
      <c r="K32" t="s">
        <v>33</v>
      </c>
      <c r="L32">
        <v>1348</v>
      </c>
      <c r="N32">
        <v>1009</v>
      </c>
      <c r="O32" t="s">
        <v>34</v>
      </c>
      <c r="P32" t="s">
        <v>34</v>
      </c>
      <c r="Q32">
        <v>1000</v>
      </c>
      <c r="W32">
        <v>0</v>
      </c>
      <c r="X32">
        <v>2102561428</v>
      </c>
      <c r="Y32">
        <v>2.8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6.82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T32">
        <v>2.8</v>
      </c>
      <c r="AV32">
        <v>0</v>
      </c>
      <c r="AW32">
        <v>2</v>
      </c>
      <c r="AX32">
        <v>55455133</v>
      </c>
      <c r="AY32">
        <v>1</v>
      </c>
      <c r="AZ32">
        <v>0</v>
      </c>
      <c r="BA32">
        <v>34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Y32*Source!I35</f>
        <v>7.727999999999999</v>
      </c>
      <c r="CY32">
        <f>AA32</f>
        <v>0</v>
      </c>
      <c r="CZ32">
        <f>AE32</f>
        <v>0</v>
      </c>
      <c r="DA32">
        <f>AI32</f>
        <v>6.82</v>
      </c>
      <c r="DB32">
        <f t="shared" si="0"/>
        <v>0</v>
      </c>
      <c r="DC32">
        <f t="shared" si="1"/>
        <v>0</v>
      </c>
    </row>
    <row r="33" spans="1:107" ht="12.75">
      <c r="A33">
        <f>ROW(Source!A38)</f>
        <v>38</v>
      </c>
      <c r="B33">
        <v>55454918</v>
      </c>
      <c r="C33">
        <v>55455135</v>
      </c>
      <c r="D33">
        <v>51126788</v>
      </c>
      <c r="E33">
        <v>68</v>
      </c>
      <c r="F33">
        <v>1</v>
      </c>
      <c r="G33">
        <v>1</v>
      </c>
      <c r="H33">
        <v>1</v>
      </c>
      <c r="I33" t="s">
        <v>345</v>
      </c>
      <c r="K33" t="s">
        <v>346</v>
      </c>
      <c r="L33">
        <v>1191</v>
      </c>
      <c r="N33">
        <v>1013</v>
      </c>
      <c r="O33" t="s">
        <v>313</v>
      </c>
      <c r="P33" t="s">
        <v>313</v>
      </c>
      <c r="Q33">
        <v>1</v>
      </c>
      <c r="W33">
        <v>0</v>
      </c>
      <c r="X33">
        <v>1049124552</v>
      </c>
      <c r="Y33">
        <v>111.2</v>
      </c>
      <c r="AA33">
        <v>0</v>
      </c>
      <c r="AB33">
        <v>0</v>
      </c>
      <c r="AC33">
        <v>0</v>
      </c>
      <c r="AD33">
        <v>8.53</v>
      </c>
      <c r="AE33">
        <v>0</v>
      </c>
      <c r="AF33">
        <v>0</v>
      </c>
      <c r="AG33">
        <v>0</v>
      </c>
      <c r="AH33">
        <v>8.53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111.2</v>
      </c>
      <c r="AV33">
        <v>1</v>
      </c>
      <c r="AW33">
        <v>2</v>
      </c>
      <c r="AX33">
        <v>55455142</v>
      </c>
      <c r="AY33">
        <v>1</v>
      </c>
      <c r="AZ33">
        <v>0</v>
      </c>
      <c r="BA33">
        <v>35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Y33*Source!I38</f>
        <v>581.576</v>
      </c>
      <c r="CY33">
        <f>AD33</f>
        <v>8.53</v>
      </c>
      <c r="CZ33">
        <f>AH33</f>
        <v>8.53</v>
      </c>
      <c r="DA33">
        <f>AL33</f>
        <v>1</v>
      </c>
      <c r="DB33">
        <f t="shared" si="0"/>
        <v>948.54</v>
      </c>
      <c r="DC33">
        <f t="shared" si="1"/>
        <v>0</v>
      </c>
    </row>
    <row r="34" spans="1:107" ht="12.75">
      <c r="A34">
        <f>ROW(Source!A38)</f>
        <v>38</v>
      </c>
      <c r="B34">
        <v>55454918</v>
      </c>
      <c r="C34">
        <v>55455135</v>
      </c>
      <c r="D34">
        <v>51127040</v>
      </c>
      <c r="E34">
        <v>68</v>
      </c>
      <c r="F34">
        <v>1</v>
      </c>
      <c r="G34">
        <v>1</v>
      </c>
      <c r="H34">
        <v>1</v>
      </c>
      <c r="I34" t="s">
        <v>316</v>
      </c>
      <c r="K34" t="s">
        <v>317</v>
      </c>
      <c r="L34">
        <v>1191</v>
      </c>
      <c r="N34">
        <v>1013</v>
      </c>
      <c r="O34" t="s">
        <v>313</v>
      </c>
      <c r="P34" t="s">
        <v>313</v>
      </c>
      <c r="Q34">
        <v>1</v>
      </c>
      <c r="W34">
        <v>0</v>
      </c>
      <c r="X34">
        <v>-1417349443</v>
      </c>
      <c r="Y34">
        <v>1.8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1.8</v>
      </c>
      <c r="AV34">
        <v>2</v>
      </c>
      <c r="AW34">
        <v>2</v>
      </c>
      <c r="AX34">
        <v>55455143</v>
      </c>
      <c r="AY34">
        <v>1</v>
      </c>
      <c r="AZ34">
        <v>0</v>
      </c>
      <c r="BA34">
        <v>36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Y34*Source!I38</f>
        <v>9.414000000000001</v>
      </c>
      <c r="CY34">
        <f>AD34</f>
        <v>0</v>
      </c>
      <c r="CZ34">
        <f>AH34</f>
        <v>0</v>
      </c>
      <c r="DA34">
        <f>AL34</f>
        <v>1</v>
      </c>
      <c r="DB34">
        <f t="shared" si="0"/>
        <v>0</v>
      </c>
      <c r="DC34">
        <f t="shared" si="1"/>
        <v>0</v>
      </c>
    </row>
    <row r="35" spans="1:107" ht="12.75">
      <c r="A35">
        <f>ROW(Source!A38)</f>
        <v>38</v>
      </c>
      <c r="B35">
        <v>55454918</v>
      </c>
      <c r="C35">
        <v>55455135</v>
      </c>
      <c r="D35">
        <v>51289370</v>
      </c>
      <c r="E35">
        <v>1</v>
      </c>
      <c r="F35">
        <v>1</v>
      </c>
      <c r="G35">
        <v>1</v>
      </c>
      <c r="H35">
        <v>2</v>
      </c>
      <c r="I35" t="s">
        <v>318</v>
      </c>
      <c r="J35" t="s">
        <v>319</v>
      </c>
      <c r="K35" t="s">
        <v>320</v>
      </c>
      <c r="L35">
        <v>1367</v>
      </c>
      <c r="N35">
        <v>1011</v>
      </c>
      <c r="O35" t="s">
        <v>321</v>
      </c>
      <c r="P35" t="s">
        <v>321</v>
      </c>
      <c r="Q35">
        <v>1</v>
      </c>
      <c r="W35">
        <v>0</v>
      </c>
      <c r="X35">
        <v>1098214667</v>
      </c>
      <c r="Y35">
        <v>1.8</v>
      </c>
      <c r="AA35">
        <v>0</v>
      </c>
      <c r="AB35">
        <v>31.26</v>
      </c>
      <c r="AC35">
        <v>13.5</v>
      </c>
      <c r="AD35">
        <v>0</v>
      </c>
      <c r="AE35">
        <v>0</v>
      </c>
      <c r="AF35">
        <v>31.26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1.8</v>
      </c>
      <c r="AV35">
        <v>0</v>
      </c>
      <c r="AW35">
        <v>2</v>
      </c>
      <c r="AX35">
        <v>55455144</v>
      </c>
      <c r="AY35">
        <v>1</v>
      </c>
      <c r="AZ35">
        <v>0</v>
      </c>
      <c r="BA35">
        <v>37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Y35*Source!I38</f>
        <v>9.414000000000001</v>
      </c>
      <c r="CY35">
        <f>AB35</f>
        <v>31.26</v>
      </c>
      <c r="CZ35">
        <f>AF35</f>
        <v>31.26</v>
      </c>
      <c r="DA35">
        <f>AJ35</f>
        <v>1</v>
      </c>
      <c r="DB35">
        <f t="shared" si="0"/>
        <v>56.27</v>
      </c>
      <c r="DC35">
        <f t="shared" si="1"/>
        <v>24.3</v>
      </c>
    </row>
    <row r="36" spans="1:107" ht="12.75">
      <c r="A36">
        <f>ROW(Source!A38)</f>
        <v>38</v>
      </c>
      <c r="B36">
        <v>55454918</v>
      </c>
      <c r="C36">
        <v>55455135</v>
      </c>
      <c r="D36">
        <v>51290346</v>
      </c>
      <c r="E36">
        <v>1</v>
      </c>
      <c r="F36">
        <v>1</v>
      </c>
      <c r="G36">
        <v>1</v>
      </c>
      <c r="H36">
        <v>2</v>
      </c>
      <c r="I36" t="s">
        <v>347</v>
      </c>
      <c r="J36" t="s">
        <v>348</v>
      </c>
      <c r="K36" t="s">
        <v>349</v>
      </c>
      <c r="L36">
        <v>1367</v>
      </c>
      <c r="N36">
        <v>1011</v>
      </c>
      <c r="O36" t="s">
        <v>321</v>
      </c>
      <c r="P36" t="s">
        <v>321</v>
      </c>
      <c r="Q36">
        <v>1</v>
      </c>
      <c r="W36">
        <v>0</v>
      </c>
      <c r="X36">
        <v>-819359457</v>
      </c>
      <c r="Y36">
        <v>19.2</v>
      </c>
      <c r="AA36">
        <v>0</v>
      </c>
      <c r="AB36">
        <v>48.81</v>
      </c>
      <c r="AC36">
        <v>0</v>
      </c>
      <c r="AD36">
        <v>0</v>
      </c>
      <c r="AE36">
        <v>0</v>
      </c>
      <c r="AF36">
        <v>48.81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19.2</v>
      </c>
      <c r="AV36">
        <v>0</v>
      </c>
      <c r="AW36">
        <v>2</v>
      </c>
      <c r="AX36">
        <v>55455145</v>
      </c>
      <c r="AY36">
        <v>1</v>
      </c>
      <c r="AZ36">
        <v>0</v>
      </c>
      <c r="BA36">
        <v>38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Y36*Source!I38</f>
        <v>100.41600000000001</v>
      </c>
      <c r="CY36">
        <f>AB36</f>
        <v>48.81</v>
      </c>
      <c r="CZ36">
        <f>AF36</f>
        <v>48.81</v>
      </c>
      <c r="DA36">
        <f>AJ36</f>
        <v>1</v>
      </c>
      <c r="DB36">
        <f t="shared" si="0"/>
        <v>937.15</v>
      </c>
      <c r="DC36">
        <f t="shared" si="1"/>
        <v>0</v>
      </c>
    </row>
    <row r="37" spans="1:107" ht="12.75">
      <c r="A37">
        <f>ROW(Source!A38)</f>
        <v>38</v>
      </c>
      <c r="B37">
        <v>55454918</v>
      </c>
      <c r="C37">
        <v>55455135</v>
      </c>
      <c r="D37">
        <v>51290802</v>
      </c>
      <c r="E37">
        <v>1</v>
      </c>
      <c r="F37">
        <v>1</v>
      </c>
      <c r="G37">
        <v>1</v>
      </c>
      <c r="H37">
        <v>2</v>
      </c>
      <c r="I37" t="s">
        <v>350</v>
      </c>
      <c r="J37" t="s">
        <v>351</v>
      </c>
      <c r="K37" t="s">
        <v>352</v>
      </c>
      <c r="L37">
        <v>1367</v>
      </c>
      <c r="N37">
        <v>1011</v>
      </c>
      <c r="O37" t="s">
        <v>321</v>
      </c>
      <c r="P37" t="s">
        <v>321</v>
      </c>
      <c r="Q37">
        <v>1</v>
      </c>
      <c r="W37">
        <v>0</v>
      </c>
      <c r="X37">
        <v>-971307430</v>
      </c>
      <c r="Y37">
        <v>38.4</v>
      </c>
      <c r="AA37">
        <v>0</v>
      </c>
      <c r="AB37">
        <v>1.53</v>
      </c>
      <c r="AC37">
        <v>0</v>
      </c>
      <c r="AD37">
        <v>0</v>
      </c>
      <c r="AE37">
        <v>0</v>
      </c>
      <c r="AF37">
        <v>1.53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38.4</v>
      </c>
      <c r="AV37">
        <v>0</v>
      </c>
      <c r="AW37">
        <v>2</v>
      </c>
      <c r="AX37">
        <v>55455146</v>
      </c>
      <c r="AY37">
        <v>1</v>
      </c>
      <c r="AZ37">
        <v>0</v>
      </c>
      <c r="BA37">
        <v>39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Y37*Source!I38</f>
        <v>200.83200000000002</v>
      </c>
      <c r="CY37">
        <f>AB37</f>
        <v>1.53</v>
      </c>
      <c r="CZ37">
        <f>AF37</f>
        <v>1.53</v>
      </c>
      <c r="DA37">
        <f>AJ37</f>
        <v>1</v>
      </c>
      <c r="DB37">
        <f t="shared" si="0"/>
        <v>58.75</v>
      </c>
      <c r="DC37">
        <f t="shared" si="1"/>
        <v>0</v>
      </c>
    </row>
    <row r="38" spans="1:107" ht="12.75">
      <c r="A38">
        <f>ROW(Source!A38)</f>
        <v>38</v>
      </c>
      <c r="B38">
        <v>55454918</v>
      </c>
      <c r="C38">
        <v>55455135</v>
      </c>
      <c r="D38">
        <v>51131816</v>
      </c>
      <c r="E38">
        <v>68</v>
      </c>
      <c r="F38">
        <v>1</v>
      </c>
      <c r="G38">
        <v>1</v>
      </c>
      <c r="H38">
        <v>3</v>
      </c>
      <c r="I38" t="s">
        <v>32</v>
      </c>
      <c r="K38" t="s">
        <v>33</v>
      </c>
      <c r="L38">
        <v>1348</v>
      </c>
      <c r="N38">
        <v>1009</v>
      </c>
      <c r="O38" t="s">
        <v>34</v>
      </c>
      <c r="P38" t="s">
        <v>34</v>
      </c>
      <c r="Q38">
        <v>1000</v>
      </c>
      <c r="W38">
        <v>0</v>
      </c>
      <c r="X38">
        <v>2102561428</v>
      </c>
      <c r="Y38">
        <v>33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1</v>
      </c>
      <c r="AQ38">
        <v>0</v>
      </c>
      <c r="AR38">
        <v>0</v>
      </c>
      <c r="AT38">
        <v>33</v>
      </c>
      <c r="AV38">
        <v>0</v>
      </c>
      <c r="AW38">
        <v>2</v>
      </c>
      <c r="AX38">
        <v>55455147</v>
      </c>
      <c r="AY38">
        <v>1</v>
      </c>
      <c r="AZ38">
        <v>0</v>
      </c>
      <c r="BA38">
        <v>40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Y38*Source!I38</f>
        <v>172.59</v>
      </c>
      <c r="CY38">
        <f>AA38</f>
        <v>0</v>
      </c>
      <c r="CZ38">
        <f>AE38</f>
        <v>0</v>
      </c>
      <c r="DA38">
        <f>AI38</f>
        <v>1</v>
      </c>
      <c r="DB38">
        <f t="shared" si="0"/>
        <v>0</v>
      </c>
      <c r="DC38">
        <f t="shared" si="1"/>
        <v>0</v>
      </c>
    </row>
    <row r="39" spans="1:107" ht="12.75">
      <c r="A39">
        <f>ROW(Source!A39)</f>
        <v>39</v>
      </c>
      <c r="B39">
        <v>55454919</v>
      </c>
      <c r="C39">
        <v>55455135</v>
      </c>
      <c r="D39">
        <v>51126788</v>
      </c>
      <c r="E39">
        <v>68</v>
      </c>
      <c r="F39">
        <v>1</v>
      </c>
      <c r="G39">
        <v>1</v>
      </c>
      <c r="H39">
        <v>1</v>
      </c>
      <c r="I39" t="s">
        <v>345</v>
      </c>
      <c r="K39" t="s">
        <v>346</v>
      </c>
      <c r="L39">
        <v>1191</v>
      </c>
      <c r="N39">
        <v>1013</v>
      </c>
      <c r="O39" t="s">
        <v>313</v>
      </c>
      <c r="P39" t="s">
        <v>313</v>
      </c>
      <c r="Q39">
        <v>1</v>
      </c>
      <c r="W39">
        <v>0</v>
      </c>
      <c r="X39">
        <v>1049124552</v>
      </c>
      <c r="Y39">
        <v>111.2</v>
      </c>
      <c r="AA39">
        <v>0</v>
      </c>
      <c r="AB39">
        <v>0</v>
      </c>
      <c r="AC39">
        <v>0</v>
      </c>
      <c r="AD39">
        <v>311.09</v>
      </c>
      <c r="AE39">
        <v>0</v>
      </c>
      <c r="AF39">
        <v>0</v>
      </c>
      <c r="AG39">
        <v>0</v>
      </c>
      <c r="AH39">
        <v>8.53</v>
      </c>
      <c r="AI39">
        <v>1</v>
      </c>
      <c r="AJ39">
        <v>1</v>
      </c>
      <c r="AK39">
        <v>1</v>
      </c>
      <c r="AL39">
        <v>36.47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111.2</v>
      </c>
      <c r="AV39">
        <v>1</v>
      </c>
      <c r="AW39">
        <v>2</v>
      </c>
      <c r="AX39">
        <v>55455142</v>
      </c>
      <c r="AY39">
        <v>1</v>
      </c>
      <c r="AZ39">
        <v>0</v>
      </c>
      <c r="BA39">
        <v>41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Y39*Source!I39</f>
        <v>581.576</v>
      </c>
      <c r="CY39">
        <f>AD39</f>
        <v>311.09</v>
      </c>
      <c r="CZ39">
        <f>AH39</f>
        <v>8.53</v>
      </c>
      <c r="DA39">
        <f>AL39</f>
        <v>36.47</v>
      </c>
      <c r="DB39">
        <f t="shared" si="0"/>
        <v>948.54</v>
      </c>
      <c r="DC39">
        <f t="shared" si="1"/>
        <v>0</v>
      </c>
    </row>
    <row r="40" spans="1:107" ht="12.75">
      <c r="A40">
        <f>ROW(Source!A39)</f>
        <v>39</v>
      </c>
      <c r="B40">
        <v>55454919</v>
      </c>
      <c r="C40">
        <v>55455135</v>
      </c>
      <c r="D40">
        <v>51127040</v>
      </c>
      <c r="E40">
        <v>68</v>
      </c>
      <c r="F40">
        <v>1</v>
      </c>
      <c r="G40">
        <v>1</v>
      </c>
      <c r="H40">
        <v>1</v>
      </c>
      <c r="I40" t="s">
        <v>316</v>
      </c>
      <c r="K40" t="s">
        <v>317</v>
      </c>
      <c r="L40">
        <v>1191</v>
      </c>
      <c r="N40">
        <v>1013</v>
      </c>
      <c r="O40" t="s">
        <v>313</v>
      </c>
      <c r="P40" t="s">
        <v>313</v>
      </c>
      <c r="Q40">
        <v>1</v>
      </c>
      <c r="W40">
        <v>0</v>
      </c>
      <c r="X40">
        <v>-1417349443</v>
      </c>
      <c r="Y40">
        <v>1.8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36.47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1.8</v>
      </c>
      <c r="AV40">
        <v>2</v>
      </c>
      <c r="AW40">
        <v>2</v>
      </c>
      <c r="AX40">
        <v>55455143</v>
      </c>
      <c r="AY40">
        <v>1</v>
      </c>
      <c r="AZ40">
        <v>0</v>
      </c>
      <c r="BA40">
        <v>42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Y40*Source!I39</f>
        <v>9.414000000000001</v>
      </c>
      <c r="CY40">
        <f>AD40</f>
        <v>0</v>
      </c>
      <c r="CZ40">
        <f>AH40</f>
        <v>0</v>
      </c>
      <c r="DA40">
        <f>AL40</f>
        <v>1</v>
      </c>
      <c r="DB40">
        <f t="shared" si="0"/>
        <v>0</v>
      </c>
      <c r="DC40">
        <f t="shared" si="1"/>
        <v>0</v>
      </c>
    </row>
    <row r="41" spans="1:107" ht="12.75">
      <c r="A41">
        <f>ROW(Source!A39)</f>
        <v>39</v>
      </c>
      <c r="B41">
        <v>55454919</v>
      </c>
      <c r="C41">
        <v>55455135</v>
      </c>
      <c r="D41">
        <v>51289370</v>
      </c>
      <c r="E41">
        <v>1</v>
      </c>
      <c r="F41">
        <v>1</v>
      </c>
      <c r="G41">
        <v>1</v>
      </c>
      <c r="H41">
        <v>2</v>
      </c>
      <c r="I41" t="s">
        <v>318</v>
      </c>
      <c r="J41" t="s">
        <v>319</v>
      </c>
      <c r="K41" t="s">
        <v>320</v>
      </c>
      <c r="L41">
        <v>1367</v>
      </c>
      <c r="N41">
        <v>1011</v>
      </c>
      <c r="O41" t="s">
        <v>321</v>
      </c>
      <c r="P41" t="s">
        <v>321</v>
      </c>
      <c r="Q41">
        <v>1</v>
      </c>
      <c r="W41">
        <v>0</v>
      </c>
      <c r="X41">
        <v>1098214667</v>
      </c>
      <c r="Y41">
        <v>1.8</v>
      </c>
      <c r="AA41">
        <v>0</v>
      </c>
      <c r="AB41">
        <v>405.44</v>
      </c>
      <c r="AC41">
        <v>492.35</v>
      </c>
      <c r="AD41">
        <v>0</v>
      </c>
      <c r="AE41">
        <v>0</v>
      </c>
      <c r="AF41">
        <v>31.26</v>
      </c>
      <c r="AG41">
        <v>13.5</v>
      </c>
      <c r="AH41">
        <v>0</v>
      </c>
      <c r="AI41">
        <v>1</v>
      </c>
      <c r="AJ41">
        <v>12.97</v>
      </c>
      <c r="AK41">
        <v>36.47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1.8</v>
      </c>
      <c r="AV41">
        <v>0</v>
      </c>
      <c r="AW41">
        <v>2</v>
      </c>
      <c r="AX41">
        <v>55455144</v>
      </c>
      <c r="AY41">
        <v>1</v>
      </c>
      <c r="AZ41">
        <v>0</v>
      </c>
      <c r="BA41">
        <v>43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Y41*Source!I39</f>
        <v>9.414000000000001</v>
      </c>
      <c r="CY41">
        <f>AB41</f>
        <v>405.44</v>
      </c>
      <c r="CZ41">
        <f>AF41</f>
        <v>31.26</v>
      </c>
      <c r="DA41">
        <f>AJ41</f>
        <v>12.97</v>
      </c>
      <c r="DB41">
        <f t="shared" si="0"/>
        <v>56.27</v>
      </c>
      <c r="DC41">
        <f t="shared" si="1"/>
        <v>24.3</v>
      </c>
    </row>
    <row r="42" spans="1:107" ht="12.75">
      <c r="A42">
        <f>ROW(Source!A39)</f>
        <v>39</v>
      </c>
      <c r="B42">
        <v>55454919</v>
      </c>
      <c r="C42">
        <v>55455135</v>
      </c>
      <c r="D42">
        <v>51290346</v>
      </c>
      <c r="E42">
        <v>1</v>
      </c>
      <c r="F42">
        <v>1</v>
      </c>
      <c r="G42">
        <v>1</v>
      </c>
      <c r="H42">
        <v>2</v>
      </c>
      <c r="I42" t="s">
        <v>347</v>
      </c>
      <c r="J42" t="s">
        <v>348</v>
      </c>
      <c r="K42" t="s">
        <v>349</v>
      </c>
      <c r="L42">
        <v>1367</v>
      </c>
      <c r="N42">
        <v>1011</v>
      </c>
      <c r="O42" t="s">
        <v>321</v>
      </c>
      <c r="P42" t="s">
        <v>321</v>
      </c>
      <c r="Q42">
        <v>1</v>
      </c>
      <c r="W42">
        <v>0</v>
      </c>
      <c r="X42">
        <v>-819359457</v>
      </c>
      <c r="Y42">
        <v>19.2</v>
      </c>
      <c r="AA42">
        <v>0</v>
      </c>
      <c r="AB42">
        <v>633.07</v>
      </c>
      <c r="AC42">
        <v>0</v>
      </c>
      <c r="AD42">
        <v>0</v>
      </c>
      <c r="AE42">
        <v>0</v>
      </c>
      <c r="AF42">
        <v>48.81</v>
      </c>
      <c r="AG42">
        <v>0</v>
      </c>
      <c r="AH42">
        <v>0</v>
      </c>
      <c r="AI42">
        <v>1</v>
      </c>
      <c r="AJ42">
        <v>12.97</v>
      </c>
      <c r="AK42">
        <v>36.47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19.2</v>
      </c>
      <c r="AV42">
        <v>0</v>
      </c>
      <c r="AW42">
        <v>2</v>
      </c>
      <c r="AX42">
        <v>55455145</v>
      </c>
      <c r="AY42">
        <v>1</v>
      </c>
      <c r="AZ42">
        <v>0</v>
      </c>
      <c r="BA42">
        <v>44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Y42*Source!I39</f>
        <v>100.41600000000001</v>
      </c>
      <c r="CY42">
        <f>AB42</f>
        <v>633.07</v>
      </c>
      <c r="CZ42">
        <f>AF42</f>
        <v>48.81</v>
      </c>
      <c r="DA42">
        <f>AJ42</f>
        <v>12.97</v>
      </c>
      <c r="DB42">
        <f t="shared" si="0"/>
        <v>937.15</v>
      </c>
      <c r="DC42">
        <f t="shared" si="1"/>
        <v>0</v>
      </c>
    </row>
    <row r="43" spans="1:107" ht="12.75">
      <c r="A43">
        <f>ROW(Source!A39)</f>
        <v>39</v>
      </c>
      <c r="B43">
        <v>55454919</v>
      </c>
      <c r="C43">
        <v>55455135</v>
      </c>
      <c r="D43">
        <v>51290802</v>
      </c>
      <c r="E43">
        <v>1</v>
      </c>
      <c r="F43">
        <v>1</v>
      </c>
      <c r="G43">
        <v>1</v>
      </c>
      <c r="H43">
        <v>2</v>
      </c>
      <c r="I43" t="s">
        <v>350</v>
      </c>
      <c r="J43" t="s">
        <v>351</v>
      </c>
      <c r="K43" t="s">
        <v>352</v>
      </c>
      <c r="L43">
        <v>1367</v>
      </c>
      <c r="N43">
        <v>1011</v>
      </c>
      <c r="O43" t="s">
        <v>321</v>
      </c>
      <c r="P43" t="s">
        <v>321</v>
      </c>
      <c r="Q43">
        <v>1</v>
      </c>
      <c r="W43">
        <v>0</v>
      </c>
      <c r="X43">
        <v>-971307430</v>
      </c>
      <c r="Y43">
        <v>38.4</v>
      </c>
      <c r="AA43">
        <v>0</v>
      </c>
      <c r="AB43">
        <v>19.84</v>
      </c>
      <c r="AC43">
        <v>0</v>
      </c>
      <c r="AD43">
        <v>0</v>
      </c>
      <c r="AE43">
        <v>0</v>
      </c>
      <c r="AF43">
        <v>1.53</v>
      </c>
      <c r="AG43">
        <v>0</v>
      </c>
      <c r="AH43">
        <v>0</v>
      </c>
      <c r="AI43">
        <v>1</v>
      </c>
      <c r="AJ43">
        <v>12.97</v>
      </c>
      <c r="AK43">
        <v>36.47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38.4</v>
      </c>
      <c r="AV43">
        <v>0</v>
      </c>
      <c r="AW43">
        <v>2</v>
      </c>
      <c r="AX43">
        <v>55455146</v>
      </c>
      <c r="AY43">
        <v>1</v>
      </c>
      <c r="AZ43">
        <v>0</v>
      </c>
      <c r="BA43">
        <v>45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Y43*Source!I39</f>
        <v>200.83200000000002</v>
      </c>
      <c r="CY43">
        <f>AB43</f>
        <v>19.84</v>
      </c>
      <c r="CZ43">
        <f>AF43</f>
        <v>1.53</v>
      </c>
      <c r="DA43">
        <f>AJ43</f>
        <v>12.97</v>
      </c>
      <c r="DB43">
        <f t="shared" si="0"/>
        <v>58.75</v>
      </c>
      <c r="DC43">
        <f t="shared" si="1"/>
        <v>0</v>
      </c>
    </row>
    <row r="44" spans="1:107" ht="12.75">
      <c r="A44">
        <f>ROW(Source!A39)</f>
        <v>39</v>
      </c>
      <c r="B44">
        <v>55454919</v>
      </c>
      <c r="C44">
        <v>55455135</v>
      </c>
      <c r="D44">
        <v>51131816</v>
      </c>
      <c r="E44">
        <v>68</v>
      </c>
      <c r="F44">
        <v>1</v>
      </c>
      <c r="G44">
        <v>1</v>
      </c>
      <c r="H44">
        <v>3</v>
      </c>
      <c r="I44" t="s">
        <v>32</v>
      </c>
      <c r="K44" t="s">
        <v>33</v>
      </c>
      <c r="L44">
        <v>1348</v>
      </c>
      <c r="N44">
        <v>1009</v>
      </c>
      <c r="O44" t="s">
        <v>34</v>
      </c>
      <c r="P44" t="s">
        <v>34</v>
      </c>
      <c r="Q44">
        <v>1000</v>
      </c>
      <c r="W44">
        <v>0</v>
      </c>
      <c r="X44">
        <v>2102561428</v>
      </c>
      <c r="Y44">
        <v>33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6.82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1</v>
      </c>
      <c r="AQ44">
        <v>0</v>
      </c>
      <c r="AR44">
        <v>0</v>
      </c>
      <c r="AT44">
        <v>33</v>
      </c>
      <c r="AV44">
        <v>0</v>
      </c>
      <c r="AW44">
        <v>2</v>
      </c>
      <c r="AX44">
        <v>55455147</v>
      </c>
      <c r="AY44">
        <v>1</v>
      </c>
      <c r="AZ44">
        <v>0</v>
      </c>
      <c r="BA44">
        <v>46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Y44*Source!I39</f>
        <v>172.59</v>
      </c>
      <c r="CY44">
        <f>AA44</f>
        <v>0</v>
      </c>
      <c r="CZ44">
        <f>AE44</f>
        <v>0</v>
      </c>
      <c r="DA44">
        <f>AI44</f>
        <v>6.82</v>
      </c>
      <c r="DB44">
        <f t="shared" si="0"/>
        <v>0</v>
      </c>
      <c r="DC44">
        <f t="shared" si="1"/>
        <v>0</v>
      </c>
    </row>
    <row r="45" spans="1:107" ht="12.75">
      <c r="A45">
        <f>ROW(Source!A42)</f>
        <v>42</v>
      </c>
      <c r="B45">
        <v>55454918</v>
      </c>
      <c r="C45">
        <v>55455149</v>
      </c>
      <c r="D45">
        <v>53630067</v>
      </c>
      <c r="E45">
        <v>70</v>
      </c>
      <c r="F45">
        <v>1</v>
      </c>
      <c r="G45">
        <v>1</v>
      </c>
      <c r="H45">
        <v>1</v>
      </c>
      <c r="I45" t="s">
        <v>345</v>
      </c>
      <c r="K45" t="s">
        <v>346</v>
      </c>
      <c r="L45">
        <v>1191</v>
      </c>
      <c r="N45">
        <v>1013</v>
      </c>
      <c r="O45" t="s">
        <v>313</v>
      </c>
      <c r="P45" t="s">
        <v>313</v>
      </c>
      <c r="Q45">
        <v>1</v>
      </c>
      <c r="W45">
        <v>0</v>
      </c>
      <c r="X45">
        <v>1049124552</v>
      </c>
      <c r="Y45">
        <v>-73.44000000000001</v>
      </c>
      <c r="AA45">
        <v>0</v>
      </c>
      <c r="AB45">
        <v>0</v>
      </c>
      <c r="AC45">
        <v>0</v>
      </c>
      <c r="AD45">
        <v>8.53</v>
      </c>
      <c r="AE45">
        <v>0</v>
      </c>
      <c r="AF45">
        <v>0</v>
      </c>
      <c r="AG45">
        <v>0</v>
      </c>
      <c r="AH45">
        <v>8.53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2.72</v>
      </c>
      <c r="AU45" t="s">
        <v>67</v>
      </c>
      <c r="AV45">
        <v>1</v>
      </c>
      <c r="AW45">
        <v>2</v>
      </c>
      <c r="AX45">
        <v>55455152</v>
      </c>
      <c r="AY45">
        <v>1</v>
      </c>
      <c r="AZ45">
        <v>0</v>
      </c>
      <c r="BA45">
        <v>47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Y45*Source!I42</f>
        <v>-384.0912000000001</v>
      </c>
      <c r="CY45">
        <f>AD45</f>
        <v>8.53</v>
      </c>
      <c r="CZ45">
        <f>AH45</f>
        <v>8.53</v>
      </c>
      <c r="DA45">
        <f>AL45</f>
        <v>1</v>
      </c>
      <c r="DB45">
        <f>ROUND((ROUND(AT45*CZ45,2)*ROUND(-27,7)),2)</f>
        <v>-626.4</v>
      </c>
      <c r="DC45">
        <f>ROUND((ROUND(AT45*AG45,2)*ROUND(-27,7)),2)</f>
        <v>0</v>
      </c>
    </row>
    <row r="46" spans="1:107" ht="12.75">
      <c r="A46">
        <f>ROW(Source!A42)</f>
        <v>42</v>
      </c>
      <c r="B46">
        <v>55454918</v>
      </c>
      <c r="C46">
        <v>55455149</v>
      </c>
      <c r="D46">
        <v>53634988</v>
      </c>
      <c r="E46">
        <v>70</v>
      </c>
      <c r="F46">
        <v>1</v>
      </c>
      <c r="G46">
        <v>1</v>
      </c>
      <c r="H46">
        <v>3</v>
      </c>
      <c r="I46" t="s">
        <v>32</v>
      </c>
      <c r="K46" t="s">
        <v>33</v>
      </c>
      <c r="L46">
        <v>1348</v>
      </c>
      <c r="N46">
        <v>1009</v>
      </c>
      <c r="O46" t="s">
        <v>34</v>
      </c>
      <c r="P46" t="s">
        <v>34</v>
      </c>
      <c r="Q46">
        <v>1000</v>
      </c>
      <c r="W46">
        <v>0</v>
      </c>
      <c r="X46">
        <v>2102561428</v>
      </c>
      <c r="Y46">
        <v>-29.700000000000003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1</v>
      </c>
      <c r="AQ46">
        <v>0</v>
      </c>
      <c r="AR46">
        <v>0</v>
      </c>
      <c r="AT46">
        <v>1.1</v>
      </c>
      <c r="AU46" t="s">
        <v>67</v>
      </c>
      <c r="AV46">
        <v>0</v>
      </c>
      <c r="AW46">
        <v>2</v>
      </c>
      <c r="AX46">
        <v>55455153</v>
      </c>
      <c r="AY46">
        <v>1</v>
      </c>
      <c r="AZ46">
        <v>0</v>
      </c>
      <c r="BA46">
        <v>48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Y46*Source!I42</f>
        <v>-155.33100000000002</v>
      </c>
      <c r="CY46">
        <f>AA46</f>
        <v>0</v>
      </c>
      <c r="CZ46">
        <f>AE46</f>
        <v>0</v>
      </c>
      <c r="DA46">
        <f>AI46</f>
        <v>1</v>
      </c>
      <c r="DB46">
        <f>ROUND((ROUND(AT46*CZ46,2)*ROUND(-27,7)),2)</f>
        <v>0</v>
      </c>
      <c r="DC46">
        <f>ROUND((ROUND(AT46*AG46,2)*ROUND(-27,7)),2)</f>
        <v>0</v>
      </c>
    </row>
    <row r="47" spans="1:107" ht="12.75">
      <c r="A47">
        <f>ROW(Source!A43)</f>
        <v>43</v>
      </c>
      <c r="B47">
        <v>55454919</v>
      </c>
      <c r="C47">
        <v>55455149</v>
      </c>
      <c r="D47">
        <v>53630067</v>
      </c>
      <c r="E47">
        <v>70</v>
      </c>
      <c r="F47">
        <v>1</v>
      </c>
      <c r="G47">
        <v>1</v>
      </c>
      <c r="H47">
        <v>1</v>
      </c>
      <c r="I47" t="s">
        <v>345</v>
      </c>
      <c r="K47" t="s">
        <v>346</v>
      </c>
      <c r="L47">
        <v>1191</v>
      </c>
      <c r="N47">
        <v>1013</v>
      </c>
      <c r="O47" t="s">
        <v>313</v>
      </c>
      <c r="P47" t="s">
        <v>313</v>
      </c>
      <c r="Q47">
        <v>1</v>
      </c>
      <c r="W47">
        <v>0</v>
      </c>
      <c r="X47">
        <v>1049124552</v>
      </c>
      <c r="Y47">
        <v>-73.44000000000001</v>
      </c>
      <c r="AA47">
        <v>0</v>
      </c>
      <c r="AB47">
        <v>0</v>
      </c>
      <c r="AC47">
        <v>0</v>
      </c>
      <c r="AD47">
        <v>311.09</v>
      </c>
      <c r="AE47">
        <v>0</v>
      </c>
      <c r="AF47">
        <v>0</v>
      </c>
      <c r="AG47">
        <v>0</v>
      </c>
      <c r="AH47">
        <v>8.53</v>
      </c>
      <c r="AI47">
        <v>1</v>
      </c>
      <c r="AJ47">
        <v>1</v>
      </c>
      <c r="AK47">
        <v>1</v>
      </c>
      <c r="AL47">
        <v>36.47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2.72</v>
      </c>
      <c r="AU47" t="s">
        <v>67</v>
      </c>
      <c r="AV47">
        <v>1</v>
      </c>
      <c r="AW47">
        <v>2</v>
      </c>
      <c r="AX47">
        <v>55455152</v>
      </c>
      <c r="AY47">
        <v>1</v>
      </c>
      <c r="AZ47">
        <v>0</v>
      </c>
      <c r="BA47">
        <v>49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Y47*Source!I43</f>
        <v>-384.0912000000001</v>
      </c>
      <c r="CY47">
        <f>AD47</f>
        <v>311.09</v>
      </c>
      <c r="CZ47">
        <f>AH47</f>
        <v>8.53</v>
      </c>
      <c r="DA47">
        <f>AL47</f>
        <v>36.47</v>
      </c>
      <c r="DB47">
        <f>ROUND((ROUND(AT47*CZ47,2)*ROUND(-27,7)),2)</f>
        <v>-626.4</v>
      </c>
      <c r="DC47">
        <f>ROUND((ROUND(AT47*AG47,2)*ROUND(-27,7)),2)</f>
        <v>0</v>
      </c>
    </row>
    <row r="48" spans="1:107" ht="12.75">
      <c r="A48">
        <f>ROW(Source!A43)</f>
        <v>43</v>
      </c>
      <c r="B48">
        <v>55454919</v>
      </c>
      <c r="C48">
        <v>55455149</v>
      </c>
      <c r="D48">
        <v>53634988</v>
      </c>
      <c r="E48">
        <v>70</v>
      </c>
      <c r="F48">
        <v>1</v>
      </c>
      <c r="G48">
        <v>1</v>
      </c>
      <c r="H48">
        <v>3</v>
      </c>
      <c r="I48" t="s">
        <v>32</v>
      </c>
      <c r="K48" t="s">
        <v>33</v>
      </c>
      <c r="L48">
        <v>1348</v>
      </c>
      <c r="N48">
        <v>1009</v>
      </c>
      <c r="O48" t="s">
        <v>34</v>
      </c>
      <c r="P48" t="s">
        <v>34</v>
      </c>
      <c r="Q48">
        <v>1000</v>
      </c>
      <c r="W48">
        <v>0</v>
      </c>
      <c r="X48">
        <v>2102561428</v>
      </c>
      <c r="Y48">
        <v>-29.700000000000003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6.82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1</v>
      </c>
      <c r="AQ48">
        <v>0</v>
      </c>
      <c r="AR48">
        <v>0</v>
      </c>
      <c r="AT48">
        <v>1.1</v>
      </c>
      <c r="AU48" t="s">
        <v>67</v>
      </c>
      <c r="AV48">
        <v>0</v>
      </c>
      <c r="AW48">
        <v>2</v>
      </c>
      <c r="AX48">
        <v>55455153</v>
      </c>
      <c r="AY48">
        <v>1</v>
      </c>
      <c r="AZ48">
        <v>0</v>
      </c>
      <c r="BA48">
        <v>50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Y48*Source!I43</f>
        <v>-155.33100000000002</v>
      </c>
      <c r="CY48">
        <f>AA48</f>
        <v>0</v>
      </c>
      <c r="CZ48">
        <f>AE48</f>
        <v>0</v>
      </c>
      <c r="DA48">
        <f>AI48</f>
        <v>6.82</v>
      </c>
      <c r="DB48">
        <f>ROUND((ROUND(AT48*CZ48,2)*ROUND(-27,7)),2)</f>
        <v>0</v>
      </c>
      <c r="DC48">
        <f>ROUND((ROUND(AT48*AG48,2)*ROUND(-27,7)),2)</f>
        <v>0</v>
      </c>
    </row>
    <row r="49" spans="1:107" ht="12.75">
      <c r="A49">
        <f>ROW(Source!A46)</f>
        <v>46</v>
      </c>
      <c r="B49">
        <v>55454918</v>
      </c>
      <c r="C49">
        <v>55455155</v>
      </c>
      <c r="D49">
        <v>51126788</v>
      </c>
      <c r="E49">
        <v>68</v>
      </c>
      <c r="F49">
        <v>1</v>
      </c>
      <c r="G49">
        <v>1</v>
      </c>
      <c r="H49">
        <v>1</v>
      </c>
      <c r="I49" t="s">
        <v>345</v>
      </c>
      <c r="K49" t="s">
        <v>346</v>
      </c>
      <c r="L49">
        <v>1191</v>
      </c>
      <c r="N49">
        <v>1013</v>
      </c>
      <c r="O49" t="s">
        <v>313</v>
      </c>
      <c r="P49" t="s">
        <v>313</v>
      </c>
      <c r="Q49">
        <v>1</v>
      </c>
      <c r="W49">
        <v>0</v>
      </c>
      <c r="X49">
        <v>1049124552</v>
      </c>
      <c r="Y49">
        <v>30.061</v>
      </c>
      <c r="AA49">
        <v>0</v>
      </c>
      <c r="AB49">
        <v>0</v>
      </c>
      <c r="AC49">
        <v>0</v>
      </c>
      <c r="AD49">
        <v>8.53</v>
      </c>
      <c r="AE49">
        <v>0</v>
      </c>
      <c r="AF49">
        <v>0</v>
      </c>
      <c r="AG49">
        <v>0</v>
      </c>
      <c r="AH49">
        <v>8.53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26.14</v>
      </c>
      <c r="AU49" t="s">
        <v>74</v>
      </c>
      <c r="AV49">
        <v>1</v>
      </c>
      <c r="AW49">
        <v>2</v>
      </c>
      <c r="AX49">
        <v>55455166</v>
      </c>
      <c r="AY49">
        <v>1</v>
      </c>
      <c r="AZ49">
        <v>0</v>
      </c>
      <c r="BA49">
        <v>51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Y49*Source!I46</f>
        <v>157.21903</v>
      </c>
      <c r="CY49">
        <f>AD49</f>
        <v>8.53</v>
      </c>
      <c r="CZ49">
        <f>AH49</f>
        <v>8.53</v>
      </c>
      <c r="DA49">
        <f>AL49</f>
        <v>1</v>
      </c>
      <c r="DB49">
        <f>ROUND((ROUND(AT49*CZ49,2)*ROUND(1.15,7)),2)</f>
        <v>256.42</v>
      </c>
      <c r="DC49">
        <f>ROUND((ROUND(AT49*AG49,2)*ROUND(1.15,7)),2)</f>
        <v>0</v>
      </c>
    </row>
    <row r="50" spans="1:107" ht="12.75">
      <c r="A50">
        <f>ROW(Source!A46)</f>
        <v>46</v>
      </c>
      <c r="B50">
        <v>55454918</v>
      </c>
      <c r="C50">
        <v>55455155</v>
      </c>
      <c r="D50">
        <v>51127040</v>
      </c>
      <c r="E50">
        <v>68</v>
      </c>
      <c r="F50">
        <v>1</v>
      </c>
      <c r="G50">
        <v>1</v>
      </c>
      <c r="H50">
        <v>1</v>
      </c>
      <c r="I50" t="s">
        <v>316</v>
      </c>
      <c r="K50" t="s">
        <v>317</v>
      </c>
      <c r="L50">
        <v>1191</v>
      </c>
      <c r="N50">
        <v>1013</v>
      </c>
      <c r="O50" t="s">
        <v>313</v>
      </c>
      <c r="P50" t="s">
        <v>313</v>
      </c>
      <c r="Q50">
        <v>1</v>
      </c>
      <c r="W50">
        <v>0</v>
      </c>
      <c r="X50">
        <v>-1417349443</v>
      </c>
      <c r="Y50">
        <v>0.11249999999999999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0.09</v>
      </c>
      <c r="AU50" t="s">
        <v>73</v>
      </c>
      <c r="AV50">
        <v>2</v>
      </c>
      <c r="AW50">
        <v>2</v>
      </c>
      <c r="AX50">
        <v>55455167</v>
      </c>
      <c r="AY50">
        <v>1</v>
      </c>
      <c r="AZ50">
        <v>0</v>
      </c>
      <c r="BA50">
        <v>52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Y50*Source!I46</f>
        <v>0.588375</v>
      </c>
      <c r="CY50">
        <f>AD50</f>
        <v>0</v>
      </c>
      <c r="CZ50">
        <f>AH50</f>
        <v>0</v>
      </c>
      <c r="DA50">
        <f>AL50</f>
        <v>1</v>
      </c>
      <c r="DB50">
        <f>ROUND((ROUND(AT50*CZ50,2)*ROUND(1.25,7)),2)</f>
        <v>0</v>
      </c>
      <c r="DC50">
        <f>ROUND((ROUND(AT50*AG50,2)*ROUND(1.25,7)),2)</f>
        <v>0</v>
      </c>
    </row>
    <row r="51" spans="1:107" ht="12.75">
      <c r="A51">
        <f>ROW(Source!A46)</f>
        <v>46</v>
      </c>
      <c r="B51">
        <v>55454918</v>
      </c>
      <c r="C51">
        <v>55455155</v>
      </c>
      <c r="D51">
        <v>51289368</v>
      </c>
      <c r="E51">
        <v>1</v>
      </c>
      <c r="F51">
        <v>1</v>
      </c>
      <c r="G51">
        <v>1</v>
      </c>
      <c r="H51">
        <v>2</v>
      </c>
      <c r="I51" t="s">
        <v>353</v>
      </c>
      <c r="J51" t="s">
        <v>354</v>
      </c>
      <c r="K51" t="s">
        <v>355</v>
      </c>
      <c r="L51">
        <v>1367</v>
      </c>
      <c r="N51">
        <v>1011</v>
      </c>
      <c r="O51" t="s">
        <v>321</v>
      </c>
      <c r="P51" t="s">
        <v>321</v>
      </c>
      <c r="Q51">
        <v>1</v>
      </c>
      <c r="W51">
        <v>0</v>
      </c>
      <c r="X51">
        <v>827510958</v>
      </c>
      <c r="Y51">
        <v>0.08750000000000001</v>
      </c>
      <c r="AA51">
        <v>0</v>
      </c>
      <c r="AB51">
        <v>27.66</v>
      </c>
      <c r="AC51">
        <v>11.6</v>
      </c>
      <c r="AD51">
        <v>0</v>
      </c>
      <c r="AE51">
        <v>0</v>
      </c>
      <c r="AF51">
        <v>27.66</v>
      </c>
      <c r="AG51">
        <v>11.6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0.07</v>
      </c>
      <c r="AU51" t="s">
        <v>73</v>
      </c>
      <c r="AV51">
        <v>0</v>
      </c>
      <c r="AW51">
        <v>2</v>
      </c>
      <c r="AX51">
        <v>55455168</v>
      </c>
      <c r="AY51">
        <v>1</v>
      </c>
      <c r="AZ51">
        <v>0</v>
      </c>
      <c r="BA51">
        <v>53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Y51*Source!I46</f>
        <v>0.45762500000000006</v>
      </c>
      <c r="CY51">
        <f>AB51</f>
        <v>27.66</v>
      </c>
      <c r="CZ51">
        <f>AF51</f>
        <v>27.66</v>
      </c>
      <c r="DA51">
        <f>AJ51</f>
        <v>1</v>
      </c>
      <c r="DB51">
        <f>ROUND((ROUND(AT51*CZ51,2)*ROUND(1.25,7)),2)</f>
        <v>2.43</v>
      </c>
      <c r="DC51">
        <f>ROUND((ROUND(AT51*AG51,2)*ROUND(1.25,7)),2)</f>
        <v>1.01</v>
      </c>
    </row>
    <row r="52" spans="1:107" ht="12.75">
      <c r="A52">
        <f>ROW(Source!A46)</f>
        <v>46</v>
      </c>
      <c r="B52">
        <v>55454918</v>
      </c>
      <c r="C52">
        <v>55455155</v>
      </c>
      <c r="D52">
        <v>51290110</v>
      </c>
      <c r="E52">
        <v>1</v>
      </c>
      <c r="F52">
        <v>1</v>
      </c>
      <c r="G52">
        <v>1</v>
      </c>
      <c r="H52">
        <v>2</v>
      </c>
      <c r="I52" t="s">
        <v>322</v>
      </c>
      <c r="J52" t="s">
        <v>323</v>
      </c>
      <c r="K52" t="s">
        <v>324</v>
      </c>
      <c r="L52">
        <v>1367</v>
      </c>
      <c r="N52">
        <v>1011</v>
      </c>
      <c r="O52" t="s">
        <v>321</v>
      </c>
      <c r="P52" t="s">
        <v>321</v>
      </c>
      <c r="Q52">
        <v>1</v>
      </c>
      <c r="W52">
        <v>0</v>
      </c>
      <c r="X52">
        <v>2001246382</v>
      </c>
      <c r="Y52">
        <v>0.025</v>
      </c>
      <c r="AA52">
        <v>0</v>
      </c>
      <c r="AB52">
        <v>65.71</v>
      </c>
      <c r="AC52">
        <v>11.6</v>
      </c>
      <c r="AD52">
        <v>0</v>
      </c>
      <c r="AE52">
        <v>0</v>
      </c>
      <c r="AF52">
        <v>65.71</v>
      </c>
      <c r="AG52">
        <v>11.6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0.02</v>
      </c>
      <c r="AU52" t="s">
        <v>73</v>
      </c>
      <c r="AV52">
        <v>0</v>
      </c>
      <c r="AW52">
        <v>2</v>
      </c>
      <c r="AX52">
        <v>55455169</v>
      </c>
      <c r="AY52">
        <v>1</v>
      </c>
      <c r="AZ52">
        <v>0</v>
      </c>
      <c r="BA52">
        <v>54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Y52*Source!I46</f>
        <v>0.13075</v>
      </c>
      <c r="CY52">
        <f>AB52</f>
        <v>65.71</v>
      </c>
      <c r="CZ52">
        <f>AF52</f>
        <v>65.71</v>
      </c>
      <c r="DA52">
        <f>AJ52</f>
        <v>1</v>
      </c>
      <c r="DB52">
        <f>ROUND((ROUND(AT52*CZ52,2)*ROUND(1.25,7)),2)</f>
        <v>1.64</v>
      </c>
      <c r="DC52">
        <f>ROUND((ROUND(AT52*AG52,2)*ROUND(1.25,7)),2)</f>
        <v>0.29</v>
      </c>
    </row>
    <row r="53" spans="1:107" ht="12.75">
      <c r="A53">
        <f>ROW(Source!A46)</f>
        <v>46</v>
      </c>
      <c r="B53">
        <v>55454918</v>
      </c>
      <c r="C53">
        <v>55455155</v>
      </c>
      <c r="D53">
        <v>51290980</v>
      </c>
      <c r="E53">
        <v>1</v>
      </c>
      <c r="F53">
        <v>1</v>
      </c>
      <c r="G53">
        <v>1</v>
      </c>
      <c r="H53">
        <v>2</v>
      </c>
      <c r="I53" t="s">
        <v>325</v>
      </c>
      <c r="J53" t="s">
        <v>326</v>
      </c>
      <c r="K53" t="s">
        <v>327</v>
      </c>
      <c r="L53">
        <v>1367</v>
      </c>
      <c r="N53">
        <v>1011</v>
      </c>
      <c r="O53" t="s">
        <v>321</v>
      </c>
      <c r="P53" t="s">
        <v>321</v>
      </c>
      <c r="Q53">
        <v>1</v>
      </c>
      <c r="W53">
        <v>0</v>
      </c>
      <c r="X53">
        <v>1549254237</v>
      </c>
      <c r="Y53">
        <v>3.5</v>
      </c>
      <c r="AA53">
        <v>0</v>
      </c>
      <c r="AB53">
        <v>3.29</v>
      </c>
      <c r="AC53">
        <v>0</v>
      </c>
      <c r="AD53">
        <v>0</v>
      </c>
      <c r="AE53">
        <v>0</v>
      </c>
      <c r="AF53">
        <v>3.29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2.8</v>
      </c>
      <c r="AU53" t="s">
        <v>73</v>
      </c>
      <c r="AV53">
        <v>0</v>
      </c>
      <c r="AW53">
        <v>2</v>
      </c>
      <c r="AX53">
        <v>55455170</v>
      </c>
      <c r="AY53">
        <v>1</v>
      </c>
      <c r="AZ53">
        <v>0</v>
      </c>
      <c r="BA53">
        <v>55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Y53*Source!I46</f>
        <v>18.305</v>
      </c>
      <c r="CY53">
        <f>AB53</f>
        <v>3.29</v>
      </c>
      <c r="CZ53">
        <f>AF53</f>
        <v>3.29</v>
      </c>
      <c r="DA53">
        <f>AJ53</f>
        <v>1</v>
      </c>
      <c r="DB53">
        <f>ROUND((ROUND(AT53*CZ53,2)*ROUND(1.25,7)),2)</f>
        <v>11.51</v>
      </c>
      <c r="DC53">
        <f>ROUND((ROUND(AT53*AG53,2)*ROUND(1.25,7)),2)</f>
        <v>0</v>
      </c>
    </row>
    <row r="54" spans="1:107" ht="12.75">
      <c r="A54">
        <f>ROW(Source!A46)</f>
        <v>46</v>
      </c>
      <c r="B54">
        <v>55454918</v>
      </c>
      <c r="C54">
        <v>55455155</v>
      </c>
      <c r="D54">
        <v>51139447</v>
      </c>
      <c r="E54">
        <v>1</v>
      </c>
      <c r="F54">
        <v>1</v>
      </c>
      <c r="G54">
        <v>1</v>
      </c>
      <c r="H54">
        <v>3</v>
      </c>
      <c r="I54" t="s">
        <v>356</v>
      </c>
      <c r="J54" t="s">
        <v>357</v>
      </c>
      <c r="K54" t="s">
        <v>358</v>
      </c>
      <c r="L54">
        <v>1339</v>
      </c>
      <c r="N54">
        <v>1007</v>
      </c>
      <c r="O54" t="s">
        <v>111</v>
      </c>
      <c r="P54" t="s">
        <v>111</v>
      </c>
      <c r="Q54">
        <v>1</v>
      </c>
      <c r="W54">
        <v>0</v>
      </c>
      <c r="X54">
        <v>929815444</v>
      </c>
      <c r="Y54">
        <v>0.16</v>
      </c>
      <c r="AA54">
        <v>2.44</v>
      </c>
      <c r="AB54">
        <v>0</v>
      </c>
      <c r="AC54">
        <v>0</v>
      </c>
      <c r="AD54">
        <v>0</v>
      </c>
      <c r="AE54">
        <v>2.44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0.16</v>
      </c>
      <c r="AV54">
        <v>0</v>
      </c>
      <c r="AW54">
        <v>2</v>
      </c>
      <c r="AX54">
        <v>55455171</v>
      </c>
      <c r="AY54">
        <v>1</v>
      </c>
      <c r="AZ54">
        <v>0</v>
      </c>
      <c r="BA54">
        <v>56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Y54*Source!I46</f>
        <v>0.8368000000000001</v>
      </c>
      <c r="CY54">
        <f>AA54</f>
        <v>2.44</v>
      </c>
      <c r="CZ54">
        <f>AE54</f>
        <v>2.44</v>
      </c>
      <c r="DA54">
        <f>AI54</f>
        <v>1</v>
      </c>
      <c r="DB54">
        <f>ROUND(ROUND(AT54*CZ54,2),2)</f>
        <v>0.39</v>
      </c>
      <c r="DC54">
        <f>ROUND(ROUND(AT54*AG54,2),2)</f>
        <v>0</v>
      </c>
    </row>
    <row r="55" spans="1:107" ht="12.75">
      <c r="A55">
        <f>ROW(Source!A46)</f>
        <v>46</v>
      </c>
      <c r="B55">
        <v>55454918</v>
      </c>
      <c r="C55">
        <v>55455155</v>
      </c>
      <c r="D55">
        <v>51139938</v>
      </c>
      <c r="E55">
        <v>1</v>
      </c>
      <c r="F55">
        <v>1</v>
      </c>
      <c r="G55">
        <v>1</v>
      </c>
      <c r="H55">
        <v>3</v>
      </c>
      <c r="I55" t="s">
        <v>328</v>
      </c>
      <c r="J55" t="s">
        <v>329</v>
      </c>
      <c r="K55" t="s">
        <v>330</v>
      </c>
      <c r="L55">
        <v>1327</v>
      </c>
      <c r="N55">
        <v>1005</v>
      </c>
      <c r="O55" t="s">
        <v>106</v>
      </c>
      <c r="P55" t="s">
        <v>106</v>
      </c>
      <c r="Q55">
        <v>1</v>
      </c>
      <c r="W55">
        <v>0</v>
      </c>
      <c r="X55">
        <v>404921152</v>
      </c>
      <c r="Y55">
        <v>10</v>
      </c>
      <c r="AA55">
        <v>1.94</v>
      </c>
      <c r="AB55">
        <v>0</v>
      </c>
      <c r="AC55">
        <v>0</v>
      </c>
      <c r="AD55">
        <v>0</v>
      </c>
      <c r="AE55">
        <v>1.94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10</v>
      </c>
      <c r="AV55">
        <v>0</v>
      </c>
      <c r="AW55">
        <v>2</v>
      </c>
      <c r="AX55">
        <v>55455172</v>
      </c>
      <c r="AY55">
        <v>1</v>
      </c>
      <c r="AZ55">
        <v>0</v>
      </c>
      <c r="BA55">
        <v>57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Y55*Source!I46</f>
        <v>52.300000000000004</v>
      </c>
      <c r="CY55">
        <f>AA55</f>
        <v>1.94</v>
      </c>
      <c r="CZ55">
        <f>AE55</f>
        <v>1.94</v>
      </c>
      <c r="DA55">
        <f>AI55</f>
        <v>1</v>
      </c>
      <c r="DB55">
        <f>ROUND(ROUND(AT55*CZ55,2),2)</f>
        <v>19.4</v>
      </c>
      <c r="DC55">
        <f>ROUND(ROUND(AT55*AG55,2),2)</f>
        <v>0</v>
      </c>
    </row>
    <row r="56" spans="1:107" ht="12.75">
      <c r="A56">
        <f>ROW(Source!A46)</f>
        <v>46</v>
      </c>
      <c r="B56">
        <v>55454918</v>
      </c>
      <c r="C56">
        <v>55455155</v>
      </c>
      <c r="D56">
        <v>53647946</v>
      </c>
      <c r="E56">
        <v>1</v>
      </c>
      <c r="F56">
        <v>1</v>
      </c>
      <c r="G56">
        <v>1</v>
      </c>
      <c r="H56">
        <v>3</v>
      </c>
      <c r="I56" t="s">
        <v>79</v>
      </c>
      <c r="J56" t="s">
        <v>81</v>
      </c>
      <c r="K56" t="s">
        <v>80</v>
      </c>
      <c r="L56">
        <v>1348</v>
      </c>
      <c r="N56">
        <v>1009</v>
      </c>
      <c r="O56" t="s">
        <v>34</v>
      </c>
      <c r="P56" t="s">
        <v>34</v>
      </c>
      <c r="Q56">
        <v>1000</v>
      </c>
      <c r="W56">
        <v>0</v>
      </c>
      <c r="X56">
        <v>-224352410</v>
      </c>
      <c r="Y56">
        <v>0.450947</v>
      </c>
      <c r="AA56">
        <v>2682.59</v>
      </c>
      <c r="AB56">
        <v>0</v>
      </c>
      <c r="AC56">
        <v>0</v>
      </c>
      <c r="AD56">
        <v>0</v>
      </c>
      <c r="AE56">
        <v>2682.59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T56">
        <v>0.450947</v>
      </c>
      <c r="AV56">
        <v>0</v>
      </c>
      <c r="AW56">
        <v>1</v>
      </c>
      <c r="AX56">
        <v>-1</v>
      </c>
      <c r="AY56">
        <v>0</v>
      </c>
      <c r="AZ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Y56*Source!I46</f>
        <v>2.35845281</v>
      </c>
      <c r="CY56">
        <f>AA56</f>
        <v>2682.59</v>
      </c>
      <c r="CZ56">
        <f>AE56</f>
        <v>2682.59</v>
      </c>
      <c r="DA56">
        <f>AI56</f>
        <v>1</v>
      </c>
      <c r="DB56">
        <f>ROUND(ROUND(AT56*CZ56,2),2)</f>
        <v>1209.71</v>
      </c>
      <c r="DC56">
        <f>ROUND(ROUND(AT56*AG56,2),2)</f>
        <v>0</v>
      </c>
    </row>
    <row r="57" spans="1:107" ht="12.75">
      <c r="A57">
        <f>ROW(Source!A46)</f>
        <v>46</v>
      </c>
      <c r="B57">
        <v>55454918</v>
      </c>
      <c r="C57">
        <v>55455155</v>
      </c>
      <c r="D57">
        <v>53672807</v>
      </c>
      <c r="E57">
        <v>1</v>
      </c>
      <c r="F57">
        <v>1</v>
      </c>
      <c r="G57">
        <v>1</v>
      </c>
      <c r="H57">
        <v>3</v>
      </c>
      <c r="I57" t="s">
        <v>83</v>
      </c>
      <c r="J57" t="s">
        <v>86</v>
      </c>
      <c r="K57" t="s">
        <v>84</v>
      </c>
      <c r="L57">
        <v>1346</v>
      </c>
      <c r="N57">
        <v>1009</v>
      </c>
      <c r="O57" t="s">
        <v>85</v>
      </c>
      <c r="P57" t="s">
        <v>85</v>
      </c>
      <c r="Q57">
        <v>1</v>
      </c>
      <c r="W57">
        <v>0</v>
      </c>
      <c r="X57">
        <v>991060895</v>
      </c>
      <c r="Y57">
        <v>9.982788</v>
      </c>
      <c r="AA57">
        <v>15.9</v>
      </c>
      <c r="AB57">
        <v>0</v>
      </c>
      <c r="AC57">
        <v>0</v>
      </c>
      <c r="AD57">
        <v>0</v>
      </c>
      <c r="AE57">
        <v>15.9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0</v>
      </c>
      <c r="AQ57">
        <v>0</v>
      </c>
      <c r="AR57">
        <v>0</v>
      </c>
      <c r="AT57">
        <v>9.982788</v>
      </c>
      <c r="AV57">
        <v>0</v>
      </c>
      <c r="AW57">
        <v>1</v>
      </c>
      <c r="AX57">
        <v>-1</v>
      </c>
      <c r="AY57">
        <v>0</v>
      </c>
      <c r="AZ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Y57*Source!I46</f>
        <v>52.20998124</v>
      </c>
      <c r="CY57">
        <f>AA57</f>
        <v>15.9</v>
      </c>
      <c r="CZ57">
        <f>AE57</f>
        <v>15.9</v>
      </c>
      <c r="DA57">
        <f>AI57</f>
        <v>1</v>
      </c>
      <c r="DB57">
        <f>ROUND(ROUND(AT57*CZ57,2),2)</f>
        <v>158.73</v>
      </c>
      <c r="DC57">
        <f>ROUND(ROUND(AT57*AG57,2),2)</f>
        <v>0</v>
      </c>
    </row>
    <row r="58" spans="1:107" ht="12.75">
      <c r="A58">
        <f>ROW(Source!A46)</f>
        <v>46</v>
      </c>
      <c r="B58">
        <v>55454918</v>
      </c>
      <c r="C58">
        <v>55455155</v>
      </c>
      <c r="D58">
        <v>53673681</v>
      </c>
      <c r="E58">
        <v>1</v>
      </c>
      <c r="F58">
        <v>1</v>
      </c>
      <c r="G58">
        <v>1</v>
      </c>
      <c r="H58">
        <v>3</v>
      </c>
      <c r="I58" t="s">
        <v>88</v>
      </c>
      <c r="J58" t="s">
        <v>90</v>
      </c>
      <c r="K58" t="s">
        <v>89</v>
      </c>
      <c r="L58">
        <v>1346</v>
      </c>
      <c r="N58">
        <v>1009</v>
      </c>
      <c r="O58" t="s">
        <v>85</v>
      </c>
      <c r="P58" t="s">
        <v>85</v>
      </c>
      <c r="Q58">
        <v>1</v>
      </c>
      <c r="W58">
        <v>0</v>
      </c>
      <c r="X58">
        <v>-1209026283</v>
      </c>
      <c r="Y58">
        <v>20</v>
      </c>
      <c r="AA58">
        <v>13.08</v>
      </c>
      <c r="AB58">
        <v>0</v>
      </c>
      <c r="AC58">
        <v>0</v>
      </c>
      <c r="AD58">
        <v>0</v>
      </c>
      <c r="AE58">
        <v>13.08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T58">
        <v>20</v>
      </c>
      <c r="AV58">
        <v>0</v>
      </c>
      <c r="AW58">
        <v>1</v>
      </c>
      <c r="AX58">
        <v>-1</v>
      </c>
      <c r="AY58">
        <v>0</v>
      </c>
      <c r="AZ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Y58*Source!I46</f>
        <v>104.60000000000001</v>
      </c>
      <c r="CY58">
        <f>AA58</f>
        <v>13.08</v>
      </c>
      <c r="CZ58">
        <f>AE58</f>
        <v>13.08</v>
      </c>
      <c r="DA58">
        <f>AI58</f>
        <v>1</v>
      </c>
      <c r="DB58">
        <f>ROUND(ROUND(AT58*CZ58,2),2)</f>
        <v>261.6</v>
      </c>
      <c r="DC58">
        <f>ROUND(ROUND(AT58*AG58,2),2)</f>
        <v>0</v>
      </c>
    </row>
    <row r="59" spans="1:107" ht="12.75">
      <c r="A59">
        <f>ROW(Source!A47)</f>
        <v>47</v>
      </c>
      <c r="B59">
        <v>55454919</v>
      </c>
      <c r="C59">
        <v>55455155</v>
      </c>
      <c r="D59">
        <v>51126788</v>
      </c>
      <c r="E59">
        <v>68</v>
      </c>
      <c r="F59">
        <v>1</v>
      </c>
      <c r="G59">
        <v>1</v>
      </c>
      <c r="H59">
        <v>1</v>
      </c>
      <c r="I59" t="s">
        <v>345</v>
      </c>
      <c r="K59" t="s">
        <v>346</v>
      </c>
      <c r="L59">
        <v>1191</v>
      </c>
      <c r="N59">
        <v>1013</v>
      </c>
      <c r="O59" t="s">
        <v>313</v>
      </c>
      <c r="P59" t="s">
        <v>313</v>
      </c>
      <c r="Q59">
        <v>1</v>
      </c>
      <c r="W59">
        <v>0</v>
      </c>
      <c r="X59">
        <v>1049124552</v>
      </c>
      <c r="Y59">
        <v>30.061</v>
      </c>
      <c r="AA59">
        <v>0</v>
      </c>
      <c r="AB59">
        <v>0</v>
      </c>
      <c r="AC59">
        <v>0</v>
      </c>
      <c r="AD59">
        <v>311.09</v>
      </c>
      <c r="AE59">
        <v>0</v>
      </c>
      <c r="AF59">
        <v>0</v>
      </c>
      <c r="AG59">
        <v>0</v>
      </c>
      <c r="AH59">
        <v>8.53</v>
      </c>
      <c r="AI59">
        <v>1</v>
      </c>
      <c r="AJ59">
        <v>1</v>
      </c>
      <c r="AK59">
        <v>1</v>
      </c>
      <c r="AL59">
        <v>36.47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26.14</v>
      </c>
      <c r="AU59" t="s">
        <v>74</v>
      </c>
      <c r="AV59">
        <v>1</v>
      </c>
      <c r="AW59">
        <v>2</v>
      </c>
      <c r="AX59">
        <v>55455166</v>
      </c>
      <c r="AY59">
        <v>1</v>
      </c>
      <c r="AZ59">
        <v>0</v>
      </c>
      <c r="BA59">
        <v>60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Y59*Source!I47</f>
        <v>157.21903</v>
      </c>
      <c r="CY59">
        <f>AD59</f>
        <v>311.09</v>
      </c>
      <c r="CZ59">
        <f>AH59</f>
        <v>8.53</v>
      </c>
      <c r="DA59">
        <f>AL59</f>
        <v>36.47</v>
      </c>
      <c r="DB59">
        <f>ROUND((ROUND(AT59*CZ59,2)*ROUND(1.15,7)),2)</f>
        <v>256.42</v>
      </c>
      <c r="DC59">
        <f>ROUND((ROUND(AT59*AG59,2)*ROUND(1.15,7)),2)</f>
        <v>0</v>
      </c>
    </row>
    <row r="60" spans="1:107" ht="12.75">
      <c r="A60">
        <f>ROW(Source!A47)</f>
        <v>47</v>
      </c>
      <c r="B60">
        <v>55454919</v>
      </c>
      <c r="C60">
        <v>55455155</v>
      </c>
      <c r="D60">
        <v>51127040</v>
      </c>
      <c r="E60">
        <v>68</v>
      </c>
      <c r="F60">
        <v>1</v>
      </c>
      <c r="G60">
        <v>1</v>
      </c>
      <c r="H60">
        <v>1</v>
      </c>
      <c r="I60" t="s">
        <v>316</v>
      </c>
      <c r="K60" t="s">
        <v>317</v>
      </c>
      <c r="L60">
        <v>1191</v>
      </c>
      <c r="N60">
        <v>1013</v>
      </c>
      <c r="O60" t="s">
        <v>313</v>
      </c>
      <c r="P60" t="s">
        <v>313</v>
      </c>
      <c r="Q60">
        <v>1</v>
      </c>
      <c r="W60">
        <v>0</v>
      </c>
      <c r="X60">
        <v>-1417349443</v>
      </c>
      <c r="Y60">
        <v>0.11249999999999999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36.47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0.09</v>
      </c>
      <c r="AU60" t="s">
        <v>73</v>
      </c>
      <c r="AV60">
        <v>2</v>
      </c>
      <c r="AW60">
        <v>2</v>
      </c>
      <c r="AX60">
        <v>55455167</v>
      </c>
      <c r="AY60">
        <v>1</v>
      </c>
      <c r="AZ60">
        <v>0</v>
      </c>
      <c r="BA60">
        <v>61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Y60*Source!I47</f>
        <v>0.588375</v>
      </c>
      <c r="CY60">
        <f>AD60</f>
        <v>0</v>
      </c>
      <c r="CZ60">
        <f>AH60</f>
        <v>0</v>
      </c>
      <c r="DA60">
        <f>AL60</f>
        <v>1</v>
      </c>
      <c r="DB60">
        <f>ROUND((ROUND(AT60*CZ60,2)*ROUND(1.25,7)),2)</f>
        <v>0</v>
      </c>
      <c r="DC60">
        <f>ROUND((ROUND(AT60*AG60,2)*ROUND(1.25,7)),2)</f>
        <v>0</v>
      </c>
    </row>
    <row r="61" spans="1:107" ht="12.75">
      <c r="A61">
        <f>ROW(Source!A47)</f>
        <v>47</v>
      </c>
      <c r="B61">
        <v>55454919</v>
      </c>
      <c r="C61">
        <v>55455155</v>
      </c>
      <c r="D61">
        <v>51289368</v>
      </c>
      <c r="E61">
        <v>1</v>
      </c>
      <c r="F61">
        <v>1</v>
      </c>
      <c r="G61">
        <v>1</v>
      </c>
      <c r="H61">
        <v>2</v>
      </c>
      <c r="I61" t="s">
        <v>353</v>
      </c>
      <c r="J61" t="s">
        <v>354</v>
      </c>
      <c r="K61" t="s">
        <v>355</v>
      </c>
      <c r="L61">
        <v>1367</v>
      </c>
      <c r="N61">
        <v>1011</v>
      </c>
      <c r="O61" t="s">
        <v>321</v>
      </c>
      <c r="P61" t="s">
        <v>321</v>
      </c>
      <c r="Q61">
        <v>1</v>
      </c>
      <c r="W61">
        <v>0</v>
      </c>
      <c r="X61">
        <v>827510958</v>
      </c>
      <c r="Y61">
        <v>0.08750000000000001</v>
      </c>
      <c r="AA61">
        <v>0</v>
      </c>
      <c r="AB61">
        <v>358.75</v>
      </c>
      <c r="AC61">
        <v>423.05</v>
      </c>
      <c r="AD61">
        <v>0</v>
      </c>
      <c r="AE61">
        <v>0</v>
      </c>
      <c r="AF61">
        <v>27.66</v>
      </c>
      <c r="AG61">
        <v>11.6</v>
      </c>
      <c r="AH61">
        <v>0</v>
      </c>
      <c r="AI61">
        <v>1</v>
      </c>
      <c r="AJ61">
        <v>12.97</v>
      </c>
      <c r="AK61">
        <v>36.47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0.07</v>
      </c>
      <c r="AU61" t="s">
        <v>73</v>
      </c>
      <c r="AV61">
        <v>0</v>
      </c>
      <c r="AW61">
        <v>2</v>
      </c>
      <c r="AX61">
        <v>55455168</v>
      </c>
      <c r="AY61">
        <v>1</v>
      </c>
      <c r="AZ61">
        <v>0</v>
      </c>
      <c r="BA61">
        <v>62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Y61*Source!I47</f>
        <v>0.45762500000000006</v>
      </c>
      <c r="CY61">
        <f>AB61</f>
        <v>358.75</v>
      </c>
      <c r="CZ61">
        <f>AF61</f>
        <v>27.66</v>
      </c>
      <c r="DA61">
        <f>AJ61</f>
        <v>12.97</v>
      </c>
      <c r="DB61">
        <f>ROUND((ROUND(AT61*CZ61,2)*ROUND(1.25,7)),2)</f>
        <v>2.43</v>
      </c>
      <c r="DC61">
        <f>ROUND((ROUND(AT61*AG61,2)*ROUND(1.25,7)),2)</f>
        <v>1.01</v>
      </c>
    </row>
    <row r="62" spans="1:107" ht="12.75">
      <c r="A62">
        <f>ROW(Source!A47)</f>
        <v>47</v>
      </c>
      <c r="B62">
        <v>55454919</v>
      </c>
      <c r="C62">
        <v>55455155</v>
      </c>
      <c r="D62">
        <v>51290110</v>
      </c>
      <c r="E62">
        <v>1</v>
      </c>
      <c r="F62">
        <v>1</v>
      </c>
      <c r="G62">
        <v>1</v>
      </c>
      <c r="H62">
        <v>2</v>
      </c>
      <c r="I62" t="s">
        <v>322</v>
      </c>
      <c r="J62" t="s">
        <v>323</v>
      </c>
      <c r="K62" t="s">
        <v>324</v>
      </c>
      <c r="L62">
        <v>1367</v>
      </c>
      <c r="N62">
        <v>1011</v>
      </c>
      <c r="O62" t="s">
        <v>321</v>
      </c>
      <c r="P62" t="s">
        <v>321</v>
      </c>
      <c r="Q62">
        <v>1</v>
      </c>
      <c r="W62">
        <v>0</v>
      </c>
      <c r="X62">
        <v>2001246382</v>
      </c>
      <c r="Y62">
        <v>0.025</v>
      </c>
      <c r="AA62">
        <v>0</v>
      </c>
      <c r="AB62">
        <v>852.26</v>
      </c>
      <c r="AC62">
        <v>423.05</v>
      </c>
      <c r="AD62">
        <v>0</v>
      </c>
      <c r="AE62">
        <v>0</v>
      </c>
      <c r="AF62">
        <v>65.71</v>
      </c>
      <c r="AG62">
        <v>11.6</v>
      </c>
      <c r="AH62">
        <v>0</v>
      </c>
      <c r="AI62">
        <v>1</v>
      </c>
      <c r="AJ62">
        <v>12.97</v>
      </c>
      <c r="AK62">
        <v>36.47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0.02</v>
      </c>
      <c r="AU62" t="s">
        <v>73</v>
      </c>
      <c r="AV62">
        <v>0</v>
      </c>
      <c r="AW62">
        <v>2</v>
      </c>
      <c r="AX62">
        <v>55455169</v>
      </c>
      <c r="AY62">
        <v>1</v>
      </c>
      <c r="AZ62">
        <v>0</v>
      </c>
      <c r="BA62">
        <v>63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Y62*Source!I47</f>
        <v>0.13075</v>
      </c>
      <c r="CY62">
        <f>AB62</f>
        <v>852.26</v>
      </c>
      <c r="CZ62">
        <f>AF62</f>
        <v>65.71</v>
      </c>
      <c r="DA62">
        <f>AJ62</f>
        <v>12.97</v>
      </c>
      <c r="DB62">
        <f>ROUND((ROUND(AT62*CZ62,2)*ROUND(1.25,7)),2)</f>
        <v>1.64</v>
      </c>
      <c r="DC62">
        <f>ROUND((ROUND(AT62*AG62,2)*ROUND(1.25,7)),2)</f>
        <v>0.29</v>
      </c>
    </row>
    <row r="63" spans="1:107" ht="12.75">
      <c r="A63">
        <f>ROW(Source!A47)</f>
        <v>47</v>
      </c>
      <c r="B63">
        <v>55454919</v>
      </c>
      <c r="C63">
        <v>55455155</v>
      </c>
      <c r="D63">
        <v>51290980</v>
      </c>
      <c r="E63">
        <v>1</v>
      </c>
      <c r="F63">
        <v>1</v>
      </c>
      <c r="G63">
        <v>1</v>
      </c>
      <c r="H63">
        <v>2</v>
      </c>
      <c r="I63" t="s">
        <v>325</v>
      </c>
      <c r="J63" t="s">
        <v>326</v>
      </c>
      <c r="K63" t="s">
        <v>327</v>
      </c>
      <c r="L63">
        <v>1367</v>
      </c>
      <c r="N63">
        <v>1011</v>
      </c>
      <c r="O63" t="s">
        <v>321</v>
      </c>
      <c r="P63" t="s">
        <v>321</v>
      </c>
      <c r="Q63">
        <v>1</v>
      </c>
      <c r="W63">
        <v>0</v>
      </c>
      <c r="X63">
        <v>1549254237</v>
      </c>
      <c r="Y63">
        <v>3.5</v>
      </c>
      <c r="AA63">
        <v>0</v>
      </c>
      <c r="AB63">
        <v>42.67</v>
      </c>
      <c r="AC63">
        <v>0</v>
      </c>
      <c r="AD63">
        <v>0</v>
      </c>
      <c r="AE63">
        <v>0</v>
      </c>
      <c r="AF63">
        <v>3.29</v>
      </c>
      <c r="AG63">
        <v>0</v>
      </c>
      <c r="AH63">
        <v>0</v>
      </c>
      <c r="AI63">
        <v>1</v>
      </c>
      <c r="AJ63">
        <v>12.97</v>
      </c>
      <c r="AK63">
        <v>36.47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2.8</v>
      </c>
      <c r="AU63" t="s">
        <v>73</v>
      </c>
      <c r="AV63">
        <v>0</v>
      </c>
      <c r="AW63">
        <v>2</v>
      </c>
      <c r="AX63">
        <v>55455170</v>
      </c>
      <c r="AY63">
        <v>1</v>
      </c>
      <c r="AZ63">
        <v>0</v>
      </c>
      <c r="BA63">
        <v>64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Y63*Source!I47</f>
        <v>18.305</v>
      </c>
      <c r="CY63">
        <f>AB63</f>
        <v>42.67</v>
      </c>
      <c r="CZ63">
        <f>AF63</f>
        <v>3.29</v>
      </c>
      <c r="DA63">
        <f>AJ63</f>
        <v>12.97</v>
      </c>
      <c r="DB63">
        <f>ROUND((ROUND(AT63*CZ63,2)*ROUND(1.25,7)),2)</f>
        <v>11.51</v>
      </c>
      <c r="DC63">
        <f>ROUND((ROUND(AT63*AG63,2)*ROUND(1.25,7)),2)</f>
        <v>0</v>
      </c>
    </row>
    <row r="64" spans="1:107" ht="12.75">
      <c r="A64">
        <f>ROW(Source!A47)</f>
        <v>47</v>
      </c>
      <c r="B64">
        <v>55454919</v>
      </c>
      <c r="C64">
        <v>55455155</v>
      </c>
      <c r="D64">
        <v>51139447</v>
      </c>
      <c r="E64">
        <v>1</v>
      </c>
      <c r="F64">
        <v>1</v>
      </c>
      <c r="G64">
        <v>1</v>
      </c>
      <c r="H64">
        <v>3</v>
      </c>
      <c r="I64" t="s">
        <v>356</v>
      </c>
      <c r="J64" t="s">
        <v>357</v>
      </c>
      <c r="K64" t="s">
        <v>358</v>
      </c>
      <c r="L64">
        <v>1339</v>
      </c>
      <c r="N64">
        <v>1007</v>
      </c>
      <c r="O64" t="s">
        <v>111</v>
      </c>
      <c r="P64" t="s">
        <v>111</v>
      </c>
      <c r="Q64">
        <v>1</v>
      </c>
      <c r="W64">
        <v>0</v>
      </c>
      <c r="X64">
        <v>929815444</v>
      </c>
      <c r="Y64">
        <v>0.16</v>
      </c>
      <c r="AA64">
        <v>16.64</v>
      </c>
      <c r="AB64">
        <v>0</v>
      </c>
      <c r="AC64">
        <v>0</v>
      </c>
      <c r="AD64">
        <v>0</v>
      </c>
      <c r="AE64">
        <v>2.44</v>
      </c>
      <c r="AF64">
        <v>0</v>
      </c>
      <c r="AG64">
        <v>0</v>
      </c>
      <c r="AH64">
        <v>0</v>
      </c>
      <c r="AI64">
        <v>6.82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0.16</v>
      </c>
      <c r="AV64">
        <v>0</v>
      </c>
      <c r="AW64">
        <v>2</v>
      </c>
      <c r="AX64">
        <v>55455171</v>
      </c>
      <c r="AY64">
        <v>1</v>
      </c>
      <c r="AZ64">
        <v>0</v>
      </c>
      <c r="BA64">
        <v>65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Y64*Source!I47</f>
        <v>0.8368000000000001</v>
      </c>
      <c r="CY64">
        <f>AA64</f>
        <v>16.64</v>
      </c>
      <c r="CZ64">
        <f>AE64</f>
        <v>2.44</v>
      </c>
      <c r="DA64">
        <f>AI64</f>
        <v>6.82</v>
      </c>
      <c r="DB64">
        <f>ROUND(ROUND(AT64*CZ64,2),2)</f>
        <v>0.39</v>
      </c>
      <c r="DC64">
        <f>ROUND(ROUND(AT64*AG64,2),2)</f>
        <v>0</v>
      </c>
    </row>
    <row r="65" spans="1:107" ht="12.75">
      <c r="A65">
        <f>ROW(Source!A47)</f>
        <v>47</v>
      </c>
      <c r="B65">
        <v>55454919</v>
      </c>
      <c r="C65">
        <v>55455155</v>
      </c>
      <c r="D65">
        <v>51139938</v>
      </c>
      <c r="E65">
        <v>1</v>
      </c>
      <c r="F65">
        <v>1</v>
      </c>
      <c r="G65">
        <v>1</v>
      </c>
      <c r="H65">
        <v>3</v>
      </c>
      <c r="I65" t="s">
        <v>328</v>
      </c>
      <c r="J65" t="s">
        <v>329</v>
      </c>
      <c r="K65" t="s">
        <v>330</v>
      </c>
      <c r="L65">
        <v>1327</v>
      </c>
      <c r="N65">
        <v>1005</v>
      </c>
      <c r="O65" t="s">
        <v>106</v>
      </c>
      <c r="P65" t="s">
        <v>106</v>
      </c>
      <c r="Q65">
        <v>1</v>
      </c>
      <c r="W65">
        <v>0</v>
      </c>
      <c r="X65">
        <v>404921152</v>
      </c>
      <c r="Y65">
        <v>10</v>
      </c>
      <c r="AA65">
        <v>13.23</v>
      </c>
      <c r="AB65">
        <v>0</v>
      </c>
      <c r="AC65">
        <v>0</v>
      </c>
      <c r="AD65">
        <v>0</v>
      </c>
      <c r="AE65">
        <v>1.94</v>
      </c>
      <c r="AF65">
        <v>0</v>
      </c>
      <c r="AG65">
        <v>0</v>
      </c>
      <c r="AH65">
        <v>0</v>
      </c>
      <c r="AI65">
        <v>6.82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10</v>
      </c>
      <c r="AV65">
        <v>0</v>
      </c>
      <c r="AW65">
        <v>2</v>
      </c>
      <c r="AX65">
        <v>55455172</v>
      </c>
      <c r="AY65">
        <v>1</v>
      </c>
      <c r="AZ65">
        <v>0</v>
      </c>
      <c r="BA65">
        <v>66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Y65*Source!I47</f>
        <v>52.300000000000004</v>
      </c>
      <c r="CY65">
        <f>AA65</f>
        <v>13.23</v>
      </c>
      <c r="CZ65">
        <f>AE65</f>
        <v>1.94</v>
      </c>
      <c r="DA65">
        <f>AI65</f>
        <v>6.82</v>
      </c>
      <c r="DB65">
        <f>ROUND(ROUND(AT65*CZ65,2),2)</f>
        <v>19.4</v>
      </c>
      <c r="DC65">
        <f>ROUND(ROUND(AT65*AG65,2),2)</f>
        <v>0</v>
      </c>
    </row>
    <row r="66" spans="1:107" ht="12.75">
      <c r="A66">
        <f>ROW(Source!A47)</f>
        <v>47</v>
      </c>
      <c r="B66">
        <v>55454919</v>
      </c>
      <c r="C66">
        <v>55455155</v>
      </c>
      <c r="D66">
        <v>53647946</v>
      </c>
      <c r="E66">
        <v>1</v>
      </c>
      <c r="F66">
        <v>1</v>
      </c>
      <c r="G66">
        <v>1</v>
      </c>
      <c r="H66">
        <v>3</v>
      </c>
      <c r="I66" t="s">
        <v>79</v>
      </c>
      <c r="J66" t="s">
        <v>81</v>
      </c>
      <c r="K66" t="s">
        <v>80</v>
      </c>
      <c r="L66">
        <v>1348</v>
      </c>
      <c r="N66">
        <v>1009</v>
      </c>
      <c r="O66" t="s">
        <v>34</v>
      </c>
      <c r="P66" t="s">
        <v>34</v>
      </c>
      <c r="Q66">
        <v>1000</v>
      </c>
      <c r="W66">
        <v>0</v>
      </c>
      <c r="X66">
        <v>-224352410</v>
      </c>
      <c r="Y66">
        <v>0.450947</v>
      </c>
      <c r="AA66">
        <v>18295.26</v>
      </c>
      <c r="AB66">
        <v>0</v>
      </c>
      <c r="AC66">
        <v>0</v>
      </c>
      <c r="AD66">
        <v>0</v>
      </c>
      <c r="AE66">
        <v>2682.59</v>
      </c>
      <c r="AF66">
        <v>0</v>
      </c>
      <c r="AG66">
        <v>0</v>
      </c>
      <c r="AH66">
        <v>0</v>
      </c>
      <c r="AI66">
        <v>6.82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T66">
        <v>0.450947</v>
      </c>
      <c r="AV66">
        <v>0</v>
      </c>
      <c r="AW66">
        <v>1</v>
      </c>
      <c r="AX66">
        <v>-1</v>
      </c>
      <c r="AY66">
        <v>0</v>
      </c>
      <c r="AZ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Y66*Source!I47</f>
        <v>2.35845281</v>
      </c>
      <c r="CY66">
        <f>AA66</f>
        <v>18295.26</v>
      </c>
      <c r="CZ66">
        <f>AE66</f>
        <v>2682.59</v>
      </c>
      <c r="DA66">
        <f>AI66</f>
        <v>6.82</v>
      </c>
      <c r="DB66">
        <f>ROUND(ROUND(AT66*CZ66,2),2)</f>
        <v>1209.71</v>
      </c>
      <c r="DC66">
        <f>ROUND(ROUND(AT66*AG66,2),2)</f>
        <v>0</v>
      </c>
    </row>
    <row r="67" spans="1:107" ht="12.75">
      <c r="A67">
        <f>ROW(Source!A47)</f>
        <v>47</v>
      </c>
      <c r="B67">
        <v>55454919</v>
      </c>
      <c r="C67">
        <v>55455155</v>
      </c>
      <c r="D67">
        <v>53672807</v>
      </c>
      <c r="E67">
        <v>1</v>
      </c>
      <c r="F67">
        <v>1</v>
      </c>
      <c r="G67">
        <v>1</v>
      </c>
      <c r="H67">
        <v>3</v>
      </c>
      <c r="I67" t="s">
        <v>83</v>
      </c>
      <c r="J67" t="s">
        <v>86</v>
      </c>
      <c r="K67" t="s">
        <v>84</v>
      </c>
      <c r="L67">
        <v>1346</v>
      </c>
      <c r="N67">
        <v>1009</v>
      </c>
      <c r="O67" t="s">
        <v>85</v>
      </c>
      <c r="P67" t="s">
        <v>85</v>
      </c>
      <c r="Q67">
        <v>1</v>
      </c>
      <c r="W67">
        <v>0</v>
      </c>
      <c r="X67">
        <v>991060895</v>
      </c>
      <c r="Y67">
        <v>9.982788</v>
      </c>
      <c r="AA67">
        <v>108.44</v>
      </c>
      <c r="AB67">
        <v>0</v>
      </c>
      <c r="AC67">
        <v>0</v>
      </c>
      <c r="AD67">
        <v>0</v>
      </c>
      <c r="AE67">
        <v>15.9</v>
      </c>
      <c r="AF67">
        <v>0</v>
      </c>
      <c r="AG67">
        <v>0</v>
      </c>
      <c r="AH67">
        <v>0</v>
      </c>
      <c r="AI67">
        <v>6.82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T67">
        <v>9.982788</v>
      </c>
      <c r="AV67">
        <v>0</v>
      </c>
      <c r="AW67">
        <v>1</v>
      </c>
      <c r="AX67">
        <v>-1</v>
      </c>
      <c r="AY67">
        <v>0</v>
      </c>
      <c r="AZ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Y67*Source!I47</f>
        <v>52.20998124</v>
      </c>
      <c r="CY67">
        <f>AA67</f>
        <v>108.44</v>
      </c>
      <c r="CZ67">
        <f>AE67</f>
        <v>15.9</v>
      </c>
      <c r="DA67">
        <f>AI67</f>
        <v>6.82</v>
      </c>
      <c r="DB67">
        <f>ROUND(ROUND(AT67*CZ67,2),2)</f>
        <v>158.73</v>
      </c>
      <c r="DC67">
        <f>ROUND(ROUND(AT67*AG67,2),2)</f>
        <v>0</v>
      </c>
    </row>
    <row r="68" spans="1:107" ht="12.75">
      <c r="A68">
        <f>ROW(Source!A47)</f>
        <v>47</v>
      </c>
      <c r="B68">
        <v>55454919</v>
      </c>
      <c r="C68">
        <v>55455155</v>
      </c>
      <c r="D68">
        <v>53673681</v>
      </c>
      <c r="E68">
        <v>1</v>
      </c>
      <c r="F68">
        <v>1</v>
      </c>
      <c r="G68">
        <v>1</v>
      </c>
      <c r="H68">
        <v>3</v>
      </c>
      <c r="I68" t="s">
        <v>88</v>
      </c>
      <c r="J68" t="s">
        <v>90</v>
      </c>
      <c r="K68" t="s">
        <v>89</v>
      </c>
      <c r="L68">
        <v>1346</v>
      </c>
      <c r="N68">
        <v>1009</v>
      </c>
      <c r="O68" t="s">
        <v>85</v>
      </c>
      <c r="P68" t="s">
        <v>85</v>
      </c>
      <c r="Q68">
        <v>1</v>
      </c>
      <c r="W68">
        <v>0</v>
      </c>
      <c r="X68">
        <v>-1209026283</v>
      </c>
      <c r="Y68">
        <v>20</v>
      </c>
      <c r="AA68">
        <v>89.21</v>
      </c>
      <c r="AB68">
        <v>0</v>
      </c>
      <c r="AC68">
        <v>0</v>
      </c>
      <c r="AD68">
        <v>0</v>
      </c>
      <c r="AE68">
        <v>13.08</v>
      </c>
      <c r="AF68">
        <v>0</v>
      </c>
      <c r="AG68">
        <v>0</v>
      </c>
      <c r="AH68">
        <v>0</v>
      </c>
      <c r="AI68">
        <v>6.82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T68">
        <v>20</v>
      </c>
      <c r="AV68">
        <v>0</v>
      </c>
      <c r="AW68">
        <v>1</v>
      </c>
      <c r="AX68">
        <v>-1</v>
      </c>
      <c r="AY68">
        <v>0</v>
      </c>
      <c r="AZ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Y68*Source!I47</f>
        <v>104.60000000000001</v>
      </c>
      <c r="CY68">
        <f>AA68</f>
        <v>89.21</v>
      </c>
      <c r="CZ68">
        <f>AE68</f>
        <v>13.08</v>
      </c>
      <c r="DA68">
        <f>AI68</f>
        <v>6.82</v>
      </c>
      <c r="DB68">
        <f>ROUND(ROUND(AT68*CZ68,2),2)</f>
        <v>261.6</v>
      </c>
      <c r="DC68">
        <f>ROUND(ROUND(AT68*AG68,2),2)</f>
        <v>0</v>
      </c>
    </row>
    <row r="69" spans="1:107" ht="12.75">
      <c r="A69">
        <f>ROW(Source!A54)</f>
        <v>54</v>
      </c>
      <c r="B69">
        <v>55454918</v>
      </c>
      <c r="C69">
        <v>55455178</v>
      </c>
      <c r="D69">
        <v>51126788</v>
      </c>
      <c r="E69">
        <v>68</v>
      </c>
      <c r="F69">
        <v>1</v>
      </c>
      <c r="G69">
        <v>1</v>
      </c>
      <c r="H69">
        <v>1</v>
      </c>
      <c r="I69" t="s">
        <v>345</v>
      </c>
      <c r="K69" t="s">
        <v>346</v>
      </c>
      <c r="L69">
        <v>1191</v>
      </c>
      <c r="N69">
        <v>1013</v>
      </c>
      <c r="O69" t="s">
        <v>313</v>
      </c>
      <c r="P69" t="s">
        <v>313</v>
      </c>
      <c r="Q69">
        <v>1</v>
      </c>
      <c r="W69">
        <v>0</v>
      </c>
      <c r="X69">
        <v>1049124552</v>
      </c>
      <c r="Y69">
        <v>18.7565</v>
      </c>
      <c r="AA69">
        <v>0</v>
      </c>
      <c r="AB69">
        <v>0</v>
      </c>
      <c r="AC69">
        <v>0</v>
      </c>
      <c r="AD69">
        <v>8.53</v>
      </c>
      <c r="AE69">
        <v>0</v>
      </c>
      <c r="AF69">
        <v>0</v>
      </c>
      <c r="AG69">
        <v>0</v>
      </c>
      <c r="AH69">
        <v>8.53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2.33</v>
      </c>
      <c r="AU69" t="s">
        <v>97</v>
      </c>
      <c r="AV69">
        <v>1</v>
      </c>
      <c r="AW69">
        <v>2</v>
      </c>
      <c r="AX69">
        <v>55455185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Y69*Source!I54</f>
        <v>98.096495</v>
      </c>
      <c r="CY69">
        <f>AD69</f>
        <v>8.53</v>
      </c>
      <c r="CZ69">
        <f>AH69</f>
        <v>8.53</v>
      </c>
      <c r="DA69">
        <f>AL69</f>
        <v>1</v>
      </c>
      <c r="DB69">
        <f>ROUND((ROUND(AT69*CZ69,2)*ROUND((1.15*7),7)),2)</f>
        <v>159.95</v>
      </c>
      <c r="DC69">
        <f>ROUND((ROUND(AT69*AG69,2)*ROUND((1.15*7),7)),2)</f>
        <v>0</v>
      </c>
    </row>
    <row r="70" spans="1:107" ht="12.75">
      <c r="A70">
        <f>ROW(Source!A54)</f>
        <v>54</v>
      </c>
      <c r="B70">
        <v>55454918</v>
      </c>
      <c r="C70">
        <v>55455178</v>
      </c>
      <c r="D70">
        <v>51127040</v>
      </c>
      <c r="E70">
        <v>68</v>
      </c>
      <c r="F70">
        <v>1</v>
      </c>
      <c r="G70">
        <v>1</v>
      </c>
      <c r="H70">
        <v>1</v>
      </c>
      <c r="I70" t="s">
        <v>316</v>
      </c>
      <c r="K70" t="s">
        <v>317</v>
      </c>
      <c r="L70">
        <v>1191</v>
      </c>
      <c r="N70">
        <v>1013</v>
      </c>
      <c r="O70" t="s">
        <v>313</v>
      </c>
      <c r="P70" t="s">
        <v>313</v>
      </c>
      <c r="Q70">
        <v>1</v>
      </c>
      <c r="W70">
        <v>0</v>
      </c>
      <c r="X70">
        <v>-1417349443</v>
      </c>
      <c r="Y70">
        <v>0.2625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0.03</v>
      </c>
      <c r="AU70" t="s">
        <v>96</v>
      </c>
      <c r="AV70">
        <v>2</v>
      </c>
      <c r="AW70">
        <v>2</v>
      </c>
      <c r="AX70">
        <v>55455186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Y70*Source!I54</f>
        <v>1.372875</v>
      </c>
      <c r="CY70">
        <f>AD70</f>
        <v>0</v>
      </c>
      <c r="CZ70">
        <f>AH70</f>
        <v>0</v>
      </c>
      <c r="DA70">
        <f>AL70</f>
        <v>1</v>
      </c>
      <c r="DB70">
        <f>ROUND((ROUND(AT70*CZ70,2)*ROUND((1.25*7),7)),2)</f>
        <v>0</v>
      </c>
      <c r="DC70">
        <f>ROUND((ROUND(AT70*AG70,2)*ROUND((1.25*7),7)),2)</f>
        <v>0</v>
      </c>
    </row>
    <row r="71" spans="1:107" ht="12.75">
      <c r="A71">
        <f>ROW(Source!A54)</f>
        <v>54</v>
      </c>
      <c r="B71">
        <v>55454918</v>
      </c>
      <c r="C71">
        <v>55455178</v>
      </c>
      <c r="D71">
        <v>51289368</v>
      </c>
      <c r="E71">
        <v>1</v>
      </c>
      <c r="F71">
        <v>1</v>
      </c>
      <c r="G71">
        <v>1</v>
      </c>
      <c r="H71">
        <v>2</v>
      </c>
      <c r="I71" t="s">
        <v>353</v>
      </c>
      <c r="J71" t="s">
        <v>354</v>
      </c>
      <c r="K71" t="s">
        <v>355</v>
      </c>
      <c r="L71">
        <v>1367</v>
      </c>
      <c r="N71">
        <v>1011</v>
      </c>
      <c r="O71" t="s">
        <v>321</v>
      </c>
      <c r="P71" t="s">
        <v>321</v>
      </c>
      <c r="Q71">
        <v>1</v>
      </c>
      <c r="W71">
        <v>0</v>
      </c>
      <c r="X71">
        <v>827510958</v>
      </c>
      <c r="Y71">
        <v>0.16625</v>
      </c>
      <c r="AA71">
        <v>0</v>
      </c>
      <c r="AB71">
        <v>27.66</v>
      </c>
      <c r="AC71">
        <v>11.6</v>
      </c>
      <c r="AD71">
        <v>0</v>
      </c>
      <c r="AE71">
        <v>0</v>
      </c>
      <c r="AF71">
        <v>27.66</v>
      </c>
      <c r="AG71">
        <v>11.6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0.019</v>
      </c>
      <c r="AU71" t="s">
        <v>96</v>
      </c>
      <c r="AV71">
        <v>0</v>
      </c>
      <c r="AW71">
        <v>2</v>
      </c>
      <c r="AX71">
        <v>55455187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Y71*Source!I54</f>
        <v>0.8694875000000001</v>
      </c>
      <c r="CY71">
        <f>AB71</f>
        <v>27.66</v>
      </c>
      <c r="CZ71">
        <f>AF71</f>
        <v>27.66</v>
      </c>
      <c r="DA71">
        <f>AJ71</f>
        <v>1</v>
      </c>
      <c r="DB71">
        <f>ROUND((ROUND(AT71*CZ71,2)*ROUND((1.25*7),7)),2)</f>
        <v>4.64</v>
      </c>
      <c r="DC71">
        <f>ROUND((ROUND(AT71*AG71,2)*ROUND((1.25*7),7)),2)</f>
        <v>1.93</v>
      </c>
    </row>
    <row r="72" spans="1:107" ht="12.75">
      <c r="A72">
        <f>ROW(Source!A54)</f>
        <v>54</v>
      </c>
      <c r="B72">
        <v>55454918</v>
      </c>
      <c r="C72">
        <v>55455178</v>
      </c>
      <c r="D72">
        <v>51290110</v>
      </c>
      <c r="E72">
        <v>1</v>
      </c>
      <c r="F72">
        <v>1</v>
      </c>
      <c r="G72">
        <v>1</v>
      </c>
      <c r="H72">
        <v>2</v>
      </c>
      <c r="I72" t="s">
        <v>322</v>
      </c>
      <c r="J72" t="s">
        <v>323</v>
      </c>
      <c r="K72" t="s">
        <v>324</v>
      </c>
      <c r="L72">
        <v>1367</v>
      </c>
      <c r="N72">
        <v>1011</v>
      </c>
      <c r="O72" t="s">
        <v>321</v>
      </c>
      <c r="P72" t="s">
        <v>321</v>
      </c>
      <c r="Q72">
        <v>1</v>
      </c>
      <c r="W72">
        <v>0</v>
      </c>
      <c r="X72">
        <v>2001246382</v>
      </c>
      <c r="Y72">
        <v>0.0525</v>
      </c>
      <c r="AA72">
        <v>0</v>
      </c>
      <c r="AB72">
        <v>65.71</v>
      </c>
      <c r="AC72">
        <v>11.6</v>
      </c>
      <c r="AD72">
        <v>0</v>
      </c>
      <c r="AE72">
        <v>0</v>
      </c>
      <c r="AF72">
        <v>65.71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0.006</v>
      </c>
      <c r="AU72" t="s">
        <v>96</v>
      </c>
      <c r="AV72">
        <v>0</v>
      </c>
      <c r="AW72">
        <v>2</v>
      </c>
      <c r="AX72">
        <v>55455188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Y72*Source!I54</f>
        <v>0.274575</v>
      </c>
      <c r="CY72">
        <f>AB72</f>
        <v>65.71</v>
      </c>
      <c r="CZ72">
        <f>AF72</f>
        <v>65.71</v>
      </c>
      <c r="DA72">
        <f>AJ72</f>
        <v>1</v>
      </c>
      <c r="DB72">
        <f>ROUND((ROUND(AT72*CZ72,2)*ROUND((1.25*7),7)),2)</f>
        <v>3.41</v>
      </c>
      <c r="DC72">
        <f>ROUND((ROUND(AT72*AG72,2)*ROUND((1.25*7),7)),2)</f>
        <v>0.61</v>
      </c>
    </row>
    <row r="73" spans="1:107" ht="12.75">
      <c r="A73">
        <f>ROW(Source!A54)</f>
        <v>54</v>
      </c>
      <c r="B73">
        <v>55454918</v>
      </c>
      <c r="C73">
        <v>55455178</v>
      </c>
      <c r="D73">
        <v>51139447</v>
      </c>
      <c r="E73">
        <v>1</v>
      </c>
      <c r="F73">
        <v>1</v>
      </c>
      <c r="G73">
        <v>1</v>
      </c>
      <c r="H73">
        <v>3</v>
      </c>
      <c r="I73" t="s">
        <v>356</v>
      </c>
      <c r="J73" t="s">
        <v>357</v>
      </c>
      <c r="K73" t="s">
        <v>358</v>
      </c>
      <c r="L73">
        <v>1339</v>
      </c>
      <c r="N73">
        <v>1007</v>
      </c>
      <c r="O73" t="s">
        <v>111</v>
      </c>
      <c r="P73" t="s">
        <v>111</v>
      </c>
      <c r="Q73">
        <v>1</v>
      </c>
      <c r="W73">
        <v>0</v>
      </c>
      <c r="X73">
        <v>929815444</v>
      </c>
      <c r="Y73">
        <v>0.2828</v>
      </c>
      <c r="AA73">
        <v>2.44</v>
      </c>
      <c r="AB73">
        <v>0</v>
      </c>
      <c r="AC73">
        <v>0</v>
      </c>
      <c r="AD73">
        <v>0</v>
      </c>
      <c r="AE73">
        <v>2.44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0.0404</v>
      </c>
      <c r="AU73" t="s">
        <v>95</v>
      </c>
      <c r="AV73">
        <v>0</v>
      </c>
      <c r="AW73">
        <v>2</v>
      </c>
      <c r="AX73">
        <v>55455189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Y73*Source!I54</f>
        <v>1.479044</v>
      </c>
      <c r="CY73">
        <f>AA73</f>
        <v>2.44</v>
      </c>
      <c r="CZ73">
        <f>AE73</f>
        <v>2.44</v>
      </c>
      <c r="DA73">
        <f>AI73</f>
        <v>1</v>
      </c>
      <c r="DB73">
        <f>ROUND((ROUND(AT73*CZ73,2)*ROUND(7,7)),2)</f>
        <v>0.7</v>
      </c>
      <c r="DC73">
        <f>ROUND((ROUND(AT73*AG73,2)*ROUND(7,7)),2)</f>
        <v>0</v>
      </c>
    </row>
    <row r="74" spans="1:107" ht="12.75">
      <c r="A74">
        <f>ROW(Source!A54)</f>
        <v>54</v>
      </c>
      <c r="B74">
        <v>55454918</v>
      </c>
      <c r="C74">
        <v>55455178</v>
      </c>
      <c r="D74">
        <v>53647946</v>
      </c>
      <c r="E74">
        <v>1</v>
      </c>
      <c r="F74">
        <v>1</v>
      </c>
      <c r="G74">
        <v>1</v>
      </c>
      <c r="H74">
        <v>3</v>
      </c>
      <c r="I74" t="s">
        <v>79</v>
      </c>
      <c r="J74" t="s">
        <v>81</v>
      </c>
      <c r="K74" t="s">
        <v>80</v>
      </c>
      <c r="L74">
        <v>1348</v>
      </c>
      <c r="N74">
        <v>1009</v>
      </c>
      <c r="O74" t="s">
        <v>34</v>
      </c>
      <c r="P74" t="s">
        <v>34</v>
      </c>
      <c r="Q74">
        <v>1000</v>
      </c>
      <c r="W74">
        <v>0</v>
      </c>
      <c r="X74">
        <v>-224352410</v>
      </c>
      <c r="Y74">
        <v>1.049914</v>
      </c>
      <c r="AA74">
        <v>2682.59</v>
      </c>
      <c r="AB74">
        <v>0</v>
      </c>
      <c r="AC74">
        <v>0</v>
      </c>
      <c r="AD74">
        <v>0</v>
      </c>
      <c r="AE74">
        <v>2682.59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1</v>
      </c>
      <c r="AQ74">
        <v>0</v>
      </c>
      <c r="AR74">
        <v>0</v>
      </c>
      <c r="AT74">
        <v>1.049914</v>
      </c>
      <c r="AV74">
        <v>0</v>
      </c>
      <c r="AW74">
        <v>1</v>
      </c>
      <c r="AX74">
        <v>-1</v>
      </c>
      <c r="AY74">
        <v>0</v>
      </c>
      <c r="AZ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Y74*Source!I54</f>
        <v>5.491050220000001</v>
      </c>
      <c r="CY74">
        <f>AA74</f>
        <v>2682.59</v>
      </c>
      <c r="CZ74">
        <f>AE74</f>
        <v>2682.59</v>
      </c>
      <c r="DA74">
        <f>AI74</f>
        <v>1</v>
      </c>
      <c r="DB74">
        <f>ROUND(ROUND(AT74*CZ74,2),2)</f>
        <v>2816.49</v>
      </c>
      <c r="DC74">
        <f>ROUND(ROUND(AT74*AG74,2),2)</f>
        <v>0</v>
      </c>
    </row>
    <row r="75" spans="1:107" ht="12.75">
      <c r="A75">
        <f>ROW(Source!A55)</f>
        <v>55</v>
      </c>
      <c r="B75">
        <v>55454919</v>
      </c>
      <c r="C75">
        <v>55455178</v>
      </c>
      <c r="D75">
        <v>51126788</v>
      </c>
      <c r="E75">
        <v>68</v>
      </c>
      <c r="F75">
        <v>1</v>
      </c>
      <c r="G75">
        <v>1</v>
      </c>
      <c r="H75">
        <v>1</v>
      </c>
      <c r="I75" t="s">
        <v>345</v>
      </c>
      <c r="K75" t="s">
        <v>346</v>
      </c>
      <c r="L75">
        <v>1191</v>
      </c>
      <c r="N75">
        <v>1013</v>
      </c>
      <c r="O75" t="s">
        <v>313</v>
      </c>
      <c r="P75" t="s">
        <v>313</v>
      </c>
      <c r="Q75">
        <v>1</v>
      </c>
      <c r="W75">
        <v>0</v>
      </c>
      <c r="X75">
        <v>1049124552</v>
      </c>
      <c r="Y75">
        <v>18.7565</v>
      </c>
      <c r="AA75">
        <v>0</v>
      </c>
      <c r="AB75">
        <v>0</v>
      </c>
      <c r="AC75">
        <v>0</v>
      </c>
      <c r="AD75">
        <v>311.09</v>
      </c>
      <c r="AE75">
        <v>0</v>
      </c>
      <c r="AF75">
        <v>0</v>
      </c>
      <c r="AG75">
        <v>0</v>
      </c>
      <c r="AH75">
        <v>8.53</v>
      </c>
      <c r="AI75">
        <v>1</v>
      </c>
      <c r="AJ75">
        <v>1</v>
      </c>
      <c r="AK75">
        <v>1</v>
      </c>
      <c r="AL75">
        <v>36.47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2.33</v>
      </c>
      <c r="AU75" t="s">
        <v>97</v>
      </c>
      <c r="AV75">
        <v>1</v>
      </c>
      <c r="AW75">
        <v>2</v>
      </c>
      <c r="AX75">
        <v>55455185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Y75*Source!I55</f>
        <v>98.096495</v>
      </c>
      <c r="CY75">
        <f>AD75</f>
        <v>311.09</v>
      </c>
      <c r="CZ75">
        <f>AH75</f>
        <v>8.53</v>
      </c>
      <c r="DA75">
        <f>AL75</f>
        <v>36.47</v>
      </c>
      <c r="DB75">
        <f>ROUND((ROUND(AT75*CZ75,2)*ROUND((1.15*7),7)),2)</f>
        <v>159.95</v>
      </c>
      <c r="DC75">
        <f>ROUND((ROUND(AT75*AG75,2)*ROUND((1.15*7),7)),2)</f>
        <v>0</v>
      </c>
    </row>
    <row r="76" spans="1:107" ht="12.75">
      <c r="A76">
        <f>ROW(Source!A55)</f>
        <v>55</v>
      </c>
      <c r="B76">
        <v>55454919</v>
      </c>
      <c r="C76">
        <v>55455178</v>
      </c>
      <c r="D76">
        <v>51127040</v>
      </c>
      <c r="E76">
        <v>68</v>
      </c>
      <c r="F76">
        <v>1</v>
      </c>
      <c r="G76">
        <v>1</v>
      </c>
      <c r="H76">
        <v>1</v>
      </c>
      <c r="I76" t="s">
        <v>316</v>
      </c>
      <c r="K76" t="s">
        <v>317</v>
      </c>
      <c r="L76">
        <v>1191</v>
      </c>
      <c r="N76">
        <v>1013</v>
      </c>
      <c r="O76" t="s">
        <v>313</v>
      </c>
      <c r="P76" t="s">
        <v>313</v>
      </c>
      <c r="Q76">
        <v>1</v>
      </c>
      <c r="W76">
        <v>0</v>
      </c>
      <c r="X76">
        <v>-1417349443</v>
      </c>
      <c r="Y76">
        <v>0.2625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36.47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0.03</v>
      </c>
      <c r="AU76" t="s">
        <v>96</v>
      </c>
      <c r="AV76">
        <v>2</v>
      </c>
      <c r="AW76">
        <v>2</v>
      </c>
      <c r="AX76">
        <v>55455186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Y76*Source!I55</f>
        <v>1.372875</v>
      </c>
      <c r="CY76">
        <f>AD76</f>
        <v>0</v>
      </c>
      <c r="CZ76">
        <f>AH76</f>
        <v>0</v>
      </c>
      <c r="DA76">
        <f>AL76</f>
        <v>1</v>
      </c>
      <c r="DB76">
        <f>ROUND((ROUND(AT76*CZ76,2)*ROUND((1.25*7),7)),2)</f>
        <v>0</v>
      </c>
      <c r="DC76">
        <f>ROUND((ROUND(AT76*AG76,2)*ROUND((1.25*7),7)),2)</f>
        <v>0</v>
      </c>
    </row>
    <row r="77" spans="1:107" ht="12.75">
      <c r="A77">
        <f>ROW(Source!A55)</f>
        <v>55</v>
      </c>
      <c r="B77">
        <v>55454919</v>
      </c>
      <c r="C77">
        <v>55455178</v>
      </c>
      <c r="D77">
        <v>51289368</v>
      </c>
      <c r="E77">
        <v>1</v>
      </c>
      <c r="F77">
        <v>1</v>
      </c>
      <c r="G77">
        <v>1</v>
      </c>
      <c r="H77">
        <v>2</v>
      </c>
      <c r="I77" t="s">
        <v>353</v>
      </c>
      <c r="J77" t="s">
        <v>354</v>
      </c>
      <c r="K77" t="s">
        <v>355</v>
      </c>
      <c r="L77">
        <v>1367</v>
      </c>
      <c r="N77">
        <v>1011</v>
      </c>
      <c r="O77" t="s">
        <v>321</v>
      </c>
      <c r="P77" t="s">
        <v>321</v>
      </c>
      <c r="Q77">
        <v>1</v>
      </c>
      <c r="W77">
        <v>0</v>
      </c>
      <c r="X77">
        <v>827510958</v>
      </c>
      <c r="Y77">
        <v>0.16625</v>
      </c>
      <c r="AA77">
        <v>0</v>
      </c>
      <c r="AB77">
        <v>358.75</v>
      </c>
      <c r="AC77">
        <v>423.05</v>
      </c>
      <c r="AD77">
        <v>0</v>
      </c>
      <c r="AE77">
        <v>0</v>
      </c>
      <c r="AF77">
        <v>27.66</v>
      </c>
      <c r="AG77">
        <v>11.6</v>
      </c>
      <c r="AH77">
        <v>0</v>
      </c>
      <c r="AI77">
        <v>1</v>
      </c>
      <c r="AJ77">
        <v>12.97</v>
      </c>
      <c r="AK77">
        <v>36.47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0.019</v>
      </c>
      <c r="AU77" t="s">
        <v>96</v>
      </c>
      <c r="AV77">
        <v>0</v>
      </c>
      <c r="AW77">
        <v>2</v>
      </c>
      <c r="AX77">
        <v>55455187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Y77*Source!I55</f>
        <v>0.8694875000000001</v>
      </c>
      <c r="CY77">
        <f>AB77</f>
        <v>358.75</v>
      </c>
      <c r="CZ77">
        <f>AF77</f>
        <v>27.66</v>
      </c>
      <c r="DA77">
        <f>AJ77</f>
        <v>12.97</v>
      </c>
      <c r="DB77">
        <f>ROUND((ROUND(AT77*CZ77,2)*ROUND((1.25*7),7)),2)</f>
        <v>4.64</v>
      </c>
      <c r="DC77">
        <f>ROUND((ROUND(AT77*AG77,2)*ROUND((1.25*7),7)),2)</f>
        <v>1.93</v>
      </c>
    </row>
    <row r="78" spans="1:107" ht="12.75">
      <c r="A78">
        <f>ROW(Source!A55)</f>
        <v>55</v>
      </c>
      <c r="B78">
        <v>55454919</v>
      </c>
      <c r="C78">
        <v>55455178</v>
      </c>
      <c r="D78">
        <v>51290110</v>
      </c>
      <c r="E78">
        <v>1</v>
      </c>
      <c r="F78">
        <v>1</v>
      </c>
      <c r="G78">
        <v>1</v>
      </c>
      <c r="H78">
        <v>2</v>
      </c>
      <c r="I78" t="s">
        <v>322</v>
      </c>
      <c r="J78" t="s">
        <v>323</v>
      </c>
      <c r="K78" t="s">
        <v>324</v>
      </c>
      <c r="L78">
        <v>1367</v>
      </c>
      <c r="N78">
        <v>1011</v>
      </c>
      <c r="O78" t="s">
        <v>321</v>
      </c>
      <c r="P78" t="s">
        <v>321</v>
      </c>
      <c r="Q78">
        <v>1</v>
      </c>
      <c r="W78">
        <v>0</v>
      </c>
      <c r="X78">
        <v>2001246382</v>
      </c>
      <c r="Y78">
        <v>0.0525</v>
      </c>
      <c r="AA78">
        <v>0</v>
      </c>
      <c r="AB78">
        <v>852.26</v>
      </c>
      <c r="AC78">
        <v>423.05</v>
      </c>
      <c r="AD78">
        <v>0</v>
      </c>
      <c r="AE78">
        <v>0</v>
      </c>
      <c r="AF78">
        <v>65.71</v>
      </c>
      <c r="AG78">
        <v>11.6</v>
      </c>
      <c r="AH78">
        <v>0</v>
      </c>
      <c r="AI78">
        <v>1</v>
      </c>
      <c r="AJ78">
        <v>12.97</v>
      </c>
      <c r="AK78">
        <v>36.47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0.006</v>
      </c>
      <c r="AU78" t="s">
        <v>96</v>
      </c>
      <c r="AV78">
        <v>0</v>
      </c>
      <c r="AW78">
        <v>2</v>
      </c>
      <c r="AX78">
        <v>55455188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Y78*Source!I55</f>
        <v>0.274575</v>
      </c>
      <c r="CY78">
        <f>AB78</f>
        <v>852.26</v>
      </c>
      <c r="CZ78">
        <f>AF78</f>
        <v>65.71</v>
      </c>
      <c r="DA78">
        <f>AJ78</f>
        <v>12.97</v>
      </c>
      <c r="DB78">
        <f>ROUND((ROUND(AT78*CZ78,2)*ROUND((1.25*7),7)),2)</f>
        <v>3.41</v>
      </c>
      <c r="DC78">
        <f>ROUND((ROUND(AT78*AG78,2)*ROUND((1.25*7),7)),2)</f>
        <v>0.61</v>
      </c>
    </row>
    <row r="79" spans="1:107" ht="12.75">
      <c r="A79">
        <f>ROW(Source!A55)</f>
        <v>55</v>
      </c>
      <c r="B79">
        <v>55454919</v>
      </c>
      <c r="C79">
        <v>55455178</v>
      </c>
      <c r="D79">
        <v>51139447</v>
      </c>
      <c r="E79">
        <v>1</v>
      </c>
      <c r="F79">
        <v>1</v>
      </c>
      <c r="G79">
        <v>1</v>
      </c>
      <c r="H79">
        <v>3</v>
      </c>
      <c r="I79" t="s">
        <v>356</v>
      </c>
      <c r="J79" t="s">
        <v>357</v>
      </c>
      <c r="K79" t="s">
        <v>358</v>
      </c>
      <c r="L79">
        <v>1339</v>
      </c>
      <c r="N79">
        <v>1007</v>
      </c>
      <c r="O79" t="s">
        <v>111</v>
      </c>
      <c r="P79" t="s">
        <v>111</v>
      </c>
      <c r="Q79">
        <v>1</v>
      </c>
      <c r="W79">
        <v>0</v>
      </c>
      <c r="X79">
        <v>929815444</v>
      </c>
      <c r="Y79">
        <v>0.2828</v>
      </c>
      <c r="AA79">
        <v>16.64</v>
      </c>
      <c r="AB79">
        <v>0</v>
      </c>
      <c r="AC79">
        <v>0</v>
      </c>
      <c r="AD79">
        <v>0</v>
      </c>
      <c r="AE79">
        <v>2.44</v>
      </c>
      <c r="AF79">
        <v>0</v>
      </c>
      <c r="AG79">
        <v>0</v>
      </c>
      <c r="AH79">
        <v>0</v>
      </c>
      <c r="AI79">
        <v>6.82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0.0404</v>
      </c>
      <c r="AU79" t="s">
        <v>95</v>
      </c>
      <c r="AV79">
        <v>0</v>
      </c>
      <c r="AW79">
        <v>2</v>
      </c>
      <c r="AX79">
        <v>55455189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Y79*Source!I55</f>
        <v>1.479044</v>
      </c>
      <c r="CY79">
        <f>AA79</f>
        <v>16.64</v>
      </c>
      <c r="CZ79">
        <f>AE79</f>
        <v>2.44</v>
      </c>
      <c r="DA79">
        <f>AI79</f>
        <v>6.82</v>
      </c>
      <c r="DB79">
        <f>ROUND((ROUND(AT79*CZ79,2)*ROUND(7,7)),2)</f>
        <v>0.7</v>
      </c>
      <c r="DC79">
        <f>ROUND((ROUND(AT79*AG79,2)*ROUND(7,7)),2)</f>
        <v>0</v>
      </c>
    </row>
    <row r="80" spans="1:107" ht="12.75">
      <c r="A80">
        <f>ROW(Source!A55)</f>
        <v>55</v>
      </c>
      <c r="B80">
        <v>55454919</v>
      </c>
      <c r="C80">
        <v>55455178</v>
      </c>
      <c r="D80">
        <v>53647946</v>
      </c>
      <c r="E80">
        <v>1</v>
      </c>
      <c r="F80">
        <v>1</v>
      </c>
      <c r="G80">
        <v>1</v>
      </c>
      <c r="H80">
        <v>3</v>
      </c>
      <c r="I80" t="s">
        <v>79</v>
      </c>
      <c r="J80" t="s">
        <v>81</v>
      </c>
      <c r="K80" t="s">
        <v>80</v>
      </c>
      <c r="L80">
        <v>1348</v>
      </c>
      <c r="N80">
        <v>1009</v>
      </c>
      <c r="O80" t="s">
        <v>34</v>
      </c>
      <c r="P80" t="s">
        <v>34</v>
      </c>
      <c r="Q80">
        <v>1000</v>
      </c>
      <c r="W80">
        <v>0</v>
      </c>
      <c r="X80">
        <v>-224352410</v>
      </c>
      <c r="Y80">
        <v>1.049914</v>
      </c>
      <c r="AA80">
        <v>18295.26</v>
      </c>
      <c r="AB80">
        <v>0</v>
      </c>
      <c r="AC80">
        <v>0</v>
      </c>
      <c r="AD80">
        <v>0</v>
      </c>
      <c r="AE80">
        <v>2682.59</v>
      </c>
      <c r="AF80">
        <v>0</v>
      </c>
      <c r="AG80">
        <v>0</v>
      </c>
      <c r="AH80">
        <v>0</v>
      </c>
      <c r="AI80">
        <v>6.82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1</v>
      </c>
      <c r="AQ80">
        <v>0</v>
      </c>
      <c r="AR80">
        <v>0</v>
      </c>
      <c r="AT80">
        <v>1.049914</v>
      </c>
      <c r="AV80">
        <v>0</v>
      </c>
      <c r="AW80">
        <v>1</v>
      </c>
      <c r="AX80">
        <v>-1</v>
      </c>
      <c r="AY80">
        <v>0</v>
      </c>
      <c r="AZ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Y80*Source!I55</f>
        <v>5.491050220000001</v>
      </c>
      <c r="CY80">
        <f>AA80</f>
        <v>18295.26</v>
      </c>
      <c r="CZ80">
        <f>AE80</f>
        <v>2682.59</v>
      </c>
      <c r="DA80">
        <f>AI80</f>
        <v>6.82</v>
      </c>
      <c r="DB80">
        <f>ROUND(ROUND(AT80*CZ80,2),2)</f>
        <v>2816.49</v>
      </c>
      <c r="DC80">
        <f>ROUND(ROUND(AT80*AG80,2),2)</f>
        <v>0</v>
      </c>
    </row>
    <row r="81" spans="1:107" ht="12.75">
      <c r="A81">
        <f>ROW(Source!A58)</f>
        <v>58</v>
      </c>
      <c r="B81">
        <v>55454918</v>
      </c>
      <c r="C81">
        <v>55468344</v>
      </c>
      <c r="D81">
        <v>51126794</v>
      </c>
      <c r="E81">
        <v>68</v>
      </c>
      <c r="F81">
        <v>1</v>
      </c>
      <c r="G81">
        <v>1</v>
      </c>
      <c r="H81">
        <v>1</v>
      </c>
      <c r="I81" t="s">
        <v>359</v>
      </c>
      <c r="K81" t="s">
        <v>360</v>
      </c>
      <c r="L81">
        <v>1191</v>
      </c>
      <c r="N81">
        <v>1013</v>
      </c>
      <c r="O81" t="s">
        <v>313</v>
      </c>
      <c r="P81" t="s">
        <v>313</v>
      </c>
      <c r="Q81">
        <v>1</v>
      </c>
      <c r="W81">
        <v>0</v>
      </c>
      <c r="X81">
        <v>784619160</v>
      </c>
      <c r="Y81">
        <v>356.983</v>
      </c>
      <c r="AA81">
        <v>0</v>
      </c>
      <c r="AB81">
        <v>0</v>
      </c>
      <c r="AC81">
        <v>0</v>
      </c>
      <c r="AD81">
        <v>8.74</v>
      </c>
      <c r="AE81">
        <v>0</v>
      </c>
      <c r="AF81">
        <v>0</v>
      </c>
      <c r="AG81">
        <v>0</v>
      </c>
      <c r="AH81">
        <v>8.74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310.42</v>
      </c>
      <c r="AU81" t="s">
        <v>74</v>
      </c>
      <c r="AV81">
        <v>1</v>
      </c>
      <c r="AW81">
        <v>2</v>
      </c>
      <c r="AX81">
        <v>55468345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Y81*Source!I58</f>
        <v>1867.0210900000002</v>
      </c>
      <c r="CY81">
        <f>AD81</f>
        <v>8.74</v>
      </c>
      <c r="CZ81">
        <f>AH81</f>
        <v>8.74</v>
      </c>
      <c r="DA81">
        <f>AL81</f>
        <v>1</v>
      </c>
      <c r="DB81">
        <f>ROUND((ROUND(AT81*CZ81,2)*ROUND(1.15,7)),2)</f>
        <v>3120.03</v>
      </c>
      <c r="DC81">
        <f>ROUND((ROUND(AT81*AG81,2)*ROUND(1.15,7)),2)</f>
        <v>0</v>
      </c>
    </row>
    <row r="82" spans="1:107" ht="12.75">
      <c r="A82">
        <f>ROW(Source!A58)</f>
        <v>58</v>
      </c>
      <c r="B82">
        <v>55454918</v>
      </c>
      <c r="C82">
        <v>55468344</v>
      </c>
      <c r="D82">
        <v>51127040</v>
      </c>
      <c r="E82">
        <v>68</v>
      </c>
      <c r="F82">
        <v>1</v>
      </c>
      <c r="G82">
        <v>1</v>
      </c>
      <c r="H82">
        <v>1</v>
      </c>
      <c r="I82" t="s">
        <v>316</v>
      </c>
      <c r="K82" t="s">
        <v>317</v>
      </c>
      <c r="L82">
        <v>1191</v>
      </c>
      <c r="N82">
        <v>1013</v>
      </c>
      <c r="O82" t="s">
        <v>313</v>
      </c>
      <c r="P82" t="s">
        <v>313</v>
      </c>
      <c r="Q82">
        <v>1</v>
      </c>
      <c r="W82">
        <v>0</v>
      </c>
      <c r="X82">
        <v>-1417349443</v>
      </c>
      <c r="Y82">
        <v>2.1625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1.73</v>
      </c>
      <c r="AU82" t="s">
        <v>73</v>
      </c>
      <c r="AV82">
        <v>2</v>
      </c>
      <c r="AW82">
        <v>2</v>
      </c>
      <c r="AX82">
        <v>55468346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Y82*Source!I58</f>
        <v>11.309875000000002</v>
      </c>
      <c r="CY82">
        <f>AD82</f>
        <v>0</v>
      </c>
      <c r="CZ82">
        <f>AH82</f>
        <v>0</v>
      </c>
      <c r="DA82">
        <f>AL82</f>
        <v>1</v>
      </c>
      <c r="DB82">
        <f>ROUND((ROUND(AT82*CZ82,2)*ROUND(1.25,7)),2)</f>
        <v>0</v>
      </c>
      <c r="DC82">
        <f>ROUND((ROUND(AT82*AG82,2)*ROUND(1.25,7)),2)</f>
        <v>0</v>
      </c>
    </row>
    <row r="83" spans="1:107" ht="12.75">
      <c r="A83">
        <f>ROW(Source!A58)</f>
        <v>58</v>
      </c>
      <c r="B83">
        <v>55454918</v>
      </c>
      <c r="C83">
        <v>55468344</v>
      </c>
      <c r="D83">
        <v>51289117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1367</v>
      </c>
      <c r="N83">
        <v>1011</v>
      </c>
      <c r="O83" t="s">
        <v>321</v>
      </c>
      <c r="P83" t="s">
        <v>321</v>
      </c>
      <c r="Q83">
        <v>1</v>
      </c>
      <c r="W83">
        <v>0</v>
      </c>
      <c r="X83">
        <v>632863804</v>
      </c>
      <c r="Y83">
        <v>0.025</v>
      </c>
      <c r="AA83">
        <v>0</v>
      </c>
      <c r="AB83">
        <v>83.43</v>
      </c>
      <c r="AC83">
        <v>13.5</v>
      </c>
      <c r="AD83">
        <v>0</v>
      </c>
      <c r="AE83">
        <v>0</v>
      </c>
      <c r="AF83">
        <v>83.43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0.02</v>
      </c>
      <c r="AU83" t="s">
        <v>73</v>
      </c>
      <c r="AV83">
        <v>0</v>
      </c>
      <c r="AW83">
        <v>2</v>
      </c>
      <c r="AX83">
        <v>55468347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Y83*Source!I58</f>
        <v>0.13075</v>
      </c>
      <c r="CY83">
        <f>AB83</f>
        <v>83.43</v>
      </c>
      <c r="CZ83">
        <f>AF83</f>
        <v>83.43</v>
      </c>
      <c r="DA83">
        <f>AJ83</f>
        <v>1</v>
      </c>
      <c r="DB83">
        <f>ROUND((ROUND(AT83*CZ83,2)*ROUND(1.25,7)),2)</f>
        <v>2.09</v>
      </c>
      <c r="DC83">
        <f>ROUND((ROUND(AT83*AG83,2)*ROUND(1.25,7)),2)</f>
        <v>0.34</v>
      </c>
    </row>
    <row r="84" spans="1:107" ht="12.75">
      <c r="A84">
        <f>ROW(Source!A58)</f>
        <v>58</v>
      </c>
      <c r="B84">
        <v>55454918</v>
      </c>
      <c r="C84">
        <v>55468344</v>
      </c>
      <c r="D84">
        <v>51289176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1367</v>
      </c>
      <c r="N84">
        <v>1011</v>
      </c>
      <c r="O84" t="s">
        <v>321</v>
      </c>
      <c r="P84" t="s">
        <v>321</v>
      </c>
      <c r="Q84">
        <v>1</v>
      </c>
      <c r="W84">
        <v>0</v>
      </c>
      <c r="X84">
        <v>-296520070</v>
      </c>
      <c r="Y84">
        <v>0.0125</v>
      </c>
      <c r="AA84">
        <v>0</v>
      </c>
      <c r="AB84">
        <v>115.4</v>
      </c>
      <c r="AC84">
        <v>13.5</v>
      </c>
      <c r="AD84">
        <v>0</v>
      </c>
      <c r="AE84">
        <v>0</v>
      </c>
      <c r="AF84">
        <v>115.4</v>
      </c>
      <c r="AG84">
        <v>13.5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0.01</v>
      </c>
      <c r="AU84" t="s">
        <v>73</v>
      </c>
      <c r="AV84">
        <v>0</v>
      </c>
      <c r="AW84">
        <v>2</v>
      </c>
      <c r="AX84">
        <v>55468348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Y84*Source!I58</f>
        <v>0.065375</v>
      </c>
      <c r="CY84">
        <f>AB84</f>
        <v>115.4</v>
      </c>
      <c r="CZ84">
        <f>AF84</f>
        <v>115.4</v>
      </c>
      <c r="DA84">
        <f>AJ84</f>
        <v>1</v>
      </c>
      <c r="DB84">
        <f>ROUND((ROUND(AT84*CZ84,2)*ROUND(1.25,7)),2)</f>
        <v>1.44</v>
      </c>
      <c r="DC84">
        <f>ROUND((ROUND(AT84*AG84,2)*ROUND(1.25,7)),2)</f>
        <v>0.18</v>
      </c>
    </row>
    <row r="85" spans="1:107" ht="12.75">
      <c r="A85">
        <f>ROW(Source!A58)</f>
        <v>58</v>
      </c>
      <c r="B85">
        <v>55454918</v>
      </c>
      <c r="C85">
        <v>55468344</v>
      </c>
      <c r="D85">
        <v>51289493</v>
      </c>
      <c r="E85">
        <v>1</v>
      </c>
      <c r="F85">
        <v>1</v>
      </c>
      <c r="G85">
        <v>1</v>
      </c>
      <c r="H85">
        <v>2</v>
      </c>
      <c r="I85" t="s">
        <v>367</v>
      </c>
      <c r="J85" t="s">
        <v>368</v>
      </c>
      <c r="K85" t="s">
        <v>369</v>
      </c>
      <c r="L85">
        <v>1367</v>
      </c>
      <c r="N85">
        <v>1011</v>
      </c>
      <c r="O85" t="s">
        <v>321</v>
      </c>
      <c r="P85" t="s">
        <v>321</v>
      </c>
      <c r="Q85">
        <v>1</v>
      </c>
      <c r="W85">
        <v>0</v>
      </c>
      <c r="X85">
        <v>999127525</v>
      </c>
      <c r="Y85">
        <v>2.1125</v>
      </c>
      <c r="AA85">
        <v>0</v>
      </c>
      <c r="AB85">
        <v>12.39</v>
      </c>
      <c r="AC85">
        <v>10.06</v>
      </c>
      <c r="AD85">
        <v>0</v>
      </c>
      <c r="AE85">
        <v>0</v>
      </c>
      <c r="AF85">
        <v>12.39</v>
      </c>
      <c r="AG85">
        <v>10.06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1.69</v>
      </c>
      <c r="AU85" t="s">
        <v>73</v>
      </c>
      <c r="AV85">
        <v>0</v>
      </c>
      <c r="AW85">
        <v>2</v>
      </c>
      <c r="AX85">
        <v>55468349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Y85*Source!I58</f>
        <v>11.048375</v>
      </c>
      <c r="CY85">
        <f>AB85</f>
        <v>12.39</v>
      </c>
      <c r="CZ85">
        <f>AF85</f>
        <v>12.39</v>
      </c>
      <c r="DA85">
        <f>AJ85</f>
        <v>1</v>
      </c>
      <c r="DB85">
        <f>ROUND((ROUND(AT85*CZ85,2)*ROUND(1.25,7)),2)</f>
        <v>26.18</v>
      </c>
      <c r="DC85">
        <f>ROUND((ROUND(AT85*AG85,2)*ROUND(1.25,7)),2)</f>
        <v>21.25</v>
      </c>
    </row>
    <row r="86" spans="1:107" ht="12.75">
      <c r="A86">
        <f>ROW(Source!A58)</f>
        <v>58</v>
      </c>
      <c r="B86">
        <v>55454918</v>
      </c>
      <c r="C86">
        <v>55468344</v>
      </c>
      <c r="D86">
        <v>51290110</v>
      </c>
      <c r="E86">
        <v>1</v>
      </c>
      <c r="F86">
        <v>1</v>
      </c>
      <c r="G86">
        <v>1</v>
      </c>
      <c r="H86">
        <v>2</v>
      </c>
      <c r="I86" t="s">
        <v>322</v>
      </c>
      <c r="J86" t="s">
        <v>323</v>
      </c>
      <c r="K86" t="s">
        <v>324</v>
      </c>
      <c r="L86">
        <v>1367</v>
      </c>
      <c r="N86">
        <v>1011</v>
      </c>
      <c r="O86" t="s">
        <v>321</v>
      </c>
      <c r="P86" t="s">
        <v>321</v>
      </c>
      <c r="Q86">
        <v>1</v>
      </c>
      <c r="W86">
        <v>0</v>
      </c>
      <c r="X86">
        <v>2001246382</v>
      </c>
      <c r="Y86">
        <v>0.0125</v>
      </c>
      <c r="AA86">
        <v>0</v>
      </c>
      <c r="AB86">
        <v>65.71</v>
      </c>
      <c r="AC86">
        <v>11.6</v>
      </c>
      <c r="AD86">
        <v>0</v>
      </c>
      <c r="AE86">
        <v>0</v>
      </c>
      <c r="AF86">
        <v>65.71</v>
      </c>
      <c r="AG86">
        <v>11.6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0.01</v>
      </c>
      <c r="AU86" t="s">
        <v>73</v>
      </c>
      <c r="AV86">
        <v>0</v>
      </c>
      <c r="AW86">
        <v>2</v>
      </c>
      <c r="AX86">
        <v>55468350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Y86*Source!I58</f>
        <v>0.065375</v>
      </c>
      <c r="CY86">
        <f>AB86</f>
        <v>65.71</v>
      </c>
      <c r="CZ86">
        <f>AF86</f>
        <v>65.71</v>
      </c>
      <c r="DA86">
        <f>AJ86</f>
        <v>1</v>
      </c>
      <c r="DB86">
        <f>ROUND((ROUND(AT86*CZ86,2)*ROUND(1.25,7)),2)</f>
        <v>0.83</v>
      </c>
      <c r="DC86">
        <f>ROUND((ROUND(AT86*AG86,2)*ROUND(1.25,7)),2)</f>
        <v>0.15</v>
      </c>
    </row>
    <row r="87" spans="1:107" ht="12.75">
      <c r="A87">
        <f>ROW(Source!A58)</f>
        <v>58</v>
      </c>
      <c r="B87">
        <v>55454918</v>
      </c>
      <c r="C87">
        <v>55468344</v>
      </c>
      <c r="D87">
        <v>51139447</v>
      </c>
      <c r="E87">
        <v>1</v>
      </c>
      <c r="F87">
        <v>1</v>
      </c>
      <c r="G87">
        <v>1</v>
      </c>
      <c r="H87">
        <v>3</v>
      </c>
      <c r="I87" t="s">
        <v>356</v>
      </c>
      <c r="J87" t="s">
        <v>357</v>
      </c>
      <c r="K87" t="s">
        <v>358</v>
      </c>
      <c r="L87">
        <v>1339</v>
      </c>
      <c r="N87">
        <v>1007</v>
      </c>
      <c r="O87" t="s">
        <v>111</v>
      </c>
      <c r="P87" t="s">
        <v>111</v>
      </c>
      <c r="Q87">
        <v>1</v>
      </c>
      <c r="W87">
        <v>0</v>
      </c>
      <c r="X87">
        <v>929815444</v>
      </c>
      <c r="Y87">
        <v>0.44</v>
      </c>
      <c r="AA87">
        <v>2.44</v>
      </c>
      <c r="AB87">
        <v>0</v>
      </c>
      <c r="AC87">
        <v>0</v>
      </c>
      <c r="AD87">
        <v>0</v>
      </c>
      <c r="AE87">
        <v>2.44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0.44</v>
      </c>
      <c r="AV87">
        <v>0</v>
      </c>
      <c r="AW87">
        <v>2</v>
      </c>
      <c r="AX87">
        <v>55468351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Y87*Source!I58</f>
        <v>2.3012</v>
      </c>
      <c r="CY87">
        <f aca="true" t="shared" si="2" ref="CY87:CY92">AA87</f>
        <v>2.44</v>
      </c>
      <c r="CZ87">
        <f aca="true" t="shared" si="3" ref="CZ87:CZ92">AE87</f>
        <v>2.44</v>
      </c>
      <c r="DA87">
        <f aca="true" t="shared" si="4" ref="DA87:DA92">AI87</f>
        <v>1</v>
      </c>
      <c r="DB87">
        <f aca="true" t="shared" si="5" ref="DB87:DB92">ROUND(ROUND(AT87*CZ87,2),2)</f>
        <v>1.07</v>
      </c>
      <c r="DC87">
        <f aca="true" t="shared" si="6" ref="DC87:DC92">ROUND(ROUND(AT87*AG87,2),2)</f>
        <v>0</v>
      </c>
    </row>
    <row r="88" spans="1:107" ht="12.75">
      <c r="A88">
        <f>ROW(Source!A58)</f>
        <v>58</v>
      </c>
      <c r="B88">
        <v>55454918</v>
      </c>
      <c r="C88">
        <v>55468344</v>
      </c>
      <c r="D88">
        <v>51144946</v>
      </c>
      <c r="E88">
        <v>1</v>
      </c>
      <c r="F88">
        <v>1</v>
      </c>
      <c r="G88">
        <v>1</v>
      </c>
      <c r="H88">
        <v>3</v>
      </c>
      <c r="I88" t="s">
        <v>370</v>
      </c>
      <c r="J88" t="s">
        <v>371</v>
      </c>
      <c r="K88" t="s">
        <v>372</v>
      </c>
      <c r="L88">
        <v>1348</v>
      </c>
      <c r="N88">
        <v>1009</v>
      </c>
      <c r="O88" t="s">
        <v>34</v>
      </c>
      <c r="P88" t="s">
        <v>34</v>
      </c>
      <c r="Q88">
        <v>1000</v>
      </c>
      <c r="W88">
        <v>0</v>
      </c>
      <c r="X88">
        <v>-903093951</v>
      </c>
      <c r="Y88">
        <v>0.013</v>
      </c>
      <c r="AA88">
        <v>6513</v>
      </c>
      <c r="AB88">
        <v>0</v>
      </c>
      <c r="AC88">
        <v>0</v>
      </c>
      <c r="AD88">
        <v>0</v>
      </c>
      <c r="AE88">
        <v>6513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0.013</v>
      </c>
      <c r="AV88">
        <v>0</v>
      </c>
      <c r="AW88">
        <v>2</v>
      </c>
      <c r="AX88">
        <v>55468352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Y88*Source!I58</f>
        <v>0.06799000000000001</v>
      </c>
      <c r="CY88">
        <f t="shared" si="2"/>
        <v>6513</v>
      </c>
      <c r="CZ88">
        <f t="shared" si="3"/>
        <v>6513</v>
      </c>
      <c r="DA88">
        <f t="shared" si="4"/>
        <v>1</v>
      </c>
      <c r="DB88">
        <f t="shared" si="5"/>
        <v>84.67</v>
      </c>
      <c r="DC88">
        <f t="shared" si="6"/>
        <v>0</v>
      </c>
    </row>
    <row r="89" spans="1:107" ht="12.75">
      <c r="A89">
        <f>ROW(Source!A58)</f>
        <v>58</v>
      </c>
      <c r="B89">
        <v>55454918</v>
      </c>
      <c r="C89">
        <v>55468344</v>
      </c>
      <c r="D89">
        <v>51128651</v>
      </c>
      <c r="E89">
        <v>68</v>
      </c>
      <c r="F89">
        <v>1</v>
      </c>
      <c r="G89">
        <v>1</v>
      </c>
      <c r="H89">
        <v>3</v>
      </c>
      <c r="I89" t="s">
        <v>104</v>
      </c>
      <c r="K89" t="s">
        <v>105</v>
      </c>
      <c r="L89">
        <v>1327</v>
      </c>
      <c r="N89">
        <v>1005</v>
      </c>
      <c r="O89" t="s">
        <v>106</v>
      </c>
      <c r="P89" t="s">
        <v>106</v>
      </c>
      <c r="Q89">
        <v>1</v>
      </c>
      <c r="W89">
        <v>0</v>
      </c>
      <c r="X89">
        <v>-1032182075</v>
      </c>
      <c r="Y89">
        <v>102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T89">
        <v>102</v>
      </c>
      <c r="AV89">
        <v>0</v>
      </c>
      <c r="AW89">
        <v>2</v>
      </c>
      <c r="AX89">
        <v>55468353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Y89*Source!I58</f>
        <v>533.46</v>
      </c>
      <c r="CY89">
        <f t="shared" si="2"/>
        <v>0</v>
      </c>
      <c r="CZ89">
        <f t="shared" si="3"/>
        <v>0</v>
      </c>
      <c r="DA89">
        <f t="shared" si="4"/>
        <v>1</v>
      </c>
      <c r="DB89">
        <f t="shared" si="5"/>
        <v>0</v>
      </c>
      <c r="DC89">
        <f t="shared" si="6"/>
        <v>0</v>
      </c>
    </row>
    <row r="90" spans="1:107" ht="12.75">
      <c r="A90">
        <f>ROW(Source!A58)</f>
        <v>58</v>
      </c>
      <c r="B90">
        <v>55454918</v>
      </c>
      <c r="C90">
        <v>55468344</v>
      </c>
      <c r="D90">
        <v>51129451</v>
      </c>
      <c r="E90">
        <v>68</v>
      </c>
      <c r="F90">
        <v>1</v>
      </c>
      <c r="G90">
        <v>1</v>
      </c>
      <c r="H90">
        <v>3</v>
      </c>
      <c r="I90" t="s">
        <v>109</v>
      </c>
      <c r="K90" t="s">
        <v>110</v>
      </c>
      <c r="L90">
        <v>1339</v>
      </c>
      <c r="N90">
        <v>1007</v>
      </c>
      <c r="O90" t="s">
        <v>111</v>
      </c>
      <c r="P90" t="s">
        <v>111</v>
      </c>
      <c r="Q90">
        <v>1</v>
      </c>
      <c r="W90">
        <v>0</v>
      </c>
      <c r="X90">
        <v>1453685779</v>
      </c>
      <c r="Y90">
        <v>0.01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T90">
        <v>0.01</v>
      </c>
      <c r="AV90">
        <v>0</v>
      </c>
      <c r="AW90">
        <v>2</v>
      </c>
      <c r="AX90">
        <v>55468354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Y90*Source!I58</f>
        <v>0.052300000000000006</v>
      </c>
      <c r="CY90">
        <f t="shared" si="2"/>
        <v>0</v>
      </c>
      <c r="CZ90">
        <f t="shared" si="3"/>
        <v>0</v>
      </c>
      <c r="DA90">
        <f t="shared" si="4"/>
        <v>1</v>
      </c>
      <c r="DB90">
        <f t="shared" si="5"/>
        <v>0</v>
      </c>
      <c r="DC90">
        <f t="shared" si="6"/>
        <v>0</v>
      </c>
    </row>
    <row r="91" spans="1:107" ht="12.75">
      <c r="A91">
        <f>ROW(Source!A58)</f>
        <v>58</v>
      </c>
      <c r="B91">
        <v>55454918</v>
      </c>
      <c r="C91">
        <v>55468344</v>
      </c>
      <c r="D91">
        <v>51129984</v>
      </c>
      <c r="E91">
        <v>68</v>
      </c>
      <c r="F91">
        <v>1</v>
      </c>
      <c r="G91">
        <v>1</v>
      </c>
      <c r="H91">
        <v>3</v>
      </c>
      <c r="I91" t="s">
        <v>113</v>
      </c>
      <c r="K91" t="s">
        <v>114</v>
      </c>
      <c r="L91">
        <v>1348</v>
      </c>
      <c r="N91">
        <v>1009</v>
      </c>
      <c r="O91" t="s">
        <v>34</v>
      </c>
      <c r="P91" t="s">
        <v>34</v>
      </c>
      <c r="Q91">
        <v>1000</v>
      </c>
      <c r="W91">
        <v>0</v>
      </c>
      <c r="X91">
        <v>-1969728098</v>
      </c>
      <c r="Y91">
        <v>1.2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T91">
        <v>1.2</v>
      </c>
      <c r="AV91">
        <v>0</v>
      </c>
      <c r="AW91">
        <v>2</v>
      </c>
      <c r="AX91">
        <v>55468355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Y91*Source!I58</f>
        <v>6.276000000000001</v>
      </c>
      <c r="CY91">
        <f t="shared" si="2"/>
        <v>0</v>
      </c>
      <c r="CZ91">
        <f t="shared" si="3"/>
        <v>0</v>
      </c>
      <c r="DA91">
        <f t="shared" si="4"/>
        <v>1</v>
      </c>
      <c r="DB91">
        <f t="shared" si="5"/>
        <v>0</v>
      </c>
      <c r="DC91">
        <f t="shared" si="6"/>
        <v>0</v>
      </c>
    </row>
    <row r="92" spans="1:107" ht="12.75">
      <c r="A92">
        <f>ROW(Source!A58)</f>
        <v>58</v>
      </c>
      <c r="B92">
        <v>55454918</v>
      </c>
      <c r="C92">
        <v>55468344</v>
      </c>
      <c r="D92">
        <v>53673681</v>
      </c>
      <c r="E92">
        <v>1</v>
      </c>
      <c r="F92">
        <v>1</v>
      </c>
      <c r="G92">
        <v>1</v>
      </c>
      <c r="H92">
        <v>3</v>
      </c>
      <c r="I92" t="s">
        <v>88</v>
      </c>
      <c r="J92" t="s">
        <v>90</v>
      </c>
      <c r="K92" t="s">
        <v>89</v>
      </c>
      <c r="L92">
        <v>1346</v>
      </c>
      <c r="N92">
        <v>1009</v>
      </c>
      <c r="O92" t="s">
        <v>85</v>
      </c>
      <c r="P92" t="s">
        <v>85</v>
      </c>
      <c r="Q92">
        <v>1</v>
      </c>
      <c r="W92">
        <v>0</v>
      </c>
      <c r="X92">
        <v>-1209026283</v>
      </c>
      <c r="Y92">
        <v>21.394148</v>
      </c>
      <c r="AA92">
        <v>13.08</v>
      </c>
      <c r="AB92">
        <v>0</v>
      </c>
      <c r="AC92">
        <v>0</v>
      </c>
      <c r="AD92">
        <v>0</v>
      </c>
      <c r="AE92">
        <v>13.08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T92">
        <v>21.394148</v>
      </c>
      <c r="AV92">
        <v>0</v>
      </c>
      <c r="AW92">
        <v>1</v>
      </c>
      <c r="AX92">
        <v>-1</v>
      </c>
      <c r="AY92">
        <v>0</v>
      </c>
      <c r="AZ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Y92*Source!I58</f>
        <v>111.89139404000002</v>
      </c>
      <c r="CY92">
        <f t="shared" si="2"/>
        <v>13.08</v>
      </c>
      <c r="CZ92">
        <f t="shared" si="3"/>
        <v>13.08</v>
      </c>
      <c r="DA92">
        <f t="shared" si="4"/>
        <v>1</v>
      </c>
      <c r="DB92">
        <f t="shared" si="5"/>
        <v>279.84</v>
      </c>
      <c r="DC92">
        <f t="shared" si="6"/>
        <v>0</v>
      </c>
    </row>
    <row r="93" spans="1:107" ht="12.75">
      <c r="A93">
        <f>ROW(Source!A59)</f>
        <v>59</v>
      </c>
      <c r="B93">
        <v>55454919</v>
      </c>
      <c r="C93">
        <v>55468344</v>
      </c>
      <c r="D93">
        <v>51126794</v>
      </c>
      <c r="E93">
        <v>68</v>
      </c>
      <c r="F93">
        <v>1</v>
      </c>
      <c r="G93">
        <v>1</v>
      </c>
      <c r="H93">
        <v>1</v>
      </c>
      <c r="I93" t="s">
        <v>359</v>
      </c>
      <c r="K93" t="s">
        <v>360</v>
      </c>
      <c r="L93">
        <v>1191</v>
      </c>
      <c r="N93">
        <v>1013</v>
      </c>
      <c r="O93" t="s">
        <v>313</v>
      </c>
      <c r="P93" t="s">
        <v>313</v>
      </c>
      <c r="Q93">
        <v>1</v>
      </c>
      <c r="W93">
        <v>0</v>
      </c>
      <c r="X93">
        <v>784619160</v>
      </c>
      <c r="Y93">
        <v>356.983</v>
      </c>
      <c r="AA93">
        <v>0</v>
      </c>
      <c r="AB93">
        <v>0</v>
      </c>
      <c r="AC93">
        <v>0</v>
      </c>
      <c r="AD93">
        <v>318.75</v>
      </c>
      <c r="AE93">
        <v>0</v>
      </c>
      <c r="AF93">
        <v>0</v>
      </c>
      <c r="AG93">
        <v>0</v>
      </c>
      <c r="AH93">
        <v>8.74</v>
      </c>
      <c r="AI93">
        <v>1</v>
      </c>
      <c r="AJ93">
        <v>1</v>
      </c>
      <c r="AK93">
        <v>1</v>
      </c>
      <c r="AL93">
        <v>36.47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310.42</v>
      </c>
      <c r="AU93" t="s">
        <v>74</v>
      </c>
      <c r="AV93">
        <v>1</v>
      </c>
      <c r="AW93">
        <v>2</v>
      </c>
      <c r="AX93">
        <v>55468345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Y93*Source!I59</f>
        <v>1867.0210900000002</v>
      </c>
      <c r="CY93">
        <f>AD93</f>
        <v>318.75</v>
      </c>
      <c r="CZ93">
        <f>AH93</f>
        <v>8.74</v>
      </c>
      <c r="DA93">
        <f>AL93</f>
        <v>36.47</v>
      </c>
      <c r="DB93">
        <f>ROUND((ROUND(AT93*CZ93,2)*ROUND(1.15,7)),2)</f>
        <v>3120.03</v>
      </c>
      <c r="DC93">
        <f>ROUND((ROUND(AT93*AG93,2)*ROUND(1.15,7)),2)</f>
        <v>0</v>
      </c>
    </row>
    <row r="94" spans="1:107" ht="12.75">
      <c r="A94">
        <f>ROW(Source!A59)</f>
        <v>59</v>
      </c>
      <c r="B94">
        <v>55454919</v>
      </c>
      <c r="C94">
        <v>55468344</v>
      </c>
      <c r="D94">
        <v>51127040</v>
      </c>
      <c r="E94">
        <v>68</v>
      </c>
      <c r="F94">
        <v>1</v>
      </c>
      <c r="G94">
        <v>1</v>
      </c>
      <c r="H94">
        <v>1</v>
      </c>
      <c r="I94" t="s">
        <v>316</v>
      </c>
      <c r="K94" t="s">
        <v>317</v>
      </c>
      <c r="L94">
        <v>1191</v>
      </c>
      <c r="N94">
        <v>1013</v>
      </c>
      <c r="O94" t="s">
        <v>313</v>
      </c>
      <c r="P94" t="s">
        <v>313</v>
      </c>
      <c r="Q94">
        <v>1</v>
      </c>
      <c r="W94">
        <v>0</v>
      </c>
      <c r="X94">
        <v>-1417349443</v>
      </c>
      <c r="Y94">
        <v>2.1625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36.47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1.73</v>
      </c>
      <c r="AU94" t="s">
        <v>73</v>
      </c>
      <c r="AV94">
        <v>2</v>
      </c>
      <c r="AW94">
        <v>2</v>
      </c>
      <c r="AX94">
        <v>55468346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Y94*Source!I59</f>
        <v>11.309875000000002</v>
      </c>
      <c r="CY94">
        <f>AD94</f>
        <v>0</v>
      </c>
      <c r="CZ94">
        <f>AH94</f>
        <v>0</v>
      </c>
      <c r="DA94">
        <f>AL94</f>
        <v>1</v>
      </c>
      <c r="DB94">
        <f>ROUND((ROUND(AT94*CZ94,2)*ROUND(1.25,7)),2)</f>
        <v>0</v>
      </c>
      <c r="DC94">
        <f>ROUND((ROUND(AT94*AG94,2)*ROUND(1.25,7)),2)</f>
        <v>0</v>
      </c>
    </row>
    <row r="95" spans="1:107" ht="12.75">
      <c r="A95">
        <f>ROW(Source!A59)</f>
        <v>59</v>
      </c>
      <c r="B95">
        <v>55454919</v>
      </c>
      <c r="C95">
        <v>55468344</v>
      </c>
      <c r="D95">
        <v>51289117</v>
      </c>
      <c r="E95">
        <v>1</v>
      </c>
      <c r="F95">
        <v>1</v>
      </c>
      <c r="G95">
        <v>1</v>
      </c>
      <c r="H95">
        <v>2</v>
      </c>
      <c r="I95" t="s">
        <v>361</v>
      </c>
      <c r="J95" t="s">
        <v>362</v>
      </c>
      <c r="K95" t="s">
        <v>363</v>
      </c>
      <c r="L95">
        <v>1367</v>
      </c>
      <c r="N95">
        <v>1011</v>
      </c>
      <c r="O95" t="s">
        <v>321</v>
      </c>
      <c r="P95" t="s">
        <v>321</v>
      </c>
      <c r="Q95">
        <v>1</v>
      </c>
      <c r="W95">
        <v>0</v>
      </c>
      <c r="X95">
        <v>632863804</v>
      </c>
      <c r="Y95">
        <v>0.025</v>
      </c>
      <c r="AA95">
        <v>0</v>
      </c>
      <c r="AB95">
        <v>1082.09</v>
      </c>
      <c r="AC95">
        <v>492.35</v>
      </c>
      <c r="AD95">
        <v>0</v>
      </c>
      <c r="AE95">
        <v>0</v>
      </c>
      <c r="AF95">
        <v>83.43</v>
      </c>
      <c r="AG95">
        <v>13.5</v>
      </c>
      <c r="AH95">
        <v>0</v>
      </c>
      <c r="AI95">
        <v>1</v>
      </c>
      <c r="AJ95">
        <v>12.97</v>
      </c>
      <c r="AK95">
        <v>36.47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0.02</v>
      </c>
      <c r="AU95" t="s">
        <v>73</v>
      </c>
      <c r="AV95">
        <v>0</v>
      </c>
      <c r="AW95">
        <v>2</v>
      </c>
      <c r="AX95">
        <v>55468347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Y95*Source!I59</f>
        <v>0.13075</v>
      </c>
      <c r="CY95">
        <f>AB95</f>
        <v>1082.09</v>
      </c>
      <c r="CZ95">
        <f>AF95</f>
        <v>83.43</v>
      </c>
      <c r="DA95">
        <f>AJ95</f>
        <v>12.97</v>
      </c>
      <c r="DB95">
        <f>ROUND((ROUND(AT95*CZ95,2)*ROUND(1.25,7)),2)</f>
        <v>2.09</v>
      </c>
      <c r="DC95">
        <f>ROUND((ROUND(AT95*AG95,2)*ROUND(1.25,7)),2)</f>
        <v>0.34</v>
      </c>
    </row>
    <row r="96" spans="1:107" ht="12.75">
      <c r="A96">
        <f>ROW(Source!A59)</f>
        <v>59</v>
      </c>
      <c r="B96">
        <v>55454919</v>
      </c>
      <c r="C96">
        <v>55468344</v>
      </c>
      <c r="D96">
        <v>51289176</v>
      </c>
      <c r="E96">
        <v>1</v>
      </c>
      <c r="F96">
        <v>1</v>
      </c>
      <c r="G96">
        <v>1</v>
      </c>
      <c r="H96">
        <v>2</v>
      </c>
      <c r="I96" t="s">
        <v>364</v>
      </c>
      <c r="J96" t="s">
        <v>365</v>
      </c>
      <c r="K96" t="s">
        <v>366</v>
      </c>
      <c r="L96">
        <v>1367</v>
      </c>
      <c r="N96">
        <v>1011</v>
      </c>
      <c r="O96" t="s">
        <v>321</v>
      </c>
      <c r="P96" t="s">
        <v>321</v>
      </c>
      <c r="Q96">
        <v>1</v>
      </c>
      <c r="W96">
        <v>0</v>
      </c>
      <c r="X96">
        <v>-296520070</v>
      </c>
      <c r="Y96">
        <v>0.0125</v>
      </c>
      <c r="AA96">
        <v>0</v>
      </c>
      <c r="AB96">
        <v>1496.74</v>
      </c>
      <c r="AC96">
        <v>492.35</v>
      </c>
      <c r="AD96">
        <v>0</v>
      </c>
      <c r="AE96">
        <v>0</v>
      </c>
      <c r="AF96">
        <v>115.4</v>
      </c>
      <c r="AG96">
        <v>13.5</v>
      </c>
      <c r="AH96">
        <v>0</v>
      </c>
      <c r="AI96">
        <v>1</v>
      </c>
      <c r="AJ96">
        <v>12.97</v>
      </c>
      <c r="AK96">
        <v>36.47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0.01</v>
      </c>
      <c r="AU96" t="s">
        <v>73</v>
      </c>
      <c r="AV96">
        <v>0</v>
      </c>
      <c r="AW96">
        <v>2</v>
      </c>
      <c r="AX96">
        <v>55468348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Y96*Source!I59</f>
        <v>0.065375</v>
      </c>
      <c r="CY96">
        <f>AB96</f>
        <v>1496.74</v>
      </c>
      <c r="CZ96">
        <f>AF96</f>
        <v>115.4</v>
      </c>
      <c r="DA96">
        <f>AJ96</f>
        <v>12.97</v>
      </c>
      <c r="DB96">
        <f>ROUND((ROUND(AT96*CZ96,2)*ROUND(1.25,7)),2)</f>
        <v>1.44</v>
      </c>
      <c r="DC96">
        <f>ROUND((ROUND(AT96*AG96,2)*ROUND(1.25,7)),2)</f>
        <v>0.18</v>
      </c>
    </row>
    <row r="97" spans="1:107" ht="12.75">
      <c r="A97">
        <f>ROW(Source!A59)</f>
        <v>59</v>
      </c>
      <c r="B97">
        <v>55454919</v>
      </c>
      <c r="C97">
        <v>55468344</v>
      </c>
      <c r="D97">
        <v>51289493</v>
      </c>
      <c r="E97">
        <v>1</v>
      </c>
      <c r="F97">
        <v>1</v>
      </c>
      <c r="G97">
        <v>1</v>
      </c>
      <c r="H97">
        <v>2</v>
      </c>
      <c r="I97" t="s">
        <v>367</v>
      </c>
      <c r="J97" t="s">
        <v>368</v>
      </c>
      <c r="K97" t="s">
        <v>369</v>
      </c>
      <c r="L97">
        <v>1367</v>
      </c>
      <c r="N97">
        <v>1011</v>
      </c>
      <c r="O97" t="s">
        <v>321</v>
      </c>
      <c r="P97" t="s">
        <v>321</v>
      </c>
      <c r="Q97">
        <v>1</v>
      </c>
      <c r="W97">
        <v>0</v>
      </c>
      <c r="X97">
        <v>999127525</v>
      </c>
      <c r="Y97">
        <v>2.1125</v>
      </c>
      <c r="AA97">
        <v>0</v>
      </c>
      <c r="AB97">
        <v>160.7</v>
      </c>
      <c r="AC97">
        <v>366.89</v>
      </c>
      <c r="AD97">
        <v>0</v>
      </c>
      <c r="AE97">
        <v>0</v>
      </c>
      <c r="AF97">
        <v>12.39</v>
      </c>
      <c r="AG97">
        <v>10.06</v>
      </c>
      <c r="AH97">
        <v>0</v>
      </c>
      <c r="AI97">
        <v>1</v>
      </c>
      <c r="AJ97">
        <v>12.97</v>
      </c>
      <c r="AK97">
        <v>36.47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1.69</v>
      </c>
      <c r="AU97" t="s">
        <v>73</v>
      </c>
      <c r="AV97">
        <v>0</v>
      </c>
      <c r="AW97">
        <v>2</v>
      </c>
      <c r="AX97">
        <v>55468349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Y97*Source!I59</f>
        <v>11.048375</v>
      </c>
      <c r="CY97">
        <f>AB97</f>
        <v>160.7</v>
      </c>
      <c r="CZ97">
        <f>AF97</f>
        <v>12.39</v>
      </c>
      <c r="DA97">
        <f>AJ97</f>
        <v>12.97</v>
      </c>
      <c r="DB97">
        <f>ROUND((ROUND(AT97*CZ97,2)*ROUND(1.25,7)),2)</f>
        <v>26.18</v>
      </c>
      <c r="DC97">
        <f>ROUND((ROUND(AT97*AG97,2)*ROUND(1.25,7)),2)</f>
        <v>21.25</v>
      </c>
    </row>
    <row r="98" spans="1:107" ht="12.75">
      <c r="A98">
        <f>ROW(Source!A59)</f>
        <v>59</v>
      </c>
      <c r="B98">
        <v>55454919</v>
      </c>
      <c r="C98">
        <v>55468344</v>
      </c>
      <c r="D98">
        <v>51290110</v>
      </c>
      <c r="E98">
        <v>1</v>
      </c>
      <c r="F98">
        <v>1</v>
      </c>
      <c r="G98">
        <v>1</v>
      </c>
      <c r="H98">
        <v>2</v>
      </c>
      <c r="I98" t="s">
        <v>322</v>
      </c>
      <c r="J98" t="s">
        <v>323</v>
      </c>
      <c r="K98" t="s">
        <v>324</v>
      </c>
      <c r="L98">
        <v>1367</v>
      </c>
      <c r="N98">
        <v>1011</v>
      </c>
      <c r="O98" t="s">
        <v>321</v>
      </c>
      <c r="P98" t="s">
        <v>321</v>
      </c>
      <c r="Q98">
        <v>1</v>
      </c>
      <c r="W98">
        <v>0</v>
      </c>
      <c r="X98">
        <v>2001246382</v>
      </c>
      <c r="Y98">
        <v>0.0125</v>
      </c>
      <c r="AA98">
        <v>0</v>
      </c>
      <c r="AB98">
        <v>852.26</v>
      </c>
      <c r="AC98">
        <v>423.05</v>
      </c>
      <c r="AD98">
        <v>0</v>
      </c>
      <c r="AE98">
        <v>0</v>
      </c>
      <c r="AF98">
        <v>65.71</v>
      </c>
      <c r="AG98">
        <v>11.6</v>
      </c>
      <c r="AH98">
        <v>0</v>
      </c>
      <c r="AI98">
        <v>1</v>
      </c>
      <c r="AJ98">
        <v>12.97</v>
      </c>
      <c r="AK98">
        <v>36.47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0.01</v>
      </c>
      <c r="AU98" t="s">
        <v>73</v>
      </c>
      <c r="AV98">
        <v>0</v>
      </c>
      <c r="AW98">
        <v>2</v>
      </c>
      <c r="AX98">
        <v>55468350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Y98*Source!I59</f>
        <v>0.065375</v>
      </c>
      <c r="CY98">
        <f>AB98</f>
        <v>852.26</v>
      </c>
      <c r="CZ98">
        <f>AF98</f>
        <v>65.71</v>
      </c>
      <c r="DA98">
        <f>AJ98</f>
        <v>12.97</v>
      </c>
      <c r="DB98">
        <f>ROUND((ROUND(AT98*CZ98,2)*ROUND(1.25,7)),2)</f>
        <v>0.83</v>
      </c>
      <c r="DC98">
        <f>ROUND((ROUND(AT98*AG98,2)*ROUND(1.25,7)),2)</f>
        <v>0.15</v>
      </c>
    </row>
    <row r="99" spans="1:107" ht="12.75">
      <c r="A99">
        <f>ROW(Source!A59)</f>
        <v>59</v>
      </c>
      <c r="B99">
        <v>55454919</v>
      </c>
      <c r="C99">
        <v>55468344</v>
      </c>
      <c r="D99">
        <v>51139447</v>
      </c>
      <c r="E99">
        <v>1</v>
      </c>
      <c r="F99">
        <v>1</v>
      </c>
      <c r="G99">
        <v>1</v>
      </c>
      <c r="H99">
        <v>3</v>
      </c>
      <c r="I99" t="s">
        <v>356</v>
      </c>
      <c r="J99" t="s">
        <v>357</v>
      </c>
      <c r="K99" t="s">
        <v>358</v>
      </c>
      <c r="L99">
        <v>1339</v>
      </c>
      <c r="N99">
        <v>1007</v>
      </c>
      <c r="O99" t="s">
        <v>111</v>
      </c>
      <c r="P99" t="s">
        <v>111</v>
      </c>
      <c r="Q99">
        <v>1</v>
      </c>
      <c r="W99">
        <v>0</v>
      </c>
      <c r="X99">
        <v>929815444</v>
      </c>
      <c r="Y99">
        <v>0.44</v>
      </c>
      <c r="AA99">
        <v>16.64</v>
      </c>
      <c r="AB99">
        <v>0</v>
      </c>
      <c r="AC99">
        <v>0</v>
      </c>
      <c r="AD99">
        <v>0</v>
      </c>
      <c r="AE99">
        <v>2.44</v>
      </c>
      <c r="AF99">
        <v>0</v>
      </c>
      <c r="AG99">
        <v>0</v>
      </c>
      <c r="AH99">
        <v>0</v>
      </c>
      <c r="AI99">
        <v>6.82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0.44</v>
      </c>
      <c r="AV99">
        <v>0</v>
      </c>
      <c r="AW99">
        <v>2</v>
      </c>
      <c r="AX99">
        <v>55468351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Y99*Source!I59</f>
        <v>2.3012</v>
      </c>
      <c r="CY99">
        <f aca="true" t="shared" si="7" ref="CY99:CY104">AA99</f>
        <v>16.64</v>
      </c>
      <c r="CZ99">
        <f aca="true" t="shared" si="8" ref="CZ99:CZ104">AE99</f>
        <v>2.44</v>
      </c>
      <c r="DA99">
        <f aca="true" t="shared" si="9" ref="DA99:DA104">AI99</f>
        <v>6.82</v>
      </c>
      <c r="DB99">
        <f aca="true" t="shared" si="10" ref="DB99:DB104">ROUND(ROUND(AT99*CZ99,2),2)</f>
        <v>1.07</v>
      </c>
      <c r="DC99">
        <f aca="true" t="shared" si="11" ref="DC99:DC104">ROUND(ROUND(AT99*AG99,2),2)</f>
        <v>0</v>
      </c>
    </row>
    <row r="100" spans="1:107" ht="12.75">
      <c r="A100">
        <f>ROW(Source!A59)</f>
        <v>59</v>
      </c>
      <c r="B100">
        <v>55454919</v>
      </c>
      <c r="C100">
        <v>55468344</v>
      </c>
      <c r="D100">
        <v>51144946</v>
      </c>
      <c r="E100">
        <v>1</v>
      </c>
      <c r="F100">
        <v>1</v>
      </c>
      <c r="G100">
        <v>1</v>
      </c>
      <c r="H100">
        <v>3</v>
      </c>
      <c r="I100" t="s">
        <v>370</v>
      </c>
      <c r="J100" t="s">
        <v>371</v>
      </c>
      <c r="K100" t="s">
        <v>372</v>
      </c>
      <c r="L100">
        <v>1348</v>
      </c>
      <c r="N100">
        <v>1009</v>
      </c>
      <c r="O100" t="s">
        <v>34</v>
      </c>
      <c r="P100" t="s">
        <v>34</v>
      </c>
      <c r="Q100">
        <v>1000</v>
      </c>
      <c r="W100">
        <v>0</v>
      </c>
      <c r="X100">
        <v>-903093951</v>
      </c>
      <c r="Y100">
        <v>0.013</v>
      </c>
      <c r="AA100">
        <v>44418.66</v>
      </c>
      <c r="AB100">
        <v>0</v>
      </c>
      <c r="AC100">
        <v>0</v>
      </c>
      <c r="AD100">
        <v>0</v>
      </c>
      <c r="AE100">
        <v>6513</v>
      </c>
      <c r="AF100">
        <v>0</v>
      </c>
      <c r="AG100">
        <v>0</v>
      </c>
      <c r="AH100">
        <v>0</v>
      </c>
      <c r="AI100">
        <v>6.82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0.013</v>
      </c>
      <c r="AV100">
        <v>0</v>
      </c>
      <c r="AW100">
        <v>2</v>
      </c>
      <c r="AX100">
        <v>55468352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Y100*Source!I59</f>
        <v>0.06799000000000001</v>
      </c>
      <c r="CY100">
        <f t="shared" si="7"/>
        <v>44418.66</v>
      </c>
      <c r="CZ100">
        <f t="shared" si="8"/>
        <v>6513</v>
      </c>
      <c r="DA100">
        <f t="shared" si="9"/>
        <v>6.82</v>
      </c>
      <c r="DB100">
        <f t="shared" si="10"/>
        <v>84.67</v>
      </c>
      <c r="DC100">
        <f t="shared" si="11"/>
        <v>0</v>
      </c>
    </row>
    <row r="101" spans="1:107" ht="12.75">
      <c r="A101">
        <f>ROW(Source!A59)</f>
        <v>59</v>
      </c>
      <c r="B101">
        <v>55454919</v>
      </c>
      <c r="C101">
        <v>55468344</v>
      </c>
      <c r="D101">
        <v>51128651</v>
      </c>
      <c r="E101">
        <v>68</v>
      </c>
      <c r="F101">
        <v>1</v>
      </c>
      <c r="G101">
        <v>1</v>
      </c>
      <c r="H101">
        <v>3</v>
      </c>
      <c r="I101" t="s">
        <v>104</v>
      </c>
      <c r="K101" t="s">
        <v>105</v>
      </c>
      <c r="L101">
        <v>1327</v>
      </c>
      <c r="N101">
        <v>1005</v>
      </c>
      <c r="O101" t="s">
        <v>106</v>
      </c>
      <c r="P101" t="s">
        <v>106</v>
      </c>
      <c r="Q101">
        <v>1</v>
      </c>
      <c r="W101">
        <v>0</v>
      </c>
      <c r="X101">
        <v>-1032182075</v>
      </c>
      <c r="Y101">
        <v>102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6.82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T101">
        <v>102</v>
      </c>
      <c r="AV101">
        <v>0</v>
      </c>
      <c r="AW101">
        <v>2</v>
      </c>
      <c r="AX101">
        <v>55468353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Y101*Source!I59</f>
        <v>533.46</v>
      </c>
      <c r="CY101">
        <f t="shared" si="7"/>
        <v>0</v>
      </c>
      <c r="CZ101">
        <f t="shared" si="8"/>
        <v>0</v>
      </c>
      <c r="DA101">
        <f t="shared" si="9"/>
        <v>6.82</v>
      </c>
      <c r="DB101">
        <f t="shared" si="10"/>
        <v>0</v>
      </c>
      <c r="DC101">
        <f t="shared" si="11"/>
        <v>0</v>
      </c>
    </row>
    <row r="102" spans="1:107" ht="12.75">
      <c r="A102">
        <f>ROW(Source!A59)</f>
        <v>59</v>
      </c>
      <c r="B102">
        <v>55454919</v>
      </c>
      <c r="C102">
        <v>55468344</v>
      </c>
      <c r="D102">
        <v>51129451</v>
      </c>
      <c r="E102">
        <v>68</v>
      </c>
      <c r="F102">
        <v>1</v>
      </c>
      <c r="G102">
        <v>1</v>
      </c>
      <c r="H102">
        <v>3</v>
      </c>
      <c r="I102" t="s">
        <v>109</v>
      </c>
      <c r="K102" t="s">
        <v>110</v>
      </c>
      <c r="L102">
        <v>1339</v>
      </c>
      <c r="N102">
        <v>1007</v>
      </c>
      <c r="O102" t="s">
        <v>111</v>
      </c>
      <c r="P102" t="s">
        <v>111</v>
      </c>
      <c r="Q102">
        <v>1</v>
      </c>
      <c r="W102">
        <v>0</v>
      </c>
      <c r="X102">
        <v>1453685779</v>
      </c>
      <c r="Y102">
        <v>0.01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6.82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T102">
        <v>0.01</v>
      </c>
      <c r="AV102">
        <v>0</v>
      </c>
      <c r="AW102">
        <v>2</v>
      </c>
      <c r="AX102">
        <v>55468354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Y102*Source!I59</f>
        <v>0.052300000000000006</v>
      </c>
      <c r="CY102">
        <f t="shared" si="7"/>
        <v>0</v>
      </c>
      <c r="CZ102">
        <f t="shared" si="8"/>
        <v>0</v>
      </c>
      <c r="DA102">
        <f t="shared" si="9"/>
        <v>6.82</v>
      </c>
      <c r="DB102">
        <f t="shared" si="10"/>
        <v>0</v>
      </c>
      <c r="DC102">
        <f t="shared" si="11"/>
        <v>0</v>
      </c>
    </row>
    <row r="103" spans="1:107" ht="12.75">
      <c r="A103">
        <f>ROW(Source!A59)</f>
        <v>59</v>
      </c>
      <c r="B103">
        <v>55454919</v>
      </c>
      <c r="C103">
        <v>55468344</v>
      </c>
      <c r="D103">
        <v>51129984</v>
      </c>
      <c r="E103">
        <v>68</v>
      </c>
      <c r="F103">
        <v>1</v>
      </c>
      <c r="G103">
        <v>1</v>
      </c>
      <c r="H103">
        <v>3</v>
      </c>
      <c r="I103" t="s">
        <v>113</v>
      </c>
      <c r="K103" t="s">
        <v>114</v>
      </c>
      <c r="L103">
        <v>1348</v>
      </c>
      <c r="N103">
        <v>1009</v>
      </c>
      <c r="O103" t="s">
        <v>34</v>
      </c>
      <c r="P103" t="s">
        <v>34</v>
      </c>
      <c r="Q103">
        <v>1000</v>
      </c>
      <c r="W103">
        <v>0</v>
      </c>
      <c r="X103">
        <v>-1969728098</v>
      </c>
      <c r="Y103">
        <v>1.2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6.82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0</v>
      </c>
      <c r="AQ103">
        <v>0</v>
      </c>
      <c r="AR103">
        <v>0</v>
      </c>
      <c r="AT103">
        <v>1.2</v>
      </c>
      <c r="AV103">
        <v>0</v>
      </c>
      <c r="AW103">
        <v>2</v>
      </c>
      <c r="AX103">
        <v>55468355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Y103*Source!I59</f>
        <v>6.276000000000001</v>
      </c>
      <c r="CY103">
        <f t="shared" si="7"/>
        <v>0</v>
      </c>
      <c r="CZ103">
        <f t="shared" si="8"/>
        <v>0</v>
      </c>
      <c r="DA103">
        <f t="shared" si="9"/>
        <v>6.82</v>
      </c>
      <c r="DB103">
        <f t="shared" si="10"/>
        <v>0</v>
      </c>
      <c r="DC103">
        <f t="shared" si="11"/>
        <v>0</v>
      </c>
    </row>
    <row r="104" spans="1:107" ht="12.75">
      <c r="A104">
        <f>ROW(Source!A59)</f>
        <v>59</v>
      </c>
      <c r="B104">
        <v>55454919</v>
      </c>
      <c r="C104">
        <v>55468344</v>
      </c>
      <c r="D104">
        <v>53673681</v>
      </c>
      <c r="E104">
        <v>1</v>
      </c>
      <c r="F104">
        <v>1</v>
      </c>
      <c r="G104">
        <v>1</v>
      </c>
      <c r="H104">
        <v>3</v>
      </c>
      <c r="I104" t="s">
        <v>88</v>
      </c>
      <c r="J104" t="s">
        <v>90</v>
      </c>
      <c r="K104" t="s">
        <v>89</v>
      </c>
      <c r="L104">
        <v>1346</v>
      </c>
      <c r="N104">
        <v>1009</v>
      </c>
      <c r="O104" t="s">
        <v>85</v>
      </c>
      <c r="P104" t="s">
        <v>85</v>
      </c>
      <c r="Q104">
        <v>1</v>
      </c>
      <c r="W104">
        <v>0</v>
      </c>
      <c r="X104">
        <v>-1209026283</v>
      </c>
      <c r="Y104">
        <v>21.394148</v>
      </c>
      <c r="AA104">
        <v>89.21</v>
      </c>
      <c r="AB104">
        <v>0</v>
      </c>
      <c r="AC104">
        <v>0</v>
      </c>
      <c r="AD104">
        <v>0</v>
      </c>
      <c r="AE104">
        <v>13.08</v>
      </c>
      <c r="AF104">
        <v>0</v>
      </c>
      <c r="AG104">
        <v>0</v>
      </c>
      <c r="AH104">
        <v>0</v>
      </c>
      <c r="AI104">
        <v>6.82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T104">
        <v>21.394148</v>
      </c>
      <c r="AV104">
        <v>0</v>
      </c>
      <c r="AW104">
        <v>1</v>
      </c>
      <c r="AX104">
        <v>-1</v>
      </c>
      <c r="AY104">
        <v>0</v>
      </c>
      <c r="AZ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Y104*Source!I59</f>
        <v>111.89139404000002</v>
      </c>
      <c r="CY104">
        <f t="shared" si="7"/>
        <v>89.21</v>
      </c>
      <c r="CZ104">
        <f t="shared" si="8"/>
        <v>13.08</v>
      </c>
      <c r="DA104">
        <f t="shared" si="9"/>
        <v>6.82</v>
      </c>
      <c r="DB104">
        <f t="shared" si="10"/>
        <v>279.84</v>
      </c>
      <c r="DC104">
        <f t="shared" si="11"/>
        <v>0</v>
      </c>
    </row>
    <row r="105" spans="1:107" ht="12.75">
      <c r="A105">
        <f>ROW(Source!A68)</f>
        <v>68</v>
      </c>
      <c r="B105">
        <v>55454918</v>
      </c>
      <c r="C105">
        <v>55468367</v>
      </c>
      <c r="D105">
        <v>44800296</v>
      </c>
      <c r="E105">
        <v>54</v>
      </c>
      <c r="F105">
        <v>1</v>
      </c>
      <c r="G105">
        <v>1</v>
      </c>
      <c r="H105">
        <v>1</v>
      </c>
      <c r="I105" t="s">
        <v>373</v>
      </c>
      <c r="K105" t="s">
        <v>374</v>
      </c>
      <c r="L105">
        <v>1191</v>
      </c>
      <c r="N105">
        <v>1013</v>
      </c>
      <c r="O105" t="s">
        <v>313</v>
      </c>
      <c r="P105" t="s">
        <v>313</v>
      </c>
      <c r="Q105">
        <v>1</v>
      </c>
      <c r="W105">
        <v>0</v>
      </c>
      <c r="X105">
        <v>1983201532</v>
      </c>
      <c r="Y105">
        <v>27.392999999999997</v>
      </c>
      <c r="AA105">
        <v>0</v>
      </c>
      <c r="AB105">
        <v>0</v>
      </c>
      <c r="AC105">
        <v>0</v>
      </c>
      <c r="AD105">
        <v>9.51</v>
      </c>
      <c r="AE105">
        <v>0</v>
      </c>
      <c r="AF105">
        <v>0</v>
      </c>
      <c r="AG105">
        <v>0</v>
      </c>
      <c r="AH105">
        <v>9.51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23.82</v>
      </c>
      <c r="AU105" t="s">
        <v>74</v>
      </c>
      <c r="AV105">
        <v>1</v>
      </c>
      <c r="AW105">
        <v>2</v>
      </c>
      <c r="AX105">
        <v>55468368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Y105*Source!I68</f>
        <v>131.21247</v>
      </c>
      <c r="CY105">
        <f>AD105</f>
        <v>9.51</v>
      </c>
      <c r="CZ105">
        <f>AH105</f>
        <v>9.51</v>
      </c>
      <c r="DA105">
        <f>AL105</f>
        <v>1</v>
      </c>
      <c r="DB105">
        <f>ROUND((ROUND(AT105*CZ105,2)*ROUND(1.15,7)),2)</f>
        <v>260.51</v>
      </c>
      <c r="DC105">
        <f>ROUND((ROUND(AT105*AG105,2)*ROUND(1.15,7)),2)</f>
        <v>0</v>
      </c>
    </row>
    <row r="106" spans="1:107" ht="12.75">
      <c r="A106">
        <f>ROW(Source!A68)</f>
        <v>68</v>
      </c>
      <c r="B106">
        <v>55454918</v>
      </c>
      <c r="C106">
        <v>55468367</v>
      </c>
      <c r="D106">
        <v>44800452</v>
      </c>
      <c r="E106">
        <v>54</v>
      </c>
      <c r="F106">
        <v>1</v>
      </c>
      <c r="G106">
        <v>1</v>
      </c>
      <c r="H106">
        <v>1</v>
      </c>
      <c r="I106" t="s">
        <v>316</v>
      </c>
      <c r="K106" t="s">
        <v>317</v>
      </c>
      <c r="L106">
        <v>1191</v>
      </c>
      <c r="N106">
        <v>1013</v>
      </c>
      <c r="O106" t="s">
        <v>313</v>
      </c>
      <c r="P106" t="s">
        <v>313</v>
      </c>
      <c r="Q106">
        <v>1</v>
      </c>
      <c r="W106">
        <v>0</v>
      </c>
      <c r="X106">
        <v>-1417349443</v>
      </c>
      <c r="Y106">
        <v>0.1375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0.11</v>
      </c>
      <c r="AU106" t="s">
        <v>73</v>
      </c>
      <c r="AV106">
        <v>2</v>
      </c>
      <c r="AW106">
        <v>2</v>
      </c>
      <c r="AX106">
        <v>55468369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Y106*Source!I68</f>
        <v>0.658625</v>
      </c>
      <c r="CY106">
        <f>AD106</f>
        <v>0</v>
      </c>
      <c r="CZ106">
        <f>AH106</f>
        <v>0</v>
      </c>
      <c r="DA106">
        <f>AL106</f>
        <v>1</v>
      </c>
      <c r="DB106">
        <f>ROUND((ROUND(AT106*CZ106,2)*ROUND(1.25,7)),2)</f>
        <v>0</v>
      </c>
      <c r="DC106">
        <f>ROUND((ROUND(AT106*AG106,2)*ROUND(1.25,7)),2)</f>
        <v>0</v>
      </c>
    </row>
    <row r="107" spans="1:107" ht="12.75">
      <c r="A107">
        <f>ROW(Source!A68)</f>
        <v>68</v>
      </c>
      <c r="B107">
        <v>55454918</v>
      </c>
      <c r="C107">
        <v>55468367</v>
      </c>
      <c r="D107">
        <v>44976465</v>
      </c>
      <c r="E107">
        <v>1</v>
      </c>
      <c r="F107">
        <v>1</v>
      </c>
      <c r="G107">
        <v>1</v>
      </c>
      <c r="H107">
        <v>2</v>
      </c>
      <c r="I107" t="s">
        <v>318</v>
      </c>
      <c r="J107" t="s">
        <v>319</v>
      </c>
      <c r="K107" t="s">
        <v>320</v>
      </c>
      <c r="L107">
        <v>1368</v>
      </c>
      <c r="N107">
        <v>1011</v>
      </c>
      <c r="O107" t="s">
        <v>375</v>
      </c>
      <c r="P107" t="s">
        <v>375</v>
      </c>
      <c r="Q107">
        <v>1</v>
      </c>
      <c r="W107">
        <v>0</v>
      </c>
      <c r="X107">
        <v>2085189525</v>
      </c>
      <c r="Y107">
        <v>0.0625</v>
      </c>
      <c r="AA107">
        <v>0</v>
      </c>
      <c r="AB107">
        <v>31.26</v>
      </c>
      <c r="AC107">
        <v>13.5</v>
      </c>
      <c r="AD107">
        <v>0</v>
      </c>
      <c r="AE107">
        <v>0</v>
      </c>
      <c r="AF107">
        <v>31.26</v>
      </c>
      <c r="AG107">
        <v>13.5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0.05</v>
      </c>
      <c r="AU107" t="s">
        <v>73</v>
      </c>
      <c r="AV107">
        <v>0</v>
      </c>
      <c r="AW107">
        <v>2</v>
      </c>
      <c r="AX107">
        <v>55468370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Y107*Source!I68</f>
        <v>0.299375</v>
      </c>
      <c r="CY107">
        <f>AB107</f>
        <v>31.26</v>
      </c>
      <c r="CZ107">
        <f>AF107</f>
        <v>31.26</v>
      </c>
      <c r="DA107">
        <f>AJ107</f>
        <v>1</v>
      </c>
      <c r="DB107">
        <f>ROUND((ROUND(AT107*CZ107,2)*ROUND(1.25,7)),2)</f>
        <v>1.95</v>
      </c>
      <c r="DC107">
        <f>ROUND((ROUND(AT107*AG107,2)*ROUND(1.25,7)),2)</f>
        <v>0.85</v>
      </c>
    </row>
    <row r="108" spans="1:107" ht="12.75">
      <c r="A108">
        <f>ROW(Source!A68)</f>
        <v>68</v>
      </c>
      <c r="B108">
        <v>55454918</v>
      </c>
      <c r="C108">
        <v>55468367</v>
      </c>
      <c r="D108">
        <v>44977280</v>
      </c>
      <c r="E108">
        <v>1</v>
      </c>
      <c r="F108">
        <v>1</v>
      </c>
      <c r="G108">
        <v>1</v>
      </c>
      <c r="H108">
        <v>2</v>
      </c>
      <c r="I108" t="s">
        <v>322</v>
      </c>
      <c r="J108" t="s">
        <v>323</v>
      </c>
      <c r="K108" t="s">
        <v>324</v>
      </c>
      <c r="L108">
        <v>1368</v>
      </c>
      <c r="N108">
        <v>1011</v>
      </c>
      <c r="O108" t="s">
        <v>375</v>
      </c>
      <c r="P108" t="s">
        <v>375</v>
      </c>
      <c r="Q108">
        <v>1</v>
      </c>
      <c r="W108">
        <v>0</v>
      </c>
      <c r="X108">
        <v>-1057454432</v>
      </c>
      <c r="Y108">
        <v>0.075</v>
      </c>
      <c r="AA108">
        <v>0</v>
      </c>
      <c r="AB108">
        <v>65.71</v>
      </c>
      <c r="AC108">
        <v>11.6</v>
      </c>
      <c r="AD108">
        <v>0</v>
      </c>
      <c r="AE108">
        <v>0</v>
      </c>
      <c r="AF108">
        <v>65.71</v>
      </c>
      <c r="AG108">
        <v>11.6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0.06</v>
      </c>
      <c r="AU108" t="s">
        <v>73</v>
      </c>
      <c r="AV108">
        <v>0</v>
      </c>
      <c r="AW108">
        <v>2</v>
      </c>
      <c r="AX108">
        <v>55468371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Y108*Source!I68</f>
        <v>0.35925</v>
      </c>
      <c r="CY108">
        <f>AB108</f>
        <v>65.71</v>
      </c>
      <c r="CZ108">
        <f>AF108</f>
        <v>65.71</v>
      </c>
      <c r="DA108">
        <f>AJ108</f>
        <v>1</v>
      </c>
      <c r="DB108">
        <f>ROUND((ROUND(AT108*CZ108,2)*ROUND(1.25,7)),2)</f>
        <v>4.93</v>
      </c>
      <c r="DC108">
        <f>ROUND((ROUND(AT108*AG108,2)*ROUND(1.25,7)),2)</f>
        <v>0.88</v>
      </c>
    </row>
    <row r="109" spans="1:107" ht="12.75">
      <c r="A109">
        <f>ROW(Source!A68)</f>
        <v>68</v>
      </c>
      <c r="B109">
        <v>55454918</v>
      </c>
      <c r="C109">
        <v>55468367</v>
      </c>
      <c r="D109">
        <v>44818658</v>
      </c>
      <c r="E109">
        <v>1</v>
      </c>
      <c r="F109">
        <v>1</v>
      </c>
      <c r="G109">
        <v>1</v>
      </c>
      <c r="H109">
        <v>3</v>
      </c>
      <c r="I109" t="s">
        <v>376</v>
      </c>
      <c r="J109" t="s">
        <v>377</v>
      </c>
      <c r="K109" t="s">
        <v>378</v>
      </c>
      <c r="L109">
        <v>1339</v>
      </c>
      <c r="N109">
        <v>1007</v>
      </c>
      <c r="O109" t="s">
        <v>111</v>
      </c>
      <c r="P109" t="s">
        <v>111</v>
      </c>
      <c r="Q109">
        <v>1</v>
      </c>
      <c r="W109">
        <v>0</v>
      </c>
      <c r="X109">
        <v>-241277956</v>
      </c>
      <c r="Y109">
        <v>0.16</v>
      </c>
      <c r="AA109">
        <v>600</v>
      </c>
      <c r="AB109">
        <v>0</v>
      </c>
      <c r="AC109">
        <v>0</v>
      </c>
      <c r="AD109">
        <v>0</v>
      </c>
      <c r="AE109">
        <v>600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0.16</v>
      </c>
      <c r="AV109">
        <v>0</v>
      </c>
      <c r="AW109">
        <v>2</v>
      </c>
      <c r="AX109">
        <v>55468372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Y109*Source!I68</f>
        <v>0.7664</v>
      </c>
      <c r="CY109">
        <f>AA109</f>
        <v>600</v>
      </c>
      <c r="CZ109">
        <f>AE109</f>
        <v>600</v>
      </c>
      <c r="DA109">
        <f>AI109</f>
        <v>1</v>
      </c>
      <c r="DB109">
        <f>ROUND(ROUND(AT109*CZ109,2),2)</f>
        <v>96</v>
      </c>
      <c r="DC109">
        <f>ROUND(ROUND(AT109*AG109,2),2)</f>
        <v>0</v>
      </c>
    </row>
    <row r="110" spans="1:107" ht="12.75">
      <c r="A110">
        <f>ROW(Source!A68)</f>
        <v>68</v>
      </c>
      <c r="B110">
        <v>55454918</v>
      </c>
      <c r="C110">
        <v>55468367</v>
      </c>
      <c r="D110">
        <v>44802031</v>
      </c>
      <c r="E110">
        <v>54</v>
      </c>
      <c r="F110">
        <v>1</v>
      </c>
      <c r="G110">
        <v>1</v>
      </c>
      <c r="H110">
        <v>3</v>
      </c>
      <c r="I110" t="s">
        <v>104</v>
      </c>
      <c r="K110" t="s">
        <v>120</v>
      </c>
      <c r="L110">
        <v>1301</v>
      </c>
      <c r="N110">
        <v>1003</v>
      </c>
      <c r="O110" t="s">
        <v>121</v>
      </c>
      <c r="P110" t="s">
        <v>121</v>
      </c>
      <c r="Q110">
        <v>1</v>
      </c>
      <c r="W110">
        <v>0</v>
      </c>
      <c r="X110">
        <v>1949164399</v>
      </c>
      <c r="Y110">
        <v>101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0</v>
      </c>
      <c r="AQ110">
        <v>0</v>
      </c>
      <c r="AR110">
        <v>0</v>
      </c>
      <c r="AT110">
        <v>101</v>
      </c>
      <c r="AV110">
        <v>0</v>
      </c>
      <c r="AW110">
        <v>2</v>
      </c>
      <c r="AX110">
        <v>55468373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Y110*Source!I68</f>
        <v>483.79</v>
      </c>
      <c r="CY110">
        <f>AA110</f>
        <v>0</v>
      </c>
      <c r="CZ110">
        <f>AE110</f>
        <v>0</v>
      </c>
      <c r="DA110">
        <f>AI110</f>
        <v>1</v>
      </c>
      <c r="DB110">
        <f>ROUND(ROUND(AT110*CZ110,2),2)</f>
        <v>0</v>
      </c>
      <c r="DC110">
        <f>ROUND(ROUND(AT110*AG110,2),2)</f>
        <v>0</v>
      </c>
    </row>
    <row r="111" spans="1:107" ht="12.75">
      <c r="A111">
        <f>ROW(Source!A69)</f>
        <v>69</v>
      </c>
      <c r="B111">
        <v>55454919</v>
      </c>
      <c r="C111">
        <v>55468367</v>
      </c>
      <c r="D111">
        <v>44800296</v>
      </c>
      <c r="E111">
        <v>54</v>
      </c>
      <c r="F111">
        <v>1</v>
      </c>
      <c r="G111">
        <v>1</v>
      </c>
      <c r="H111">
        <v>1</v>
      </c>
      <c r="I111" t="s">
        <v>373</v>
      </c>
      <c r="K111" t="s">
        <v>374</v>
      </c>
      <c r="L111">
        <v>1191</v>
      </c>
      <c r="N111">
        <v>1013</v>
      </c>
      <c r="O111" t="s">
        <v>313</v>
      </c>
      <c r="P111" t="s">
        <v>313</v>
      </c>
      <c r="Q111">
        <v>1</v>
      </c>
      <c r="W111">
        <v>0</v>
      </c>
      <c r="X111">
        <v>1983201532</v>
      </c>
      <c r="Y111">
        <v>27.392999999999997</v>
      </c>
      <c r="AA111">
        <v>0</v>
      </c>
      <c r="AB111">
        <v>0</v>
      </c>
      <c r="AC111">
        <v>0</v>
      </c>
      <c r="AD111">
        <v>346.83</v>
      </c>
      <c r="AE111">
        <v>0</v>
      </c>
      <c r="AF111">
        <v>0</v>
      </c>
      <c r="AG111">
        <v>0</v>
      </c>
      <c r="AH111">
        <v>9.51</v>
      </c>
      <c r="AI111">
        <v>1</v>
      </c>
      <c r="AJ111">
        <v>1</v>
      </c>
      <c r="AK111">
        <v>1</v>
      </c>
      <c r="AL111">
        <v>36.47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23.82</v>
      </c>
      <c r="AU111" t="s">
        <v>74</v>
      </c>
      <c r="AV111">
        <v>1</v>
      </c>
      <c r="AW111">
        <v>2</v>
      </c>
      <c r="AX111">
        <v>55468368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Y111*Source!I69</f>
        <v>131.21247</v>
      </c>
      <c r="CY111">
        <f>AD111</f>
        <v>346.83</v>
      </c>
      <c r="CZ111">
        <f>AH111</f>
        <v>9.51</v>
      </c>
      <c r="DA111">
        <f>AL111</f>
        <v>36.47</v>
      </c>
      <c r="DB111">
        <f>ROUND((ROUND(AT111*CZ111,2)*ROUND(1.15,7)),2)</f>
        <v>260.51</v>
      </c>
      <c r="DC111">
        <f>ROUND((ROUND(AT111*AG111,2)*ROUND(1.15,7)),2)</f>
        <v>0</v>
      </c>
    </row>
    <row r="112" spans="1:107" ht="12.75">
      <c r="A112">
        <f>ROW(Source!A69)</f>
        <v>69</v>
      </c>
      <c r="B112">
        <v>55454919</v>
      </c>
      <c r="C112">
        <v>55468367</v>
      </c>
      <c r="D112">
        <v>44800452</v>
      </c>
      <c r="E112">
        <v>54</v>
      </c>
      <c r="F112">
        <v>1</v>
      </c>
      <c r="G112">
        <v>1</v>
      </c>
      <c r="H112">
        <v>1</v>
      </c>
      <c r="I112" t="s">
        <v>316</v>
      </c>
      <c r="K112" t="s">
        <v>317</v>
      </c>
      <c r="L112">
        <v>1191</v>
      </c>
      <c r="N112">
        <v>1013</v>
      </c>
      <c r="O112" t="s">
        <v>313</v>
      </c>
      <c r="P112" t="s">
        <v>313</v>
      </c>
      <c r="Q112">
        <v>1</v>
      </c>
      <c r="W112">
        <v>0</v>
      </c>
      <c r="X112">
        <v>-1417349443</v>
      </c>
      <c r="Y112">
        <v>0.1375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36.47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0.11</v>
      </c>
      <c r="AU112" t="s">
        <v>73</v>
      </c>
      <c r="AV112">
        <v>2</v>
      </c>
      <c r="AW112">
        <v>2</v>
      </c>
      <c r="AX112">
        <v>55468369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Y112*Source!I69</f>
        <v>0.658625</v>
      </c>
      <c r="CY112">
        <f>AD112</f>
        <v>0</v>
      </c>
      <c r="CZ112">
        <f>AH112</f>
        <v>0</v>
      </c>
      <c r="DA112">
        <f>AL112</f>
        <v>1</v>
      </c>
      <c r="DB112">
        <f>ROUND((ROUND(AT112*CZ112,2)*ROUND(1.25,7)),2)</f>
        <v>0</v>
      </c>
      <c r="DC112">
        <f>ROUND((ROUND(AT112*AG112,2)*ROUND(1.25,7)),2)</f>
        <v>0</v>
      </c>
    </row>
    <row r="113" spans="1:107" ht="12.75">
      <c r="A113">
        <f>ROW(Source!A69)</f>
        <v>69</v>
      </c>
      <c r="B113">
        <v>55454919</v>
      </c>
      <c r="C113">
        <v>55468367</v>
      </c>
      <c r="D113">
        <v>44976465</v>
      </c>
      <c r="E113">
        <v>1</v>
      </c>
      <c r="F113">
        <v>1</v>
      </c>
      <c r="G113">
        <v>1</v>
      </c>
      <c r="H113">
        <v>2</v>
      </c>
      <c r="I113" t="s">
        <v>318</v>
      </c>
      <c r="J113" t="s">
        <v>319</v>
      </c>
      <c r="K113" t="s">
        <v>320</v>
      </c>
      <c r="L113">
        <v>1368</v>
      </c>
      <c r="N113">
        <v>1011</v>
      </c>
      <c r="O113" t="s">
        <v>375</v>
      </c>
      <c r="P113" t="s">
        <v>375</v>
      </c>
      <c r="Q113">
        <v>1</v>
      </c>
      <c r="W113">
        <v>0</v>
      </c>
      <c r="X113">
        <v>2085189525</v>
      </c>
      <c r="Y113">
        <v>0.0625</v>
      </c>
      <c r="AA113">
        <v>0</v>
      </c>
      <c r="AB113">
        <v>405.44</v>
      </c>
      <c r="AC113">
        <v>492.35</v>
      </c>
      <c r="AD113">
        <v>0</v>
      </c>
      <c r="AE113">
        <v>0</v>
      </c>
      <c r="AF113">
        <v>31.26</v>
      </c>
      <c r="AG113">
        <v>13.5</v>
      </c>
      <c r="AH113">
        <v>0</v>
      </c>
      <c r="AI113">
        <v>1</v>
      </c>
      <c r="AJ113">
        <v>12.97</v>
      </c>
      <c r="AK113">
        <v>36.47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0.05</v>
      </c>
      <c r="AU113" t="s">
        <v>73</v>
      </c>
      <c r="AV113">
        <v>0</v>
      </c>
      <c r="AW113">
        <v>2</v>
      </c>
      <c r="AX113">
        <v>55468370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Y113*Source!I69</f>
        <v>0.299375</v>
      </c>
      <c r="CY113">
        <f>AB113</f>
        <v>405.44</v>
      </c>
      <c r="CZ113">
        <f>AF113</f>
        <v>31.26</v>
      </c>
      <c r="DA113">
        <f>AJ113</f>
        <v>12.97</v>
      </c>
      <c r="DB113">
        <f>ROUND((ROUND(AT113*CZ113,2)*ROUND(1.25,7)),2)</f>
        <v>1.95</v>
      </c>
      <c r="DC113">
        <f>ROUND((ROUND(AT113*AG113,2)*ROUND(1.25,7)),2)</f>
        <v>0.85</v>
      </c>
    </row>
    <row r="114" spans="1:107" ht="12.75">
      <c r="A114">
        <f>ROW(Source!A69)</f>
        <v>69</v>
      </c>
      <c r="B114">
        <v>55454919</v>
      </c>
      <c r="C114">
        <v>55468367</v>
      </c>
      <c r="D114">
        <v>44977280</v>
      </c>
      <c r="E114">
        <v>1</v>
      </c>
      <c r="F114">
        <v>1</v>
      </c>
      <c r="G114">
        <v>1</v>
      </c>
      <c r="H114">
        <v>2</v>
      </c>
      <c r="I114" t="s">
        <v>322</v>
      </c>
      <c r="J114" t="s">
        <v>323</v>
      </c>
      <c r="K114" t="s">
        <v>324</v>
      </c>
      <c r="L114">
        <v>1368</v>
      </c>
      <c r="N114">
        <v>1011</v>
      </c>
      <c r="O114" t="s">
        <v>375</v>
      </c>
      <c r="P114" t="s">
        <v>375</v>
      </c>
      <c r="Q114">
        <v>1</v>
      </c>
      <c r="W114">
        <v>0</v>
      </c>
      <c r="X114">
        <v>-1057454432</v>
      </c>
      <c r="Y114">
        <v>0.075</v>
      </c>
      <c r="AA114">
        <v>0</v>
      </c>
      <c r="AB114">
        <v>852.26</v>
      </c>
      <c r="AC114">
        <v>423.05</v>
      </c>
      <c r="AD114">
        <v>0</v>
      </c>
      <c r="AE114">
        <v>0</v>
      </c>
      <c r="AF114">
        <v>65.71</v>
      </c>
      <c r="AG114">
        <v>11.6</v>
      </c>
      <c r="AH114">
        <v>0</v>
      </c>
      <c r="AI114">
        <v>1</v>
      </c>
      <c r="AJ114">
        <v>12.97</v>
      </c>
      <c r="AK114">
        <v>36.47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0.06</v>
      </c>
      <c r="AU114" t="s">
        <v>73</v>
      </c>
      <c r="AV114">
        <v>0</v>
      </c>
      <c r="AW114">
        <v>2</v>
      </c>
      <c r="AX114">
        <v>55468371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Y114*Source!I69</f>
        <v>0.35925</v>
      </c>
      <c r="CY114">
        <f>AB114</f>
        <v>852.26</v>
      </c>
      <c r="CZ114">
        <f>AF114</f>
        <v>65.71</v>
      </c>
      <c r="DA114">
        <f>AJ114</f>
        <v>12.97</v>
      </c>
      <c r="DB114">
        <f>ROUND((ROUND(AT114*CZ114,2)*ROUND(1.25,7)),2)</f>
        <v>4.93</v>
      </c>
      <c r="DC114">
        <f>ROUND((ROUND(AT114*AG114,2)*ROUND(1.25,7)),2)</f>
        <v>0.88</v>
      </c>
    </row>
    <row r="115" spans="1:107" ht="12.75">
      <c r="A115">
        <f>ROW(Source!A69)</f>
        <v>69</v>
      </c>
      <c r="B115">
        <v>55454919</v>
      </c>
      <c r="C115">
        <v>55468367</v>
      </c>
      <c r="D115">
        <v>44818658</v>
      </c>
      <c r="E115">
        <v>1</v>
      </c>
      <c r="F115">
        <v>1</v>
      </c>
      <c r="G115">
        <v>1</v>
      </c>
      <c r="H115">
        <v>3</v>
      </c>
      <c r="I115" t="s">
        <v>376</v>
      </c>
      <c r="J115" t="s">
        <v>377</v>
      </c>
      <c r="K115" t="s">
        <v>378</v>
      </c>
      <c r="L115">
        <v>1339</v>
      </c>
      <c r="N115">
        <v>1007</v>
      </c>
      <c r="O115" t="s">
        <v>111</v>
      </c>
      <c r="P115" t="s">
        <v>111</v>
      </c>
      <c r="Q115">
        <v>1</v>
      </c>
      <c r="W115">
        <v>0</v>
      </c>
      <c r="X115">
        <v>-241277956</v>
      </c>
      <c r="Y115">
        <v>0.16</v>
      </c>
      <c r="AA115">
        <v>4092</v>
      </c>
      <c r="AB115">
        <v>0</v>
      </c>
      <c r="AC115">
        <v>0</v>
      </c>
      <c r="AD115">
        <v>0</v>
      </c>
      <c r="AE115">
        <v>600</v>
      </c>
      <c r="AF115">
        <v>0</v>
      </c>
      <c r="AG115">
        <v>0</v>
      </c>
      <c r="AH115">
        <v>0</v>
      </c>
      <c r="AI115">
        <v>6.82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0.16</v>
      </c>
      <c r="AV115">
        <v>0</v>
      </c>
      <c r="AW115">
        <v>2</v>
      </c>
      <c r="AX115">
        <v>55468372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Y115*Source!I69</f>
        <v>0.7664</v>
      </c>
      <c r="CY115">
        <f>AA115</f>
        <v>4092</v>
      </c>
      <c r="CZ115">
        <f>AE115</f>
        <v>600</v>
      </c>
      <c r="DA115">
        <f>AI115</f>
        <v>6.82</v>
      </c>
      <c r="DB115">
        <f>ROUND(ROUND(AT115*CZ115,2),2)</f>
        <v>96</v>
      </c>
      <c r="DC115">
        <f>ROUND(ROUND(AT115*AG115,2),2)</f>
        <v>0</v>
      </c>
    </row>
    <row r="116" spans="1:107" ht="12.75">
      <c r="A116">
        <f>ROW(Source!A69)</f>
        <v>69</v>
      </c>
      <c r="B116">
        <v>55454919</v>
      </c>
      <c r="C116">
        <v>55468367</v>
      </c>
      <c r="D116">
        <v>44802031</v>
      </c>
      <c r="E116">
        <v>54</v>
      </c>
      <c r="F116">
        <v>1</v>
      </c>
      <c r="G116">
        <v>1</v>
      </c>
      <c r="H116">
        <v>3</v>
      </c>
      <c r="I116" t="s">
        <v>104</v>
      </c>
      <c r="K116" t="s">
        <v>120</v>
      </c>
      <c r="L116">
        <v>1301</v>
      </c>
      <c r="N116">
        <v>1003</v>
      </c>
      <c r="O116" t="s">
        <v>121</v>
      </c>
      <c r="P116" t="s">
        <v>121</v>
      </c>
      <c r="Q116">
        <v>1</v>
      </c>
      <c r="W116">
        <v>0</v>
      </c>
      <c r="X116">
        <v>1949164399</v>
      </c>
      <c r="Y116">
        <v>101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6.82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T116">
        <v>101</v>
      </c>
      <c r="AV116">
        <v>0</v>
      </c>
      <c r="AW116">
        <v>2</v>
      </c>
      <c r="AX116">
        <v>55468373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Y116*Source!I69</f>
        <v>483.79</v>
      </c>
      <c r="CY116">
        <f>AA116</f>
        <v>0</v>
      </c>
      <c r="CZ116">
        <f>AE116</f>
        <v>0</v>
      </c>
      <c r="DA116">
        <f>AI116</f>
        <v>6.82</v>
      </c>
      <c r="DB116">
        <f>ROUND(ROUND(AT116*CZ116,2),2)</f>
        <v>0</v>
      </c>
      <c r="DC116">
        <f>ROUND(ROUND(AT116*AG116,2),2)</f>
        <v>0</v>
      </c>
    </row>
    <row r="117" spans="1:107" ht="12.75">
      <c r="A117">
        <f>ROW(Source!A72)</f>
        <v>72</v>
      </c>
      <c r="B117">
        <v>55454918</v>
      </c>
      <c r="C117">
        <v>55455257</v>
      </c>
      <c r="D117">
        <v>53630011</v>
      </c>
      <c r="E117">
        <v>70</v>
      </c>
      <c r="F117">
        <v>1</v>
      </c>
      <c r="G117">
        <v>1</v>
      </c>
      <c r="H117">
        <v>1</v>
      </c>
      <c r="I117" t="s">
        <v>379</v>
      </c>
      <c r="K117" t="s">
        <v>380</v>
      </c>
      <c r="L117">
        <v>1191</v>
      </c>
      <c r="N117">
        <v>1013</v>
      </c>
      <c r="O117" t="s">
        <v>313</v>
      </c>
      <c r="P117" t="s">
        <v>313</v>
      </c>
      <c r="Q117">
        <v>1</v>
      </c>
      <c r="W117">
        <v>0</v>
      </c>
      <c r="X117">
        <v>980964037</v>
      </c>
      <c r="Y117">
        <v>0.58</v>
      </c>
      <c r="AA117">
        <v>0</v>
      </c>
      <c r="AB117">
        <v>0</v>
      </c>
      <c r="AC117">
        <v>0</v>
      </c>
      <c r="AD117">
        <v>7.56</v>
      </c>
      <c r="AE117">
        <v>0</v>
      </c>
      <c r="AF117">
        <v>0</v>
      </c>
      <c r="AG117">
        <v>0</v>
      </c>
      <c r="AH117">
        <v>7.56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0.58</v>
      </c>
      <c r="AV117">
        <v>1</v>
      </c>
      <c r="AW117">
        <v>2</v>
      </c>
      <c r="AX117">
        <v>55455259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Y117*Source!I72</f>
        <v>22.04</v>
      </c>
      <c r="CY117">
        <f>AD117</f>
        <v>7.56</v>
      </c>
      <c r="CZ117">
        <f>AH117</f>
        <v>7.56</v>
      </c>
      <c r="DA117">
        <f>AL117</f>
        <v>1</v>
      </c>
      <c r="DB117">
        <f>ROUND(ROUND(AT117*CZ117,2),2)</f>
        <v>4.38</v>
      </c>
      <c r="DC117">
        <f>ROUND(ROUND(AT117*AG117,2),2)</f>
        <v>0</v>
      </c>
    </row>
    <row r="118" spans="1:107" ht="12.75">
      <c r="A118">
        <f>ROW(Source!A73)</f>
        <v>73</v>
      </c>
      <c r="B118">
        <v>55454919</v>
      </c>
      <c r="C118">
        <v>55455257</v>
      </c>
      <c r="D118">
        <v>53630011</v>
      </c>
      <c r="E118">
        <v>70</v>
      </c>
      <c r="F118">
        <v>1</v>
      </c>
      <c r="G118">
        <v>1</v>
      </c>
      <c r="H118">
        <v>1</v>
      </c>
      <c r="I118" t="s">
        <v>379</v>
      </c>
      <c r="K118" t="s">
        <v>380</v>
      </c>
      <c r="L118">
        <v>1191</v>
      </c>
      <c r="N118">
        <v>1013</v>
      </c>
      <c r="O118" t="s">
        <v>313</v>
      </c>
      <c r="P118" t="s">
        <v>313</v>
      </c>
      <c r="Q118">
        <v>1</v>
      </c>
      <c r="W118">
        <v>0</v>
      </c>
      <c r="X118">
        <v>980964037</v>
      </c>
      <c r="Y118">
        <v>0.58</v>
      </c>
      <c r="AA118">
        <v>0</v>
      </c>
      <c r="AB118">
        <v>0</v>
      </c>
      <c r="AC118">
        <v>0</v>
      </c>
      <c r="AD118">
        <v>275.71</v>
      </c>
      <c r="AE118">
        <v>0</v>
      </c>
      <c r="AF118">
        <v>0</v>
      </c>
      <c r="AG118">
        <v>0</v>
      </c>
      <c r="AH118">
        <v>7.56</v>
      </c>
      <c r="AI118">
        <v>1</v>
      </c>
      <c r="AJ118">
        <v>1</v>
      </c>
      <c r="AK118">
        <v>1</v>
      </c>
      <c r="AL118">
        <v>36.47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0.58</v>
      </c>
      <c r="AV118">
        <v>1</v>
      </c>
      <c r="AW118">
        <v>2</v>
      </c>
      <c r="AX118">
        <v>55455259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Y118*Source!I73</f>
        <v>22.04</v>
      </c>
      <c r="CY118">
        <f>AD118</f>
        <v>275.71</v>
      </c>
      <c r="CZ118">
        <f>AH118</f>
        <v>7.56</v>
      </c>
      <c r="DA118">
        <f>AL118</f>
        <v>36.47</v>
      </c>
      <c r="DB118">
        <f>ROUND(ROUND(AT118*CZ118,2),2)</f>
        <v>4.38</v>
      </c>
      <c r="DC118">
        <f>ROUND(ROUND(AT118*AG118,2),2)</f>
        <v>0</v>
      </c>
    </row>
    <row r="119" spans="1:107" ht="12.75">
      <c r="A119">
        <f>ROW(Source!A74)</f>
        <v>74</v>
      </c>
      <c r="B119">
        <v>55454918</v>
      </c>
      <c r="C119">
        <v>55455260</v>
      </c>
      <c r="D119">
        <v>53630109</v>
      </c>
      <c r="E119">
        <v>70</v>
      </c>
      <c r="F119">
        <v>1</v>
      </c>
      <c r="G119">
        <v>1</v>
      </c>
      <c r="H119">
        <v>1</v>
      </c>
      <c r="I119" t="s">
        <v>381</v>
      </c>
      <c r="K119" t="s">
        <v>382</v>
      </c>
      <c r="L119">
        <v>1191</v>
      </c>
      <c r="N119">
        <v>1013</v>
      </c>
      <c r="O119" t="s">
        <v>313</v>
      </c>
      <c r="P119" t="s">
        <v>313</v>
      </c>
      <c r="Q119">
        <v>1</v>
      </c>
      <c r="W119">
        <v>0</v>
      </c>
      <c r="X119">
        <v>-1111239348</v>
      </c>
      <c r="Y119">
        <v>18.767999999999997</v>
      </c>
      <c r="AA119">
        <v>0</v>
      </c>
      <c r="AB119">
        <v>0</v>
      </c>
      <c r="AC119">
        <v>0</v>
      </c>
      <c r="AD119">
        <v>9.62</v>
      </c>
      <c r="AE119">
        <v>0</v>
      </c>
      <c r="AF119">
        <v>0</v>
      </c>
      <c r="AG119">
        <v>0</v>
      </c>
      <c r="AH119">
        <v>9.62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16.32</v>
      </c>
      <c r="AU119" t="s">
        <v>74</v>
      </c>
      <c r="AV119">
        <v>1</v>
      </c>
      <c r="AW119">
        <v>2</v>
      </c>
      <c r="AX119">
        <v>55455267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Y119*Source!I74</f>
        <v>7.131839999999999</v>
      </c>
      <c r="CY119">
        <f>AD119</f>
        <v>9.62</v>
      </c>
      <c r="CZ119">
        <f>AH119</f>
        <v>9.62</v>
      </c>
      <c r="DA119">
        <f>AL119</f>
        <v>1</v>
      </c>
      <c r="DB119">
        <f>ROUND((ROUND(AT119*CZ119,2)*ROUND(1.15,7)),2)</f>
        <v>180.55</v>
      </c>
      <c r="DC119">
        <f>ROUND((ROUND(AT119*AG119,2)*ROUND(1.15,7)),2)</f>
        <v>0</v>
      </c>
    </row>
    <row r="120" spans="1:107" ht="12.75">
      <c r="A120">
        <f>ROW(Source!A74)</f>
        <v>74</v>
      </c>
      <c r="B120">
        <v>55454918</v>
      </c>
      <c r="C120">
        <v>55455260</v>
      </c>
      <c r="D120">
        <v>53630257</v>
      </c>
      <c r="E120">
        <v>70</v>
      </c>
      <c r="F120">
        <v>1</v>
      </c>
      <c r="G120">
        <v>1</v>
      </c>
      <c r="H120">
        <v>1</v>
      </c>
      <c r="I120" t="s">
        <v>316</v>
      </c>
      <c r="K120" t="s">
        <v>317</v>
      </c>
      <c r="L120">
        <v>1191</v>
      </c>
      <c r="N120">
        <v>1013</v>
      </c>
      <c r="O120" t="s">
        <v>313</v>
      </c>
      <c r="P120" t="s">
        <v>313</v>
      </c>
      <c r="Q120">
        <v>1</v>
      </c>
      <c r="W120">
        <v>0</v>
      </c>
      <c r="X120">
        <v>-1417349443</v>
      </c>
      <c r="Y120">
        <v>0.0375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0.03</v>
      </c>
      <c r="AU120" t="s">
        <v>73</v>
      </c>
      <c r="AV120">
        <v>2</v>
      </c>
      <c r="AW120">
        <v>2</v>
      </c>
      <c r="AX120">
        <v>55455268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Y120*Source!I74</f>
        <v>0.014249999999999999</v>
      </c>
      <c r="CY120">
        <f>AD120</f>
        <v>0</v>
      </c>
      <c r="CZ120">
        <f>AH120</f>
        <v>0</v>
      </c>
      <c r="DA120">
        <f>AL120</f>
        <v>1</v>
      </c>
      <c r="DB120">
        <f>ROUND((ROUND(AT120*CZ120,2)*ROUND(1.25,7)),2)</f>
        <v>0</v>
      </c>
      <c r="DC120">
        <f>ROUND((ROUND(AT120*AG120,2)*ROUND(1.25,7)),2)</f>
        <v>0</v>
      </c>
    </row>
    <row r="121" spans="1:107" ht="12.75">
      <c r="A121">
        <f>ROW(Source!A74)</f>
        <v>74</v>
      </c>
      <c r="B121">
        <v>55454918</v>
      </c>
      <c r="C121">
        <v>55455260</v>
      </c>
      <c r="D121">
        <v>53792191</v>
      </c>
      <c r="E121">
        <v>1</v>
      </c>
      <c r="F121">
        <v>1</v>
      </c>
      <c r="G121">
        <v>1</v>
      </c>
      <c r="H121">
        <v>2</v>
      </c>
      <c r="I121" t="s">
        <v>318</v>
      </c>
      <c r="J121" t="s">
        <v>319</v>
      </c>
      <c r="K121" t="s">
        <v>320</v>
      </c>
      <c r="L121">
        <v>1367</v>
      </c>
      <c r="N121">
        <v>1011</v>
      </c>
      <c r="O121" t="s">
        <v>321</v>
      </c>
      <c r="P121" t="s">
        <v>321</v>
      </c>
      <c r="Q121">
        <v>1</v>
      </c>
      <c r="W121">
        <v>0</v>
      </c>
      <c r="X121">
        <v>1232162608</v>
      </c>
      <c r="Y121">
        <v>0.0125</v>
      </c>
      <c r="AA121">
        <v>0</v>
      </c>
      <c r="AB121">
        <v>31.26</v>
      </c>
      <c r="AC121">
        <v>13.5</v>
      </c>
      <c r="AD121">
        <v>0</v>
      </c>
      <c r="AE121">
        <v>0</v>
      </c>
      <c r="AF121">
        <v>31.26</v>
      </c>
      <c r="AG121">
        <v>13.5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0.01</v>
      </c>
      <c r="AU121" t="s">
        <v>73</v>
      </c>
      <c r="AV121">
        <v>0</v>
      </c>
      <c r="AW121">
        <v>2</v>
      </c>
      <c r="AX121">
        <v>55455269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Y121*Source!I74</f>
        <v>0.004750000000000001</v>
      </c>
      <c r="CY121">
        <f>AB121</f>
        <v>31.26</v>
      </c>
      <c r="CZ121">
        <f>AF121</f>
        <v>31.26</v>
      </c>
      <c r="DA121">
        <f>AJ121</f>
        <v>1</v>
      </c>
      <c r="DB121">
        <f>ROUND((ROUND(AT121*CZ121,2)*ROUND(1.25,7)),2)</f>
        <v>0.39</v>
      </c>
      <c r="DC121">
        <f>ROUND((ROUND(AT121*AG121,2)*ROUND(1.25,7)),2)</f>
        <v>0.18</v>
      </c>
    </row>
    <row r="122" spans="1:107" ht="12.75">
      <c r="A122">
        <f>ROW(Source!A74)</f>
        <v>74</v>
      </c>
      <c r="B122">
        <v>55454918</v>
      </c>
      <c r="C122">
        <v>55455260</v>
      </c>
      <c r="D122">
        <v>53792927</v>
      </c>
      <c r="E122">
        <v>1</v>
      </c>
      <c r="F122">
        <v>1</v>
      </c>
      <c r="G122">
        <v>1</v>
      </c>
      <c r="H122">
        <v>2</v>
      </c>
      <c r="I122" t="s">
        <v>322</v>
      </c>
      <c r="J122" t="s">
        <v>323</v>
      </c>
      <c r="K122" t="s">
        <v>324</v>
      </c>
      <c r="L122">
        <v>1367</v>
      </c>
      <c r="N122">
        <v>1011</v>
      </c>
      <c r="O122" t="s">
        <v>321</v>
      </c>
      <c r="P122" t="s">
        <v>321</v>
      </c>
      <c r="Q122">
        <v>1</v>
      </c>
      <c r="W122">
        <v>0</v>
      </c>
      <c r="X122">
        <v>509054691</v>
      </c>
      <c r="Y122">
        <v>0.025</v>
      </c>
      <c r="AA122">
        <v>0</v>
      </c>
      <c r="AB122">
        <v>65.71</v>
      </c>
      <c r="AC122">
        <v>11.6</v>
      </c>
      <c r="AD122">
        <v>0</v>
      </c>
      <c r="AE122">
        <v>0</v>
      </c>
      <c r="AF122">
        <v>65.71</v>
      </c>
      <c r="AG122">
        <v>11.6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0.02</v>
      </c>
      <c r="AU122" t="s">
        <v>73</v>
      </c>
      <c r="AV122">
        <v>0</v>
      </c>
      <c r="AW122">
        <v>2</v>
      </c>
      <c r="AX122">
        <v>55455270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Y122*Source!I74</f>
        <v>0.009500000000000001</v>
      </c>
      <c r="CY122">
        <f>AB122</f>
        <v>65.71</v>
      </c>
      <c r="CZ122">
        <f>AF122</f>
        <v>65.71</v>
      </c>
      <c r="DA122">
        <f>AJ122</f>
        <v>1</v>
      </c>
      <c r="DB122">
        <f>ROUND((ROUND(AT122*CZ122,2)*ROUND(1.25,7)),2)</f>
        <v>1.64</v>
      </c>
      <c r="DC122">
        <f>ROUND((ROUND(AT122*AG122,2)*ROUND(1.25,7)),2)</f>
        <v>0.29</v>
      </c>
    </row>
    <row r="123" spans="1:107" ht="12.75">
      <c r="A123">
        <f>ROW(Source!A74)</f>
        <v>74</v>
      </c>
      <c r="B123">
        <v>55454918</v>
      </c>
      <c r="C123">
        <v>55455260</v>
      </c>
      <c r="D123">
        <v>53646032</v>
      </c>
      <c r="E123">
        <v>1</v>
      </c>
      <c r="F123">
        <v>1</v>
      </c>
      <c r="G123">
        <v>1</v>
      </c>
      <c r="H123">
        <v>3</v>
      </c>
      <c r="I123" t="s">
        <v>331</v>
      </c>
      <c r="J123" t="s">
        <v>332</v>
      </c>
      <c r="K123" t="s">
        <v>333</v>
      </c>
      <c r="L123">
        <v>1346</v>
      </c>
      <c r="N123">
        <v>1009</v>
      </c>
      <c r="O123" t="s">
        <v>85</v>
      </c>
      <c r="P123" t="s">
        <v>85</v>
      </c>
      <c r="Q123">
        <v>1</v>
      </c>
      <c r="W123">
        <v>0</v>
      </c>
      <c r="X123">
        <v>1052716416</v>
      </c>
      <c r="Y123">
        <v>0.2</v>
      </c>
      <c r="AA123">
        <v>1.82</v>
      </c>
      <c r="AB123">
        <v>0</v>
      </c>
      <c r="AC123">
        <v>0</v>
      </c>
      <c r="AD123">
        <v>0</v>
      </c>
      <c r="AE123">
        <v>1.82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0.2</v>
      </c>
      <c r="AV123">
        <v>0</v>
      </c>
      <c r="AW123">
        <v>2</v>
      </c>
      <c r="AX123">
        <v>55455271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Y123*Source!I74</f>
        <v>0.07600000000000001</v>
      </c>
      <c r="CY123">
        <f>AA123</f>
        <v>1.82</v>
      </c>
      <c r="CZ123">
        <f>AE123</f>
        <v>1.82</v>
      </c>
      <c r="DA123">
        <f>AI123</f>
        <v>1</v>
      </c>
      <c r="DB123">
        <f>ROUND(ROUND(AT123*CZ123,2),2)</f>
        <v>0.36</v>
      </c>
      <c r="DC123">
        <f>ROUND(ROUND(AT123*AG123,2),2)</f>
        <v>0</v>
      </c>
    </row>
    <row r="124" spans="1:107" ht="12.75">
      <c r="A124">
        <f>ROW(Source!A74)</f>
        <v>74</v>
      </c>
      <c r="B124">
        <v>55454918</v>
      </c>
      <c r="C124">
        <v>55455260</v>
      </c>
      <c r="D124">
        <v>53673681</v>
      </c>
      <c r="E124">
        <v>1</v>
      </c>
      <c r="F124">
        <v>1</v>
      </c>
      <c r="G124">
        <v>1</v>
      </c>
      <c r="H124">
        <v>3</v>
      </c>
      <c r="I124" t="s">
        <v>88</v>
      </c>
      <c r="J124" t="s">
        <v>90</v>
      </c>
      <c r="K124" t="s">
        <v>89</v>
      </c>
      <c r="L124">
        <v>1346</v>
      </c>
      <c r="N124">
        <v>1009</v>
      </c>
      <c r="O124" t="s">
        <v>85</v>
      </c>
      <c r="P124" t="s">
        <v>85</v>
      </c>
      <c r="Q124">
        <v>1</v>
      </c>
      <c r="W124">
        <v>0</v>
      </c>
      <c r="X124">
        <v>-1209026283</v>
      </c>
      <c r="Y124">
        <v>21.394148</v>
      </c>
      <c r="AA124">
        <v>13.08</v>
      </c>
      <c r="AB124">
        <v>0</v>
      </c>
      <c r="AC124">
        <v>0</v>
      </c>
      <c r="AD124">
        <v>0</v>
      </c>
      <c r="AE124">
        <v>13.08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T124">
        <v>21.394148</v>
      </c>
      <c r="AV124">
        <v>0</v>
      </c>
      <c r="AW124">
        <v>1</v>
      </c>
      <c r="AX124">
        <v>-1</v>
      </c>
      <c r="AY124">
        <v>0</v>
      </c>
      <c r="AZ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Y124*Source!I74</f>
        <v>8.12977624</v>
      </c>
      <c r="CY124">
        <f>AA124</f>
        <v>13.08</v>
      </c>
      <c r="CZ124">
        <f>AE124</f>
        <v>13.08</v>
      </c>
      <c r="DA124">
        <f>AI124</f>
        <v>1</v>
      </c>
      <c r="DB124">
        <f>ROUND(ROUND(AT124*CZ124,2),2)</f>
        <v>279.84</v>
      </c>
      <c r="DC124">
        <f>ROUND(ROUND(AT124*AG124,2),2)</f>
        <v>0</v>
      </c>
    </row>
    <row r="125" spans="1:107" ht="12.75">
      <c r="A125">
        <f>ROW(Source!A75)</f>
        <v>75</v>
      </c>
      <c r="B125">
        <v>55454919</v>
      </c>
      <c r="C125">
        <v>55455260</v>
      </c>
      <c r="D125">
        <v>53630109</v>
      </c>
      <c r="E125">
        <v>70</v>
      </c>
      <c r="F125">
        <v>1</v>
      </c>
      <c r="G125">
        <v>1</v>
      </c>
      <c r="H125">
        <v>1</v>
      </c>
      <c r="I125" t="s">
        <v>381</v>
      </c>
      <c r="K125" t="s">
        <v>382</v>
      </c>
      <c r="L125">
        <v>1191</v>
      </c>
      <c r="N125">
        <v>1013</v>
      </c>
      <c r="O125" t="s">
        <v>313</v>
      </c>
      <c r="P125" t="s">
        <v>313</v>
      </c>
      <c r="Q125">
        <v>1</v>
      </c>
      <c r="W125">
        <v>0</v>
      </c>
      <c r="X125">
        <v>-1111239348</v>
      </c>
      <c r="Y125">
        <v>18.767999999999997</v>
      </c>
      <c r="AA125">
        <v>0</v>
      </c>
      <c r="AB125">
        <v>0</v>
      </c>
      <c r="AC125">
        <v>0</v>
      </c>
      <c r="AD125">
        <v>350.84</v>
      </c>
      <c r="AE125">
        <v>0</v>
      </c>
      <c r="AF125">
        <v>0</v>
      </c>
      <c r="AG125">
        <v>0</v>
      </c>
      <c r="AH125">
        <v>9.62</v>
      </c>
      <c r="AI125">
        <v>1</v>
      </c>
      <c r="AJ125">
        <v>1</v>
      </c>
      <c r="AK125">
        <v>1</v>
      </c>
      <c r="AL125">
        <v>36.47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16.32</v>
      </c>
      <c r="AU125" t="s">
        <v>74</v>
      </c>
      <c r="AV125">
        <v>1</v>
      </c>
      <c r="AW125">
        <v>2</v>
      </c>
      <c r="AX125">
        <v>55455267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Y125*Source!I75</f>
        <v>7.131839999999999</v>
      </c>
      <c r="CY125">
        <f>AD125</f>
        <v>350.84</v>
      </c>
      <c r="CZ125">
        <f>AH125</f>
        <v>9.62</v>
      </c>
      <c r="DA125">
        <f>AL125</f>
        <v>36.47</v>
      </c>
      <c r="DB125">
        <f>ROUND((ROUND(AT125*CZ125,2)*ROUND(1.15,7)),2)</f>
        <v>180.55</v>
      </c>
      <c r="DC125">
        <f>ROUND((ROUND(AT125*AG125,2)*ROUND(1.15,7)),2)</f>
        <v>0</v>
      </c>
    </row>
    <row r="126" spans="1:107" ht="12.75">
      <c r="A126">
        <f>ROW(Source!A75)</f>
        <v>75</v>
      </c>
      <c r="B126">
        <v>55454919</v>
      </c>
      <c r="C126">
        <v>55455260</v>
      </c>
      <c r="D126">
        <v>53630257</v>
      </c>
      <c r="E126">
        <v>70</v>
      </c>
      <c r="F126">
        <v>1</v>
      </c>
      <c r="G126">
        <v>1</v>
      </c>
      <c r="H126">
        <v>1</v>
      </c>
      <c r="I126" t="s">
        <v>316</v>
      </c>
      <c r="K126" t="s">
        <v>317</v>
      </c>
      <c r="L126">
        <v>1191</v>
      </c>
      <c r="N126">
        <v>1013</v>
      </c>
      <c r="O126" t="s">
        <v>313</v>
      </c>
      <c r="P126" t="s">
        <v>313</v>
      </c>
      <c r="Q126">
        <v>1</v>
      </c>
      <c r="W126">
        <v>0</v>
      </c>
      <c r="X126">
        <v>-1417349443</v>
      </c>
      <c r="Y126">
        <v>0.0375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36.47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0.03</v>
      </c>
      <c r="AU126" t="s">
        <v>73</v>
      </c>
      <c r="AV126">
        <v>2</v>
      </c>
      <c r="AW126">
        <v>2</v>
      </c>
      <c r="AX126">
        <v>55455268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Y126*Source!I75</f>
        <v>0.014249999999999999</v>
      </c>
      <c r="CY126">
        <f>AD126</f>
        <v>0</v>
      </c>
      <c r="CZ126">
        <f>AH126</f>
        <v>0</v>
      </c>
      <c r="DA126">
        <f>AL126</f>
        <v>1</v>
      </c>
      <c r="DB126">
        <f>ROUND((ROUND(AT126*CZ126,2)*ROUND(1.25,7)),2)</f>
        <v>0</v>
      </c>
      <c r="DC126">
        <f>ROUND((ROUND(AT126*AG126,2)*ROUND(1.25,7)),2)</f>
        <v>0</v>
      </c>
    </row>
    <row r="127" spans="1:107" ht="12.75">
      <c r="A127">
        <f>ROW(Source!A75)</f>
        <v>75</v>
      </c>
      <c r="B127">
        <v>55454919</v>
      </c>
      <c r="C127">
        <v>55455260</v>
      </c>
      <c r="D127">
        <v>53792191</v>
      </c>
      <c r="E127">
        <v>1</v>
      </c>
      <c r="F127">
        <v>1</v>
      </c>
      <c r="G127">
        <v>1</v>
      </c>
      <c r="H127">
        <v>2</v>
      </c>
      <c r="I127" t="s">
        <v>318</v>
      </c>
      <c r="J127" t="s">
        <v>319</v>
      </c>
      <c r="K127" t="s">
        <v>320</v>
      </c>
      <c r="L127">
        <v>1367</v>
      </c>
      <c r="N127">
        <v>1011</v>
      </c>
      <c r="O127" t="s">
        <v>321</v>
      </c>
      <c r="P127" t="s">
        <v>321</v>
      </c>
      <c r="Q127">
        <v>1</v>
      </c>
      <c r="W127">
        <v>0</v>
      </c>
      <c r="X127">
        <v>1232162608</v>
      </c>
      <c r="Y127">
        <v>0.0125</v>
      </c>
      <c r="AA127">
        <v>0</v>
      </c>
      <c r="AB127">
        <v>405.44</v>
      </c>
      <c r="AC127">
        <v>492.35</v>
      </c>
      <c r="AD127">
        <v>0</v>
      </c>
      <c r="AE127">
        <v>0</v>
      </c>
      <c r="AF127">
        <v>31.26</v>
      </c>
      <c r="AG127">
        <v>13.5</v>
      </c>
      <c r="AH127">
        <v>0</v>
      </c>
      <c r="AI127">
        <v>1</v>
      </c>
      <c r="AJ127">
        <v>12.97</v>
      </c>
      <c r="AK127">
        <v>36.47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0.01</v>
      </c>
      <c r="AU127" t="s">
        <v>73</v>
      </c>
      <c r="AV127">
        <v>0</v>
      </c>
      <c r="AW127">
        <v>2</v>
      </c>
      <c r="AX127">
        <v>55455269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Y127*Source!I75</f>
        <v>0.004750000000000001</v>
      </c>
      <c r="CY127">
        <f>AB127</f>
        <v>405.44</v>
      </c>
      <c r="CZ127">
        <f>AF127</f>
        <v>31.26</v>
      </c>
      <c r="DA127">
        <f>AJ127</f>
        <v>12.97</v>
      </c>
      <c r="DB127">
        <f>ROUND((ROUND(AT127*CZ127,2)*ROUND(1.25,7)),2)</f>
        <v>0.39</v>
      </c>
      <c r="DC127">
        <f>ROUND((ROUND(AT127*AG127,2)*ROUND(1.25,7)),2)</f>
        <v>0.18</v>
      </c>
    </row>
    <row r="128" spans="1:107" ht="12.75">
      <c r="A128">
        <f>ROW(Source!A75)</f>
        <v>75</v>
      </c>
      <c r="B128">
        <v>55454919</v>
      </c>
      <c r="C128">
        <v>55455260</v>
      </c>
      <c r="D128">
        <v>53792927</v>
      </c>
      <c r="E128">
        <v>1</v>
      </c>
      <c r="F128">
        <v>1</v>
      </c>
      <c r="G128">
        <v>1</v>
      </c>
      <c r="H128">
        <v>2</v>
      </c>
      <c r="I128" t="s">
        <v>322</v>
      </c>
      <c r="J128" t="s">
        <v>323</v>
      </c>
      <c r="K128" t="s">
        <v>324</v>
      </c>
      <c r="L128">
        <v>1367</v>
      </c>
      <c r="N128">
        <v>1011</v>
      </c>
      <c r="O128" t="s">
        <v>321</v>
      </c>
      <c r="P128" t="s">
        <v>321</v>
      </c>
      <c r="Q128">
        <v>1</v>
      </c>
      <c r="W128">
        <v>0</v>
      </c>
      <c r="X128">
        <v>509054691</v>
      </c>
      <c r="Y128">
        <v>0.025</v>
      </c>
      <c r="AA128">
        <v>0</v>
      </c>
      <c r="AB128">
        <v>852.26</v>
      </c>
      <c r="AC128">
        <v>423.05</v>
      </c>
      <c r="AD128">
        <v>0</v>
      </c>
      <c r="AE128">
        <v>0</v>
      </c>
      <c r="AF128">
        <v>65.71</v>
      </c>
      <c r="AG128">
        <v>11.6</v>
      </c>
      <c r="AH128">
        <v>0</v>
      </c>
      <c r="AI128">
        <v>1</v>
      </c>
      <c r="AJ128">
        <v>12.97</v>
      </c>
      <c r="AK128">
        <v>36.47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0.02</v>
      </c>
      <c r="AU128" t="s">
        <v>73</v>
      </c>
      <c r="AV128">
        <v>0</v>
      </c>
      <c r="AW128">
        <v>2</v>
      </c>
      <c r="AX128">
        <v>55455270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Y128*Source!I75</f>
        <v>0.009500000000000001</v>
      </c>
      <c r="CY128">
        <f>AB128</f>
        <v>852.26</v>
      </c>
      <c r="CZ128">
        <f>AF128</f>
        <v>65.71</v>
      </c>
      <c r="DA128">
        <f>AJ128</f>
        <v>12.97</v>
      </c>
      <c r="DB128">
        <f>ROUND((ROUND(AT128*CZ128,2)*ROUND(1.25,7)),2)</f>
        <v>1.64</v>
      </c>
      <c r="DC128">
        <f>ROUND((ROUND(AT128*AG128,2)*ROUND(1.25,7)),2)</f>
        <v>0.29</v>
      </c>
    </row>
    <row r="129" spans="1:107" ht="12.75">
      <c r="A129">
        <f>ROW(Source!A75)</f>
        <v>75</v>
      </c>
      <c r="B129">
        <v>55454919</v>
      </c>
      <c r="C129">
        <v>55455260</v>
      </c>
      <c r="D129">
        <v>53646032</v>
      </c>
      <c r="E129">
        <v>1</v>
      </c>
      <c r="F129">
        <v>1</v>
      </c>
      <c r="G129">
        <v>1</v>
      </c>
      <c r="H129">
        <v>3</v>
      </c>
      <c r="I129" t="s">
        <v>331</v>
      </c>
      <c r="J129" t="s">
        <v>332</v>
      </c>
      <c r="K129" t="s">
        <v>333</v>
      </c>
      <c r="L129">
        <v>1346</v>
      </c>
      <c r="N129">
        <v>1009</v>
      </c>
      <c r="O129" t="s">
        <v>85</v>
      </c>
      <c r="P129" t="s">
        <v>85</v>
      </c>
      <c r="Q129">
        <v>1</v>
      </c>
      <c r="W129">
        <v>0</v>
      </c>
      <c r="X129">
        <v>1052716416</v>
      </c>
      <c r="Y129">
        <v>0.2</v>
      </c>
      <c r="AA129">
        <v>12.41</v>
      </c>
      <c r="AB129">
        <v>0</v>
      </c>
      <c r="AC129">
        <v>0</v>
      </c>
      <c r="AD129">
        <v>0</v>
      </c>
      <c r="AE129">
        <v>1.82</v>
      </c>
      <c r="AF129">
        <v>0</v>
      </c>
      <c r="AG129">
        <v>0</v>
      </c>
      <c r="AH129">
        <v>0</v>
      </c>
      <c r="AI129">
        <v>6.82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0.2</v>
      </c>
      <c r="AV129">
        <v>0</v>
      </c>
      <c r="AW129">
        <v>2</v>
      </c>
      <c r="AX129">
        <v>55455271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Y129*Source!I75</f>
        <v>0.07600000000000001</v>
      </c>
      <c r="CY129">
        <f>AA129</f>
        <v>12.41</v>
      </c>
      <c r="CZ129">
        <f>AE129</f>
        <v>1.82</v>
      </c>
      <c r="DA129">
        <f>AI129</f>
        <v>6.82</v>
      </c>
      <c r="DB129">
        <f>ROUND(ROUND(AT129*CZ129,2),2)</f>
        <v>0.36</v>
      </c>
      <c r="DC129">
        <f>ROUND(ROUND(AT129*AG129,2),2)</f>
        <v>0</v>
      </c>
    </row>
    <row r="130" spans="1:107" ht="12.75">
      <c r="A130">
        <f>ROW(Source!A75)</f>
        <v>75</v>
      </c>
      <c r="B130">
        <v>55454919</v>
      </c>
      <c r="C130">
        <v>55455260</v>
      </c>
      <c r="D130">
        <v>53673681</v>
      </c>
      <c r="E130">
        <v>1</v>
      </c>
      <c r="F130">
        <v>1</v>
      </c>
      <c r="G130">
        <v>1</v>
      </c>
      <c r="H130">
        <v>3</v>
      </c>
      <c r="I130" t="s">
        <v>88</v>
      </c>
      <c r="J130" t="s">
        <v>90</v>
      </c>
      <c r="K130" t="s">
        <v>89</v>
      </c>
      <c r="L130">
        <v>1346</v>
      </c>
      <c r="N130">
        <v>1009</v>
      </c>
      <c r="O130" t="s">
        <v>85</v>
      </c>
      <c r="P130" t="s">
        <v>85</v>
      </c>
      <c r="Q130">
        <v>1</v>
      </c>
      <c r="W130">
        <v>0</v>
      </c>
      <c r="X130">
        <v>-1209026283</v>
      </c>
      <c r="Y130">
        <v>21.394148</v>
      </c>
      <c r="AA130">
        <v>89.21</v>
      </c>
      <c r="AB130">
        <v>0</v>
      </c>
      <c r="AC130">
        <v>0</v>
      </c>
      <c r="AD130">
        <v>0</v>
      </c>
      <c r="AE130">
        <v>13.08</v>
      </c>
      <c r="AF130">
        <v>0</v>
      </c>
      <c r="AG130">
        <v>0</v>
      </c>
      <c r="AH130">
        <v>0</v>
      </c>
      <c r="AI130">
        <v>6.82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T130">
        <v>21.394148</v>
      </c>
      <c r="AV130">
        <v>0</v>
      </c>
      <c r="AW130">
        <v>1</v>
      </c>
      <c r="AX130">
        <v>-1</v>
      </c>
      <c r="AY130">
        <v>0</v>
      </c>
      <c r="AZ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Y130*Source!I75</f>
        <v>8.12977624</v>
      </c>
      <c r="CY130">
        <f>AA130</f>
        <v>89.21</v>
      </c>
      <c r="CZ130">
        <f>AE130</f>
        <v>13.08</v>
      </c>
      <c r="DA130">
        <f>AI130</f>
        <v>6.82</v>
      </c>
      <c r="DB130">
        <f>ROUND(ROUND(AT130*CZ130,2),2)</f>
        <v>279.84</v>
      </c>
      <c r="DC130">
        <f>ROUND(ROUND(AT130*AG130,2),2)</f>
        <v>0</v>
      </c>
    </row>
    <row r="131" spans="1:107" ht="12.75">
      <c r="A131">
        <f>ROW(Source!A78)</f>
        <v>78</v>
      </c>
      <c r="B131">
        <v>55454918</v>
      </c>
      <c r="C131">
        <v>55455274</v>
      </c>
      <c r="D131">
        <v>37822900</v>
      </c>
      <c r="E131">
        <v>1</v>
      </c>
      <c r="F131">
        <v>1</v>
      </c>
      <c r="G131">
        <v>1</v>
      </c>
      <c r="H131">
        <v>1</v>
      </c>
      <c r="I131" t="s">
        <v>359</v>
      </c>
      <c r="K131" t="s">
        <v>383</v>
      </c>
      <c r="L131">
        <v>1191</v>
      </c>
      <c r="N131">
        <v>1013</v>
      </c>
      <c r="O131" t="s">
        <v>313</v>
      </c>
      <c r="P131" t="s">
        <v>313</v>
      </c>
      <c r="Q131">
        <v>1</v>
      </c>
      <c r="W131">
        <v>0</v>
      </c>
      <c r="X131">
        <v>-784637506</v>
      </c>
      <c r="Y131">
        <v>19.136</v>
      </c>
      <c r="AA131">
        <v>0</v>
      </c>
      <c r="AB131">
        <v>0</v>
      </c>
      <c r="AC131">
        <v>0</v>
      </c>
      <c r="AD131">
        <v>8.74</v>
      </c>
      <c r="AE131">
        <v>0</v>
      </c>
      <c r="AF131">
        <v>0</v>
      </c>
      <c r="AG131">
        <v>0</v>
      </c>
      <c r="AH131">
        <v>8.74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16.64</v>
      </c>
      <c r="AU131" t="s">
        <v>74</v>
      </c>
      <c r="AV131">
        <v>1</v>
      </c>
      <c r="AW131">
        <v>2</v>
      </c>
      <c r="AX131">
        <v>55455278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Y131*Source!I78</f>
        <v>3.63584</v>
      </c>
      <c r="CY131">
        <f>AD131</f>
        <v>8.74</v>
      </c>
      <c r="CZ131">
        <f>AH131</f>
        <v>8.74</v>
      </c>
      <c r="DA131">
        <f>AL131</f>
        <v>1</v>
      </c>
      <c r="DB131">
        <f>ROUND((ROUND(AT131*CZ131,2)*ROUND(1.15,7)),2)</f>
        <v>167.24</v>
      </c>
      <c r="DC131">
        <f>ROUND((ROUND(AT131*AG131,2)*ROUND(1.15,7)),2)</f>
        <v>0</v>
      </c>
    </row>
    <row r="132" spans="1:107" ht="12.75">
      <c r="A132">
        <f>ROW(Source!A78)</f>
        <v>78</v>
      </c>
      <c r="B132">
        <v>55454918</v>
      </c>
      <c r="C132">
        <v>55455274</v>
      </c>
      <c r="D132">
        <v>37831558</v>
      </c>
      <c r="E132">
        <v>1</v>
      </c>
      <c r="F132">
        <v>1</v>
      </c>
      <c r="G132">
        <v>1</v>
      </c>
      <c r="H132">
        <v>3</v>
      </c>
      <c r="I132" t="s">
        <v>384</v>
      </c>
      <c r="J132" t="s">
        <v>385</v>
      </c>
      <c r="K132" t="s">
        <v>386</v>
      </c>
      <c r="L132">
        <v>1355</v>
      </c>
      <c r="N132">
        <v>1010</v>
      </c>
      <c r="O132" t="s">
        <v>387</v>
      </c>
      <c r="P132" t="s">
        <v>387</v>
      </c>
      <c r="Q132">
        <v>100</v>
      </c>
      <c r="W132">
        <v>0</v>
      </c>
      <c r="X132">
        <v>-725528132</v>
      </c>
      <c r="Y132">
        <v>6.7</v>
      </c>
      <c r="AA132">
        <v>12</v>
      </c>
      <c r="AB132">
        <v>0</v>
      </c>
      <c r="AC132">
        <v>0</v>
      </c>
      <c r="AD132">
        <v>0</v>
      </c>
      <c r="AE132">
        <v>12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6.7</v>
      </c>
      <c r="AV132">
        <v>0</v>
      </c>
      <c r="AW132">
        <v>2</v>
      </c>
      <c r="AX132">
        <v>55455279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Y132*Source!I78</f>
        <v>1.2730000000000001</v>
      </c>
      <c r="CY132">
        <f>AA132</f>
        <v>12</v>
      </c>
      <c r="CZ132">
        <f>AE132</f>
        <v>12</v>
      </c>
      <c r="DA132">
        <f>AI132</f>
        <v>1</v>
      </c>
      <c r="DB132">
        <f>ROUND(ROUND(AT132*CZ132,2),2)</f>
        <v>80.4</v>
      </c>
      <c r="DC132">
        <f>ROUND(ROUND(AT132*AG132,2),2)</f>
        <v>0</v>
      </c>
    </row>
    <row r="133" spans="1:107" ht="12.75">
      <c r="A133">
        <f>ROW(Source!A78)</f>
        <v>78</v>
      </c>
      <c r="B133">
        <v>55454918</v>
      </c>
      <c r="C133">
        <v>55455274</v>
      </c>
      <c r="D133">
        <v>53663721</v>
      </c>
      <c r="E133">
        <v>1</v>
      </c>
      <c r="F133">
        <v>1</v>
      </c>
      <c r="G133">
        <v>1</v>
      </c>
      <c r="H133">
        <v>3</v>
      </c>
      <c r="I133" t="s">
        <v>144</v>
      </c>
      <c r="J133" t="s">
        <v>147</v>
      </c>
      <c r="K133" t="s">
        <v>145</v>
      </c>
      <c r="L133">
        <v>1302</v>
      </c>
      <c r="N133">
        <v>1003</v>
      </c>
      <c r="O133" t="s">
        <v>146</v>
      </c>
      <c r="P133" t="s">
        <v>146</v>
      </c>
      <c r="Q133">
        <v>10</v>
      </c>
      <c r="W133">
        <v>0</v>
      </c>
      <c r="X133">
        <v>1397629671</v>
      </c>
      <c r="Y133">
        <v>10.068027</v>
      </c>
      <c r="AA133">
        <v>13.27</v>
      </c>
      <c r="AB133">
        <v>0</v>
      </c>
      <c r="AC133">
        <v>0</v>
      </c>
      <c r="AD133">
        <v>0</v>
      </c>
      <c r="AE133">
        <v>13.27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T133">
        <v>10.068027</v>
      </c>
      <c r="AV133">
        <v>0</v>
      </c>
      <c r="AW133">
        <v>1</v>
      </c>
      <c r="AX133">
        <v>-1</v>
      </c>
      <c r="AY133">
        <v>0</v>
      </c>
      <c r="AZ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Y133*Source!I78</f>
        <v>1.91292513</v>
      </c>
      <c r="CY133">
        <f>AA133</f>
        <v>13.27</v>
      </c>
      <c r="CZ133">
        <f>AE133</f>
        <v>13.27</v>
      </c>
      <c r="DA133">
        <f>AI133</f>
        <v>1</v>
      </c>
      <c r="DB133">
        <f>ROUND(ROUND(AT133*CZ133,2),2)</f>
        <v>133.6</v>
      </c>
      <c r="DC133">
        <f>ROUND(ROUND(AT133*AG133,2),2)</f>
        <v>0</v>
      </c>
    </row>
    <row r="134" spans="1:107" ht="12.75">
      <c r="A134">
        <f>ROW(Source!A79)</f>
        <v>79</v>
      </c>
      <c r="B134">
        <v>55454919</v>
      </c>
      <c r="C134">
        <v>55455274</v>
      </c>
      <c r="D134">
        <v>37822900</v>
      </c>
      <c r="E134">
        <v>1</v>
      </c>
      <c r="F134">
        <v>1</v>
      </c>
      <c r="G134">
        <v>1</v>
      </c>
      <c r="H134">
        <v>1</v>
      </c>
      <c r="I134" t="s">
        <v>359</v>
      </c>
      <c r="K134" t="s">
        <v>383</v>
      </c>
      <c r="L134">
        <v>1191</v>
      </c>
      <c r="N134">
        <v>1013</v>
      </c>
      <c r="O134" t="s">
        <v>313</v>
      </c>
      <c r="P134" t="s">
        <v>313</v>
      </c>
      <c r="Q134">
        <v>1</v>
      </c>
      <c r="W134">
        <v>0</v>
      </c>
      <c r="X134">
        <v>-784637506</v>
      </c>
      <c r="Y134">
        <v>19.136</v>
      </c>
      <c r="AA134">
        <v>0</v>
      </c>
      <c r="AB134">
        <v>0</v>
      </c>
      <c r="AC134">
        <v>0</v>
      </c>
      <c r="AD134">
        <v>318.75</v>
      </c>
      <c r="AE134">
        <v>0</v>
      </c>
      <c r="AF134">
        <v>0</v>
      </c>
      <c r="AG134">
        <v>0</v>
      </c>
      <c r="AH134">
        <v>8.74</v>
      </c>
      <c r="AI134">
        <v>1</v>
      </c>
      <c r="AJ134">
        <v>1</v>
      </c>
      <c r="AK134">
        <v>1</v>
      </c>
      <c r="AL134">
        <v>36.47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16.64</v>
      </c>
      <c r="AU134" t="s">
        <v>74</v>
      </c>
      <c r="AV134">
        <v>1</v>
      </c>
      <c r="AW134">
        <v>2</v>
      </c>
      <c r="AX134">
        <v>55455278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Y134*Source!I79</f>
        <v>3.63584</v>
      </c>
      <c r="CY134">
        <f>AD134</f>
        <v>318.75</v>
      </c>
      <c r="CZ134">
        <f>AH134</f>
        <v>8.74</v>
      </c>
      <c r="DA134">
        <f>AL134</f>
        <v>36.47</v>
      </c>
      <c r="DB134">
        <f>ROUND((ROUND(AT134*CZ134,2)*ROUND(1.15,7)),2)</f>
        <v>167.24</v>
      </c>
      <c r="DC134">
        <f>ROUND((ROUND(AT134*AG134,2)*ROUND(1.15,7)),2)</f>
        <v>0</v>
      </c>
    </row>
    <row r="135" spans="1:107" ht="12.75">
      <c r="A135">
        <f>ROW(Source!A79)</f>
        <v>79</v>
      </c>
      <c r="B135">
        <v>55454919</v>
      </c>
      <c r="C135">
        <v>55455274</v>
      </c>
      <c r="D135">
        <v>37831558</v>
      </c>
      <c r="E135">
        <v>1</v>
      </c>
      <c r="F135">
        <v>1</v>
      </c>
      <c r="G135">
        <v>1</v>
      </c>
      <c r="H135">
        <v>3</v>
      </c>
      <c r="I135" t="s">
        <v>384</v>
      </c>
      <c r="J135" t="s">
        <v>385</v>
      </c>
      <c r="K135" t="s">
        <v>386</v>
      </c>
      <c r="L135">
        <v>1355</v>
      </c>
      <c r="N135">
        <v>1010</v>
      </c>
      <c r="O135" t="s">
        <v>387</v>
      </c>
      <c r="P135" t="s">
        <v>387</v>
      </c>
      <c r="Q135">
        <v>100</v>
      </c>
      <c r="W135">
        <v>0</v>
      </c>
      <c r="X135">
        <v>-725528132</v>
      </c>
      <c r="Y135">
        <v>6.7</v>
      </c>
      <c r="AA135">
        <v>81.84</v>
      </c>
      <c r="AB135">
        <v>0</v>
      </c>
      <c r="AC135">
        <v>0</v>
      </c>
      <c r="AD135">
        <v>0</v>
      </c>
      <c r="AE135">
        <v>12</v>
      </c>
      <c r="AF135">
        <v>0</v>
      </c>
      <c r="AG135">
        <v>0</v>
      </c>
      <c r="AH135">
        <v>0</v>
      </c>
      <c r="AI135">
        <v>6.82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6.7</v>
      </c>
      <c r="AV135">
        <v>0</v>
      </c>
      <c r="AW135">
        <v>2</v>
      </c>
      <c r="AX135">
        <v>55455279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Y135*Source!I79</f>
        <v>1.2730000000000001</v>
      </c>
      <c r="CY135">
        <f>AA135</f>
        <v>81.84</v>
      </c>
      <c r="CZ135">
        <f>AE135</f>
        <v>12</v>
      </c>
      <c r="DA135">
        <f>AI135</f>
        <v>6.82</v>
      </c>
      <c r="DB135">
        <f>ROUND(ROUND(AT135*CZ135,2),2)</f>
        <v>80.4</v>
      </c>
      <c r="DC135">
        <f>ROUND(ROUND(AT135*AG135,2),2)</f>
        <v>0</v>
      </c>
    </row>
    <row r="136" spans="1:107" ht="12.75">
      <c r="A136">
        <f>ROW(Source!A79)</f>
        <v>79</v>
      </c>
      <c r="B136">
        <v>55454919</v>
      </c>
      <c r="C136">
        <v>55455274</v>
      </c>
      <c r="D136">
        <v>53663721</v>
      </c>
      <c r="E136">
        <v>1</v>
      </c>
      <c r="F136">
        <v>1</v>
      </c>
      <c r="G136">
        <v>1</v>
      </c>
      <c r="H136">
        <v>3</v>
      </c>
      <c r="I136" t="s">
        <v>144</v>
      </c>
      <c r="J136" t="s">
        <v>147</v>
      </c>
      <c r="K136" t="s">
        <v>145</v>
      </c>
      <c r="L136">
        <v>1302</v>
      </c>
      <c r="N136">
        <v>1003</v>
      </c>
      <c r="O136" t="s">
        <v>146</v>
      </c>
      <c r="P136" t="s">
        <v>146</v>
      </c>
      <c r="Q136">
        <v>10</v>
      </c>
      <c r="W136">
        <v>0</v>
      </c>
      <c r="X136">
        <v>1397629671</v>
      </c>
      <c r="Y136">
        <v>10.068027</v>
      </c>
      <c r="AA136">
        <v>90.5</v>
      </c>
      <c r="AB136">
        <v>0</v>
      </c>
      <c r="AC136">
        <v>0</v>
      </c>
      <c r="AD136">
        <v>0</v>
      </c>
      <c r="AE136">
        <v>13.27</v>
      </c>
      <c r="AF136">
        <v>0</v>
      </c>
      <c r="AG136">
        <v>0</v>
      </c>
      <c r="AH136">
        <v>0</v>
      </c>
      <c r="AI136">
        <v>6.82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T136">
        <v>10.068027</v>
      </c>
      <c r="AV136">
        <v>0</v>
      </c>
      <c r="AW136">
        <v>1</v>
      </c>
      <c r="AX136">
        <v>-1</v>
      </c>
      <c r="AY136">
        <v>0</v>
      </c>
      <c r="AZ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Y136*Source!I79</f>
        <v>1.91292513</v>
      </c>
      <c r="CY136">
        <f>AA136</f>
        <v>90.5</v>
      </c>
      <c r="CZ136">
        <f>AE136</f>
        <v>13.27</v>
      </c>
      <c r="DA136">
        <f>AI136</f>
        <v>6.82</v>
      </c>
      <c r="DB136">
        <f>ROUND(ROUND(AT136*CZ136,2),2)</f>
        <v>133.6</v>
      </c>
      <c r="DC136">
        <f>ROUND(ROUND(AT136*AG136,2),2)</f>
        <v>0</v>
      </c>
    </row>
    <row r="137" spans="1:107" ht="12.75">
      <c r="A137">
        <f>ROW(Source!A117)</f>
        <v>117</v>
      </c>
      <c r="B137">
        <v>55454918</v>
      </c>
      <c r="C137">
        <v>55455282</v>
      </c>
      <c r="D137">
        <v>53630067</v>
      </c>
      <c r="E137">
        <v>70</v>
      </c>
      <c r="F137">
        <v>1</v>
      </c>
      <c r="G137">
        <v>1</v>
      </c>
      <c r="H137">
        <v>1</v>
      </c>
      <c r="I137" t="s">
        <v>345</v>
      </c>
      <c r="K137" t="s">
        <v>346</v>
      </c>
      <c r="L137">
        <v>1191</v>
      </c>
      <c r="N137">
        <v>1013</v>
      </c>
      <c r="O137" t="s">
        <v>313</v>
      </c>
      <c r="P137" t="s">
        <v>313</v>
      </c>
      <c r="Q137">
        <v>1</v>
      </c>
      <c r="W137">
        <v>0</v>
      </c>
      <c r="X137">
        <v>1049124552</v>
      </c>
      <c r="Y137">
        <v>3.9675</v>
      </c>
      <c r="AA137">
        <v>0</v>
      </c>
      <c r="AB137">
        <v>0</v>
      </c>
      <c r="AC137">
        <v>0</v>
      </c>
      <c r="AD137">
        <v>8.53</v>
      </c>
      <c r="AE137">
        <v>0</v>
      </c>
      <c r="AF137">
        <v>0</v>
      </c>
      <c r="AG137">
        <v>0</v>
      </c>
      <c r="AH137">
        <v>8.53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3.45</v>
      </c>
      <c r="AU137" t="s">
        <v>74</v>
      </c>
      <c r="AV137">
        <v>1</v>
      </c>
      <c r="AW137">
        <v>2</v>
      </c>
      <c r="AX137">
        <v>55455287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Y137*Source!I117</f>
        <v>13.092749999999999</v>
      </c>
      <c r="CY137">
        <f>AD137</f>
        <v>8.53</v>
      </c>
      <c r="CZ137">
        <f>AH137</f>
        <v>8.53</v>
      </c>
      <c r="DA137">
        <f>AL137</f>
        <v>1</v>
      </c>
      <c r="DB137">
        <f>ROUND((ROUND(AT137*CZ137,2)*ROUND(1.15,7)),2)</f>
        <v>33.84</v>
      </c>
      <c r="DC137">
        <f>ROUND((ROUND(AT137*AG137,2)*ROUND(1.15,7)),2)</f>
        <v>0</v>
      </c>
    </row>
    <row r="138" spans="1:107" ht="12.75">
      <c r="A138">
        <f>ROW(Source!A117)</f>
        <v>117</v>
      </c>
      <c r="B138">
        <v>55454918</v>
      </c>
      <c r="C138">
        <v>55455282</v>
      </c>
      <c r="D138">
        <v>53630257</v>
      </c>
      <c r="E138">
        <v>70</v>
      </c>
      <c r="F138">
        <v>1</v>
      </c>
      <c r="G138">
        <v>1</v>
      </c>
      <c r="H138">
        <v>1</v>
      </c>
      <c r="I138" t="s">
        <v>316</v>
      </c>
      <c r="K138" t="s">
        <v>317</v>
      </c>
      <c r="L138">
        <v>1191</v>
      </c>
      <c r="N138">
        <v>1013</v>
      </c>
      <c r="O138" t="s">
        <v>313</v>
      </c>
      <c r="P138" t="s">
        <v>313</v>
      </c>
      <c r="Q138">
        <v>1</v>
      </c>
      <c r="W138">
        <v>0</v>
      </c>
      <c r="X138">
        <v>-1417349443</v>
      </c>
      <c r="Y138">
        <v>0.025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0.02</v>
      </c>
      <c r="AU138" t="s">
        <v>73</v>
      </c>
      <c r="AV138">
        <v>2</v>
      </c>
      <c r="AW138">
        <v>2</v>
      </c>
      <c r="AX138">
        <v>55455288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Y138*Source!I117</f>
        <v>0.0825</v>
      </c>
      <c r="CY138">
        <f>AD138</f>
        <v>0</v>
      </c>
      <c r="CZ138">
        <f>AH138</f>
        <v>0</v>
      </c>
      <c r="DA138">
        <f>AL138</f>
        <v>1</v>
      </c>
      <c r="DB138">
        <f>ROUND((ROUND(AT138*CZ138,2)*ROUND(1.25,7)),2)</f>
        <v>0</v>
      </c>
      <c r="DC138">
        <f>ROUND((ROUND(AT138*AG138,2)*ROUND(1.25,7)),2)</f>
        <v>0</v>
      </c>
    </row>
    <row r="139" spans="1:107" ht="12.75">
      <c r="A139">
        <f>ROW(Source!A117)</f>
        <v>117</v>
      </c>
      <c r="B139">
        <v>55454918</v>
      </c>
      <c r="C139">
        <v>55455282</v>
      </c>
      <c r="D139">
        <v>53792927</v>
      </c>
      <c r="E139">
        <v>1</v>
      </c>
      <c r="F139">
        <v>1</v>
      </c>
      <c r="G139">
        <v>1</v>
      </c>
      <c r="H139">
        <v>2</v>
      </c>
      <c r="I139" t="s">
        <v>322</v>
      </c>
      <c r="J139" t="s">
        <v>323</v>
      </c>
      <c r="K139" t="s">
        <v>324</v>
      </c>
      <c r="L139">
        <v>1367</v>
      </c>
      <c r="N139">
        <v>1011</v>
      </c>
      <c r="O139" t="s">
        <v>321</v>
      </c>
      <c r="P139" t="s">
        <v>321</v>
      </c>
      <c r="Q139">
        <v>1</v>
      </c>
      <c r="W139">
        <v>0</v>
      </c>
      <c r="X139">
        <v>509054691</v>
      </c>
      <c r="Y139">
        <v>0.025</v>
      </c>
      <c r="AA139">
        <v>0</v>
      </c>
      <c r="AB139">
        <v>65.71</v>
      </c>
      <c r="AC139">
        <v>11.6</v>
      </c>
      <c r="AD139">
        <v>0</v>
      </c>
      <c r="AE139">
        <v>0</v>
      </c>
      <c r="AF139">
        <v>65.71</v>
      </c>
      <c r="AG139">
        <v>11.6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0.02</v>
      </c>
      <c r="AU139" t="s">
        <v>73</v>
      </c>
      <c r="AV139">
        <v>0</v>
      </c>
      <c r="AW139">
        <v>2</v>
      </c>
      <c r="AX139">
        <v>55455289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Y139*Source!I117</f>
        <v>0.0825</v>
      </c>
      <c r="CY139">
        <f>AB139</f>
        <v>65.71</v>
      </c>
      <c r="CZ139">
        <f>AF139</f>
        <v>65.71</v>
      </c>
      <c r="DA139">
        <f>AJ139</f>
        <v>1</v>
      </c>
      <c r="DB139">
        <f>ROUND((ROUND(AT139*CZ139,2)*ROUND(1.25,7)),2)</f>
        <v>1.64</v>
      </c>
      <c r="DC139">
        <f>ROUND((ROUND(AT139*AG139,2)*ROUND(1.25,7)),2)</f>
        <v>0.29</v>
      </c>
    </row>
    <row r="140" spans="1:107" ht="12.75">
      <c r="A140">
        <f>ROW(Source!A117)</f>
        <v>117</v>
      </c>
      <c r="B140">
        <v>55454918</v>
      </c>
      <c r="C140">
        <v>55455282</v>
      </c>
      <c r="D140">
        <v>53643036</v>
      </c>
      <c r="E140">
        <v>1</v>
      </c>
      <c r="F140">
        <v>1</v>
      </c>
      <c r="G140">
        <v>1</v>
      </c>
      <c r="H140">
        <v>3</v>
      </c>
      <c r="I140" t="s">
        <v>388</v>
      </c>
      <c r="J140" t="s">
        <v>389</v>
      </c>
      <c r="K140" t="s">
        <v>390</v>
      </c>
      <c r="L140">
        <v>1327</v>
      </c>
      <c r="N140">
        <v>1005</v>
      </c>
      <c r="O140" t="s">
        <v>106</v>
      </c>
      <c r="P140" t="s">
        <v>106</v>
      </c>
      <c r="Q140">
        <v>1</v>
      </c>
      <c r="W140">
        <v>0</v>
      </c>
      <c r="X140">
        <v>587435244</v>
      </c>
      <c r="Y140">
        <v>122.4</v>
      </c>
      <c r="AA140">
        <v>12.19</v>
      </c>
      <c r="AB140">
        <v>0</v>
      </c>
      <c r="AC140">
        <v>0</v>
      </c>
      <c r="AD140">
        <v>0</v>
      </c>
      <c r="AE140">
        <v>12.19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122.4</v>
      </c>
      <c r="AV140">
        <v>0</v>
      </c>
      <c r="AW140">
        <v>2</v>
      </c>
      <c r="AX140">
        <v>55455290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Y140*Source!I117</f>
        <v>403.92</v>
      </c>
      <c r="CY140">
        <f>AA140</f>
        <v>12.19</v>
      </c>
      <c r="CZ140">
        <f>AE140</f>
        <v>12.19</v>
      </c>
      <c r="DA140">
        <f>AI140</f>
        <v>1</v>
      </c>
      <c r="DB140">
        <f>ROUND(ROUND(AT140*CZ140,2),2)</f>
        <v>1492.06</v>
      </c>
      <c r="DC140">
        <f>ROUND(ROUND(AT140*AG140,2),2)</f>
        <v>0</v>
      </c>
    </row>
    <row r="141" spans="1:107" ht="12.75">
      <c r="A141">
        <f>ROW(Source!A118)</f>
        <v>118</v>
      </c>
      <c r="B141">
        <v>55454919</v>
      </c>
      <c r="C141">
        <v>55455282</v>
      </c>
      <c r="D141">
        <v>53630067</v>
      </c>
      <c r="E141">
        <v>70</v>
      </c>
      <c r="F141">
        <v>1</v>
      </c>
      <c r="G141">
        <v>1</v>
      </c>
      <c r="H141">
        <v>1</v>
      </c>
      <c r="I141" t="s">
        <v>345</v>
      </c>
      <c r="K141" t="s">
        <v>346</v>
      </c>
      <c r="L141">
        <v>1191</v>
      </c>
      <c r="N141">
        <v>1013</v>
      </c>
      <c r="O141" t="s">
        <v>313</v>
      </c>
      <c r="P141" t="s">
        <v>313</v>
      </c>
      <c r="Q141">
        <v>1</v>
      </c>
      <c r="W141">
        <v>0</v>
      </c>
      <c r="X141">
        <v>1049124552</v>
      </c>
      <c r="Y141">
        <v>3.9675</v>
      </c>
      <c r="AA141">
        <v>0</v>
      </c>
      <c r="AB141">
        <v>0</v>
      </c>
      <c r="AC141">
        <v>0</v>
      </c>
      <c r="AD141">
        <v>311.09</v>
      </c>
      <c r="AE141">
        <v>0</v>
      </c>
      <c r="AF141">
        <v>0</v>
      </c>
      <c r="AG141">
        <v>0</v>
      </c>
      <c r="AH141">
        <v>8.53</v>
      </c>
      <c r="AI141">
        <v>1</v>
      </c>
      <c r="AJ141">
        <v>1</v>
      </c>
      <c r="AK141">
        <v>1</v>
      </c>
      <c r="AL141">
        <v>36.47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3.45</v>
      </c>
      <c r="AU141" t="s">
        <v>74</v>
      </c>
      <c r="AV141">
        <v>1</v>
      </c>
      <c r="AW141">
        <v>2</v>
      </c>
      <c r="AX141">
        <v>55455287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Y141*Source!I118</f>
        <v>13.092749999999999</v>
      </c>
      <c r="CY141">
        <f>AD141</f>
        <v>311.09</v>
      </c>
      <c r="CZ141">
        <f>AH141</f>
        <v>8.53</v>
      </c>
      <c r="DA141">
        <f>AL141</f>
        <v>36.47</v>
      </c>
      <c r="DB141">
        <f>ROUND((ROUND(AT141*CZ141,2)*ROUND(1.15,7)),2)</f>
        <v>33.84</v>
      </c>
      <c r="DC141">
        <f>ROUND((ROUND(AT141*AG141,2)*ROUND(1.15,7)),2)</f>
        <v>0</v>
      </c>
    </row>
    <row r="142" spans="1:107" ht="12.75">
      <c r="A142">
        <f>ROW(Source!A118)</f>
        <v>118</v>
      </c>
      <c r="B142">
        <v>55454919</v>
      </c>
      <c r="C142">
        <v>55455282</v>
      </c>
      <c r="D142">
        <v>53630257</v>
      </c>
      <c r="E142">
        <v>70</v>
      </c>
      <c r="F142">
        <v>1</v>
      </c>
      <c r="G142">
        <v>1</v>
      </c>
      <c r="H142">
        <v>1</v>
      </c>
      <c r="I142" t="s">
        <v>316</v>
      </c>
      <c r="K142" t="s">
        <v>317</v>
      </c>
      <c r="L142">
        <v>1191</v>
      </c>
      <c r="N142">
        <v>1013</v>
      </c>
      <c r="O142" t="s">
        <v>313</v>
      </c>
      <c r="P142" t="s">
        <v>313</v>
      </c>
      <c r="Q142">
        <v>1</v>
      </c>
      <c r="W142">
        <v>0</v>
      </c>
      <c r="X142">
        <v>-1417349443</v>
      </c>
      <c r="Y142">
        <v>0.025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36.47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0.02</v>
      </c>
      <c r="AU142" t="s">
        <v>73</v>
      </c>
      <c r="AV142">
        <v>2</v>
      </c>
      <c r="AW142">
        <v>2</v>
      </c>
      <c r="AX142">
        <v>55455288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Y142*Source!I118</f>
        <v>0.0825</v>
      </c>
      <c r="CY142">
        <f>AD142</f>
        <v>0</v>
      </c>
      <c r="CZ142">
        <f>AH142</f>
        <v>0</v>
      </c>
      <c r="DA142">
        <f>AL142</f>
        <v>1</v>
      </c>
      <c r="DB142">
        <f>ROUND((ROUND(AT142*CZ142,2)*ROUND(1.25,7)),2)</f>
        <v>0</v>
      </c>
      <c r="DC142">
        <f>ROUND((ROUND(AT142*AG142,2)*ROUND(1.25,7)),2)</f>
        <v>0</v>
      </c>
    </row>
    <row r="143" spans="1:107" ht="12.75">
      <c r="A143">
        <f>ROW(Source!A118)</f>
        <v>118</v>
      </c>
      <c r="B143">
        <v>55454919</v>
      </c>
      <c r="C143">
        <v>55455282</v>
      </c>
      <c r="D143">
        <v>53792927</v>
      </c>
      <c r="E143">
        <v>1</v>
      </c>
      <c r="F143">
        <v>1</v>
      </c>
      <c r="G143">
        <v>1</v>
      </c>
      <c r="H143">
        <v>2</v>
      </c>
      <c r="I143" t="s">
        <v>322</v>
      </c>
      <c r="J143" t="s">
        <v>323</v>
      </c>
      <c r="K143" t="s">
        <v>324</v>
      </c>
      <c r="L143">
        <v>1367</v>
      </c>
      <c r="N143">
        <v>1011</v>
      </c>
      <c r="O143" t="s">
        <v>321</v>
      </c>
      <c r="P143" t="s">
        <v>321</v>
      </c>
      <c r="Q143">
        <v>1</v>
      </c>
      <c r="W143">
        <v>0</v>
      </c>
      <c r="X143">
        <v>509054691</v>
      </c>
      <c r="Y143">
        <v>0.025</v>
      </c>
      <c r="AA143">
        <v>0</v>
      </c>
      <c r="AB143">
        <v>852.26</v>
      </c>
      <c r="AC143">
        <v>423.05</v>
      </c>
      <c r="AD143">
        <v>0</v>
      </c>
      <c r="AE143">
        <v>0</v>
      </c>
      <c r="AF143">
        <v>65.71</v>
      </c>
      <c r="AG143">
        <v>11.6</v>
      </c>
      <c r="AH143">
        <v>0</v>
      </c>
      <c r="AI143">
        <v>1</v>
      </c>
      <c r="AJ143">
        <v>12.97</v>
      </c>
      <c r="AK143">
        <v>36.47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0.02</v>
      </c>
      <c r="AU143" t="s">
        <v>73</v>
      </c>
      <c r="AV143">
        <v>0</v>
      </c>
      <c r="AW143">
        <v>2</v>
      </c>
      <c r="AX143">
        <v>55455289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Y143*Source!I118</f>
        <v>0.0825</v>
      </c>
      <c r="CY143">
        <f>AB143</f>
        <v>852.26</v>
      </c>
      <c r="CZ143">
        <f>AF143</f>
        <v>65.71</v>
      </c>
      <c r="DA143">
        <f>AJ143</f>
        <v>12.97</v>
      </c>
      <c r="DB143">
        <f>ROUND((ROUND(AT143*CZ143,2)*ROUND(1.25,7)),2)</f>
        <v>1.64</v>
      </c>
      <c r="DC143">
        <f>ROUND((ROUND(AT143*AG143,2)*ROUND(1.25,7)),2)</f>
        <v>0.29</v>
      </c>
    </row>
    <row r="144" spans="1:107" ht="12.75">
      <c r="A144">
        <f>ROW(Source!A118)</f>
        <v>118</v>
      </c>
      <c r="B144">
        <v>55454919</v>
      </c>
      <c r="C144">
        <v>55455282</v>
      </c>
      <c r="D144">
        <v>53643036</v>
      </c>
      <c r="E144">
        <v>1</v>
      </c>
      <c r="F144">
        <v>1</v>
      </c>
      <c r="G144">
        <v>1</v>
      </c>
      <c r="H144">
        <v>3</v>
      </c>
      <c r="I144" t="s">
        <v>388</v>
      </c>
      <c r="J144" t="s">
        <v>389</v>
      </c>
      <c r="K144" t="s">
        <v>390</v>
      </c>
      <c r="L144">
        <v>1327</v>
      </c>
      <c r="N144">
        <v>1005</v>
      </c>
      <c r="O144" t="s">
        <v>106</v>
      </c>
      <c r="P144" t="s">
        <v>106</v>
      </c>
      <c r="Q144">
        <v>1</v>
      </c>
      <c r="W144">
        <v>0</v>
      </c>
      <c r="X144">
        <v>587435244</v>
      </c>
      <c r="Y144">
        <v>122.4</v>
      </c>
      <c r="AA144">
        <v>83.14</v>
      </c>
      <c r="AB144">
        <v>0</v>
      </c>
      <c r="AC144">
        <v>0</v>
      </c>
      <c r="AD144">
        <v>0</v>
      </c>
      <c r="AE144">
        <v>12.19</v>
      </c>
      <c r="AF144">
        <v>0</v>
      </c>
      <c r="AG144">
        <v>0</v>
      </c>
      <c r="AH144">
        <v>0</v>
      </c>
      <c r="AI144">
        <v>6.82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122.4</v>
      </c>
      <c r="AV144">
        <v>0</v>
      </c>
      <c r="AW144">
        <v>2</v>
      </c>
      <c r="AX144">
        <v>55455290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Y144*Source!I118</f>
        <v>403.92</v>
      </c>
      <c r="CY144">
        <f>AA144</f>
        <v>83.14</v>
      </c>
      <c r="CZ144">
        <f>AE144</f>
        <v>12.19</v>
      </c>
      <c r="DA144">
        <f>AI144</f>
        <v>6.82</v>
      </c>
      <c r="DB144">
        <f aca="true" t="shared" si="12" ref="DB144:DB150">ROUND(ROUND(AT144*CZ144,2),2)</f>
        <v>1492.06</v>
      </c>
      <c r="DC144">
        <f aca="true" t="shared" si="13" ref="DC144:DC150">ROUND(ROUND(AT144*AG144,2),2)</f>
        <v>0</v>
      </c>
    </row>
    <row r="145" spans="1:107" ht="12.75">
      <c r="A145">
        <f>ROW(Source!A119)</f>
        <v>119</v>
      </c>
      <c r="B145">
        <v>55454918</v>
      </c>
      <c r="C145">
        <v>55455291</v>
      </c>
      <c r="D145">
        <v>37822859</v>
      </c>
      <c r="E145">
        <v>1</v>
      </c>
      <c r="F145">
        <v>1</v>
      </c>
      <c r="G145">
        <v>1</v>
      </c>
      <c r="H145">
        <v>1</v>
      </c>
      <c r="I145" t="s">
        <v>391</v>
      </c>
      <c r="K145" t="s">
        <v>392</v>
      </c>
      <c r="L145">
        <v>1191</v>
      </c>
      <c r="N145">
        <v>1013</v>
      </c>
      <c r="O145" t="s">
        <v>313</v>
      </c>
      <c r="P145" t="s">
        <v>313</v>
      </c>
      <c r="Q145">
        <v>1</v>
      </c>
      <c r="W145">
        <v>0</v>
      </c>
      <c r="X145">
        <v>-2033067419</v>
      </c>
      <c r="Y145">
        <v>214.32</v>
      </c>
      <c r="AA145">
        <v>0</v>
      </c>
      <c r="AB145">
        <v>0</v>
      </c>
      <c r="AC145">
        <v>0</v>
      </c>
      <c r="AD145">
        <v>7.25</v>
      </c>
      <c r="AE145">
        <v>0</v>
      </c>
      <c r="AF145">
        <v>0</v>
      </c>
      <c r="AG145">
        <v>0</v>
      </c>
      <c r="AH145">
        <v>7.25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214.32</v>
      </c>
      <c r="AV145">
        <v>1</v>
      </c>
      <c r="AW145">
        <v>2</v>
      </c>
      <c r="AX145">
        <v>55455294</v>
      </c>
      <c r="AY145">
        <v>1</v>
      </c>
      <c r="AZ145">
        <v>6144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Y145*Source!I119</f>
        <v>61.874184</v>
      </c>
      <c r="CY145">
        <f>AD145</f>
        <v>7.25</v>
      </c>
      <c r="CZ145">
        <f>AH145</f>
        <v>7.25</v>
      </c>
      <c r="DA145">
        <f>AL145</f>
        <v>1</v>
      </c>
      <c r="DB145">
        <f t="shared" si="12"/>
        <v>1553.82</v>
      </c>
      <c r="DC145">
        <f t="shared" si="13"/>
        <v>0</v>
      </c>
    </row>
    <row r="146" spans="1:107" ht="12.75">
      <c r="A146">
        <f>ROW(Source!A119)</f>
        <v>119</v>
      </c>
      <c r="B146">
        <v>55454918</v>
      </c>
      <c r="C146">
        <v>55455291</v>
      </c>
      <c r="D146">
        <v>0</v>
      </c>
      <c r="E146">
        <v>1</v>
      </c>
      <c r="F146">
        <v>1</v>
      </c>
      <c r="G146">
        <v>1</v>
      </c>
      <c r="H146">
        <v>3</v>
      </c>
      <c r="I146" t="s">
        <v>217</v>
      </c>
      <c r="K146" t="s">
        <v>33</v>
      </c>
      <c r="L146">
        <v>1348</v>
      </c>
      <c r="N146">
        <v>1009</v>
      </c>
      <c r="O146" t="s">
        <v>34</v>
      </c>
      <c r="P146" t="s">
        <v>34</v>
      </c>
      <c r="Q146">
        <v>1000</v>
      </c>
      <c r="W146">
        <v>0</v>
      </c>
      <c r="X146">
        <v>-179832266</v>
      </c>
      <c r="Y146">
        <v>100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T146">
        <v>100</v>
      </c>
      <c r="AV146">
        <v>0</v>
      </c>
      <c r="AW146">
        <v>1</v>
      </c>
      <c r="AX146">
        <v>-1</v>
      </c>
      <c r="AY146">
        <v>0</v>
      </c>
      <c r="AZ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Y146*Source!I119</f>
        <v>28.87</v>
      </c>
      <c r="CY146">
        <f>AA146</f>
        <v>0</v>
      </c>
      <c r="CZ146">
        <f>AE146</f>
        <v>0</v>
      </c>
      <c r="DA146">
        <f>AI146</f>
        <v>1</v>
      </c>
      <c r="DB146">
        <f t="shared" si="12"/>
        <v>0</v>
      </c>
      <c r="DC146">
        <f t="shared" si="13"/>
        <v>0</v>
      </c>
    </row>
    <row r="147" spans="1:107" ht="12.75">
      <c r="A147">
        <f>ROW(Source!A120)</f>
        <v>120</v>
      </c>
      <c r="B147">
        <v>55454919</v>
      </c>
      <c r="C147">
        <v>55455291</v>
      </c>
      <c r="D147">
        <v>37822859</v>
      </c>
      <c r="E147">
        <v>1</v>
      </c>
      <c r="F147">
        <v>1</v>
      </c>
      <c r="G147">
        <v>1</v>
      </c>
      <c r="H147">
        <v>1</v>
      </c>
      <c r="I147" t="s">
        <v>391</v>
      </c>
      <c r="K147" t="s">
        <v>392</v>
      </c>
      <c r="L147">
        <v>1191</v>
      </c>
      <c r="N147">
        <v>1013</v>
      </c>
      <c r="O147" t="s">
        <v>313</v>
      </c>
      <c r="P147" t="s">
        <v>313</v>
      </c>
      <c r="Q147">
        <v>1</v>
      </c>
      <c r="W147">
        <v>0</v>
      </c>
      <c r="X147">
        <v>-2033067419</v>
      </c>
      <c r="Y147">
        <v>214.32</v>
      </c>
      <c r="AA147">
        <v>0</v>
      </c>
      <c r="AB147">
        <v>0</v>
      </c>
      <c r="AC147">
        <v>0</v>
      </c>
      <c r="AD147">
        <v>264.41</v>
      </c>
      <c r="AE147">
        <v>0</v>
      </c>
      <c r="AF147">
        <v>0</v>
      </c>
      <c r="AG147">
        <v>0</v>
      </c>
      <c r="AH147">
        <v>7.25</v>
      </c>
      <c r="AI147">
        <v>1</v>
      </c>
      <c r="AJ147">
        <v>1</v>
      </c>
      <c r="AK147">
        <v>1</v>
      </c>
      <c r="AL147">
        <v>36.47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214.32</v>
      </c>
      <c r="AV147">
        <v>1</v>
      </c>
      <c r="AW147">
        <v>2</v>
      </c>
      <c r="AX147">
        <v>55455294</v>
      </c>
      <c r="AY147">
        <v>1</v>
      </c>
      <c r="AZ147">
        <v>6144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Y147*Source!I120</f>
        <v>61.874184</v>
      </c>
      <c r="CY147">
        <f>AD147</f>
        <v>264.41</v>
      </c>
      <c r="CZ147">
        <f>AH147</f>
        <v>7.25</v>
      </c>
      <c r="DA147">
        <f>AL147</f>
        <v>36.47</v>
      </c>
      <c r="DB147">
        <f t="shared" si="12"/>
        <v>1553.82</v>
      </c>
      <c r="DC147">
        <f t="shared" si="13"/>
        <v>0</v>
      </c>
    </row>
    <row r="148" spans="1:107" ht="12.75">
      <c r="A148">
        <f>ROW(Source!A120)</f>
        <v>120</v>
      </c>
      <c r="B148">
        <v>55454919</v>
      </c>
      <c r="C148">
        <v>55455291</v>
      </c>
      <c r="D148">
        <v>0</v>
      </c>
      <c r="E148">
        <v>1</v>
      </c>
      <c r="F148">
        <v>1</v>
      </c>
      <c r="G148">
        <v>1</v>
      </c>
      <c r="H148">
        <v>3</v>
      </c>
      <c r="I148" t="s">
        <v>217</v>
      </c>
      <c r="K148" t="s">
        <v>33</v>
      </c>
      <c r="L148">
        <v>1348</v>
      </c>
      <c r="N148">
        <v>1009</v>
      </c>
      <c r="O148" t="s">
        <v>34</v>
      </c>
      <c r="P148" t="s">
        <v>34</v>
      </c>
      <c r="Q148">
        <v>1000</v>
      </c>
      <c r="W148">
        <v>0</v>
      </c>
      <c r="X148">
        <v>-179832266</v>
      </c>
      <c r="Y148">
        <v>100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6.82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T148">
        <v>100</v>
      </c>
      <c r="AV148">
        <v>0</v>
      </c>
      <c r="AW148">
        <v>1</v>
      </c>
      <c r="AX148">
        <v>-1</v>
      </c>
      <c r="AY148">
        <v>0</v>
      </c>
      <c r="AZ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Y148*Source!I120</f>
        <v>28.87</v>
      </c>
      <c r="CY148">
        <f>AA148</f>
        <v>0</v>
      </c>
      <c r="CZ148">
        <f>AE148</f>
        <v>0</v>
      </c>
      <c r="DA148">
        <f>AI148</f>
        <v>6.82</v>
      </c>
      <c r="DB148">
        <f t="shared" si="12"/>
        <v>0</v>
      </c>
      <c r="DC148">
        <f t="shared" si="13"/>
        <v>0</v>
      </c>
    </row>
    <row r="149" spans="1:107" ht="12.75">
      <c r="A149">
        <f>ROW(Source!A123)</f>
        <v>123</v>
      </c>
      <c r="B149">
        <v>55454918</v>
      </c>
      <c r="C149">
        <v>55455297</v>
      </c>
      <c r="D149">
        <v>37822857</v>
      </c>
      <c r="E149">
        <v>1</v>
      </c>
      <c r="F149">
        <v>1</v>
      </c>
      <c r="G149">
        <v>1</v>
      </c>
      <c r="H149">
        <v>1</v>
      </c>
      <c r="I149" t="s">
        <v>393</v>
      </c>
      <c r="K149" t="s">
        <v>394</v>
      </c>
      <c r="L149">
        <v>1191</v>
      </c>
      <c r="N149">
        <v>1013</v>
      </c>
      <c r="O149" t="s">
        <v>313</v>
      </c>
      <c r="P149" t="s">
        <v>313</v>
      </c>
      <c r="Q149">
        <v>1</v>
      </c>
      <c r="W149">
        <v>0</v>
      </c>
      <c r="X149">
        <v>-576067263</v>
      </c>
      <c r="Y149">
        <v>1.03</v>
      </c>
      <c r="AA149">
        <v>0</v>
      </c>
      <c r="AB149">
        <v>0</v>
      </c>
      <c r="AC149">
        <v>0</v>
      </c>
      <c r="AD149">
        <v>7.19</v>
      </c>
      <c r="AE149">
        <v>0</v>
      </c>
      <c r="AF149">
        <v>0</v>
      </c>
      <c r="AG149">
        <v>0</v>
      </c>
      <c r="AH149">
        <v>7.19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1.03</v>
      </c>
      <c r="AV149">
        <v>1</v>
      </c>
      <c r="AW149">
        <v>2</v>
      </c>
      <c r="AX149">
        <v>55455299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Y149*Source!I123</f>
        <v>29.7361</v>
      </c>
      <c r="CY149">
        <f>AD149</f>
        <v>7.19</v>
      </c>
      <c r="CZ149">
        <f>AH149</f>
        <v>7.19</v>
      </c>
      <c r="DA149">
        <f>AL149</f>
        <v>1</v>
      </c>
      <c r="DB149">
        <f t="shared" si="12"/>
        <v>7.41</v>
      </c>
      <c r="DC149">
        <f t="shared" si="13"/>
        <v>0</v>
      </c>
    </row>
    <row r="150" spans="1:107" ht="12.75">
      <c r="A150">
        <f>ROW(Source!A124)</f>
        <v>124</v>
      </c>
      <c r="B150">
        <v>55454919</v>
      </c>
      <c r="C150">
        <v>55455297</v>
      </c>
      <c r="D150">
        <v>37822857</v>
      </c>
      <c r="E150">
        <v>1</v>
      </c>
      <c r="F150">
        <v>1</v>
      </c>
      <c r="G150">
        <v>1</v>
      </c>
      <c r="H150">
        <v>1</v>
      </c>
      <c r="I150" t="s">
        <v>393</v>
      </c>
      <c r="K150" t="s">
        <v>394</v>
      </c>
      <c r="L150">
        <v>1191</v>
      </c>
      <c r="N150">
        <v>1013</v>
      </c>
      <c r="O150" t="s">
        <v>313</v>
      </c>
      <c r="P150" t="s">
        <v>313</v>
      </c>
      <c r="Q150">
        <v>1</v>
      </c>
      <c r="W150">
        <v>0</v>
      </c>
      <c r="X150">
        <v>-576067263</v>
      </c>
      <c r="Y150">
        <v>1.03</v>
      </c>
      <c r="AA150">
        <v>0</v>
      </c>
      <c r="AB150">
        <v>0</v>
      </c>
      <c r="AC150">
        <v>0</v>
      </c>
      <c r="AD150">
        <v>262.22</v>
      </c>
      <c r="AE150">
        <v>0</v>
      </c>
      <c r="AF150">
        <v>0</v>
      </c>
      <c r="AG150">
        <v>0</v>
      </c>
      <c r="AH150">
        <v>7.19</v>
      </c>
      <c r="AI150">
        <v>1</v>
      </c>
      <c r="AJ150">
        <v>1</v>
      </c>
      <c r="AK150">
        <v>1</v>
      </c>
      <c r="AL150">
        <v>36.47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1.03</v>
      </c>
      <c r="AV150">
        <v>1</v>
      </c>
      <c r="AW150">
        <v>2</v>
      </c>
      <c r="AX150">
        <v>55455299</v>
      </c>
      <c r="AY150">
        <v>1</v>
      </c>
      <c r="AZ150">
        <v>0</v>
      </c>
      <c r="BA150">
        <v>151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Y150*Source!I124</f>
        <v>29.7361</v>
      </c>
      <c r="CY150">
        <f>AD150</f>
        <v>262.22</v>
      </c>
      <c r="CZ150">
        <f>AH150</f>
        <v>7.19</v>
      </c>
      <c r="DA150">
        <f>AL150</f>
        <v>36.47</v>
      </c>
      <c r="DB150">
        <f t="shared" si="12"/>
        <v>7.41</v>
      </c>
      <c r="DC150">
        <f t="shared" si="13"/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55455100</v>
      </c>
      <c r="C1">
        <v>55455097</v>
      </c>
      <c r="D1">
        <v>44800219</v>
      </c>
      <c r="E1">
        <v>54</v>
      </c>
      <c r="F1">
        <v>1</v>
      </c>
      <c r="G1">
        <v>1</v>
      </c>
      <c r="H1">
        <v>1</v>
      </c>
      <c r="I1" t="s">
        <v>311</v>
      </c>
      <c r="K1" t="s">
        <v>312</v>
      </c>
      <c r="L1">
        <v>1191</v>
      </c>
      <c r="N1">
        <v>1013</v>
      </c>
      <c r="O1" t="s">
        <v>313</v>
      </c>
      <c r="P1" t="s">
        <v>313</v>
      </c>
      <c r="Q1">
        <v>1</v>
      </c>
      <c r="X1">
        <v>3.77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G1">
        <v>3.77</v>
      </c>
      <c r="AH1">
        <v>2</v>
      </c>
      <c r="AI1">
        <v>55455098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55455101</v>
      </c>
      <c r="C2">
        <v>55455097</v>
      </c>
      <c r="D2">
        <v>44805115</v>
      </c>
      <c r="E2">
        <v>54</v>
      </c>
      <c r="F2">
        <v>1</v>
      </c>
      <c r="G2">
        <v>1</v>
      </c>
      <c r="H2">
        <v>3</v>
      </c>
      <c r="I2" t="s">
        <v>32</v>
      </c>
      <c r="K2" t="s">
        <v>33</v>
      </c>
      <c r="L2">
        <v>1348</v>
      </c>
      <c r="N2">
        <v>1009</v>
      </c>
      <c r="O2" t="s">
        <v>34</v>
      </c>
      <c r="P2" t="s">
        <v>34</v>
      </c>
      <c r="Q2">
        <v>1000</v>
      </c>
      <c r="X2">
        <v>0.11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G2">
        <v>0.11</v>
      </c>
      <c r="AH2">
        <v>2</v>
      </c>
      <c r="AI2">
        <v>55455099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55455100</v>
      </c>
      <c r="C3">
        <v>55455097</v>
      </c>
      <c r="D3">
        <v>44800219</v>
      </c>
      <c r="E3">
        <v>54</v>
      </c>
      <c r="F3">
        <v>1</v>
      </c>
      <c r="G3">
        <v>1</v>
      </c>
      <c r="H3">
        <v>1</v>
      </c>
      <c r="I3" t="s">
        <v>311</v>
      </c>
      <c r="K3" t="s">
        <v>312</v>
      </c>
      <c r="L3">
        <v>1191</v>
      </c>
      <c r="N3">
        <v>1013</v>
      </c>
      <c r="O3" t="s">
        <v>313</v>
      </c>
      <c r="P3" t="s">
        <v>313</v>
      </c>
      <c r="Q3">
        <v>1</v>
      </c>
      <c r="X3">
        <v>3.77</v>
      </c>
      <c r="Y3">
        <v>0</v>
      </c>
      <c r="Z3">
        <v>0</v>
      </c>
      <c r="AA3">
        <v>0</v>
      </c>
      <c r="AB3">
        <v>7.8</v>
      </c>
      <c r="AC3">
        <v>0</v>
      </c>
      <c r="AD3">
        <v>1</v>
      </c>
      <c r="AE3">
        <v>1</v>
      </c>
      <c r="AG3">
        <v>3.77</v>
      </c>
      <c r="AH3">
        <v>2</v>
      </c>
      <c r="AI3">
        <v>55455098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55455101</v>
      </c>
      <c r="C4">
        <v>55455097</v>
      </c>
      <c r="D4">
        <v>44805115</v>
      </c>
      <c r="E4">
        <v>54</v>
      </c>
      <c r="F4">
        <v>1</v>
      </c>
      <c r="G4">
        <v>1</v>
      </c>
      <c r="H4">
        <v>3</v>
      </c>
      <c r="I4" t="s">
        <v>32</v>
      </c>
      <c r="K4" t="s">
        <v>33</v>
      </c>
      <c r="L4">
        <v>1348</v>
      </c>
      <c r="N4">
        <v>1009</v>
      </c>
      <c r="O4" t="s">
        <v>34</v>
      </c>
      <c r="P4" t="s">
        <v>34</v>
      </c>
      <c r="Q4">
        <v>1000</v>
      </c>
      <c r="X4">
        <v>0.11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G4">
        <v>0.11</v>
      </c>
      <c r="AH4">
        <v>2</v>
      </c>
      <c r="AI4">
        <v>55455099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ROW(Source!A32)</f>
        <v>32</v>
      </c>
      <c r="B5">
        <v>55455114</v>
      </c>
      <c r="C5">
        <v>55455103</v>
      </c>
      <c r="D5">
        <v>53630063</v>
      </c>
      <c r="E5">
        <v>70</v>
      </c>
      <c r="F5">
        <v>1</v>
      </c>
      <c r="G5">
        <v>1</v>
      </c>
      <c r="H5">
        <v>1</v>
      </c>
      <c r="I5" t="s">
        <v>314</v>
      </c>
      <c r="K5" t="s">
        <v>315</v>
      </c>
      <c r="L5">
        <v>1191</v>
      </c>
      <c r="N5">
        <v>1013</v>
      </c>
      <c r="O5" t="s">
        <v>313</v>
      </c>
      <c r="P5" t="s">
        <v>313</v>
      </c>
      <c r="Q5">
        <v>1</v>
      </c>
      <c r="X5">
        <v>57.38</v>
      </c>
      <c r="Y5">
        <v>0</v>
      </c>
      <c r="Z5">
        <v>0</v>
      </c>
      <c r="AA5">
        <v>0</v>
      </c>
      <c r="AB5">
        <v>8.46</v>
      </c>
      <c r="AC5">
        <v>0</v>
      </c>
      <c r="AD5">
        <v>1</v>
      </c>
      <c r="AE5">
        <v>1</v>
      </c>
      <c r="AF5" t="s">
        <v>42</v>
      </c>
      <c r="AG5">
        <v>45.904</v>
      </c>
      <c r="AH5">
        <v>2</v>
      </c>
      <c r="AI5">
        <v>55455104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ROW(Source!A32)</f>
        <v>32</v>
      </c>
      <c r="B6">
        <v>55455115</v>
      </c>
      <c r="C6">
        <v>55455103</v>
      </c>
      <c r="D6">
        <v>53630257</v>
      </c>
      <c r="E6">
        <v>70</v>
      </c>
      <c r="F6">
        <v>1</v>
      </c>
      <c r="G6">
        <v>1</v>
      </c>
      <c r="H6">
        <v>1</v>
      </c>
      <c r="I6" t="s">
        <v>316</v>
      </c>
      <c r="K6" t="s">
        <v>317</v>
      </c>
      <c r="L6">
        <v>1191</v>
      </c>
      <c r="N6">
        <v>1013</v>
      </c>
      <c r="O6" t="s">
        <v>313</v>
      </c>
      <c r="P6" t="s">
        <v>313</v>
      </c>
      <c r="Q6">
        <v>1</v>
      </c>
      <c r="X6">
        <v>0.88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42</v>
      </c>
      <c r="AG6">
        <v>0.7040000000000001</v>
      </c>
      <c r="AH6">
        <v>2</v>
      </c>
      <c r="AI6">
        <v>55455105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ROW(Source!A32)</f>
        <v>32</v>
      </c>
      <c r="B7">
        <v>55455116</v>
      </c>
      <c r="C7">
        <v>55455103</v>
      </c>
      <c r="D7">
        <v>53792191</v>
      </c>
      <c r="E7">
        <v>1</v>
      </c>
      <c r="F7">
        <v>1</v>
      </c>
      <c r="G7">
        <v>1</v>
      </c>
      <c r="H7">
        <v>2</v>
      </c>
      <c r="I7" t="s">
        <v>318</v>
      </c>
      <c r="J7" t="s">
        <v>319</v>
      </c>
      <c r="K7" t="s">
        <v>320</v>
      </c>
      <c r="L7">
        <v>1367</v>
      </c>
      <c r="N7">
        <v>1011</v>
      </c>
      <c r="O7" t="s">
        <v>321</v>
      </c>
      <c r="P7" t="s">
        <v>321</v>
      </c>
      <c r="Q7">
        <v>1</v>
      </c>
      <c r="X7">
        <v>0.11</v>
      </c>
      <c r="Y7">
        <v>0</v>
      </c>
      <c r="Z7">
        <v>31.26</v>
      </c>
      <c r="AA7">
        <v>13.5</v>
      </c>
      <c r="AB7">
        <v>0</v>
      </c>
      <c r="AC7">
        <v>0</v>
      </c>
      <c r="AD7">
        <v>1</v>
      </c>
      <c r="AE7">
        <v>0</v>
      </c>
      <c r="AF7" t="s">
        <v>42</v>
      </c>
      <c r="AG7">
        <v>0.08800000000000001</v>
      </c>
      <c r="AH7">
        <v>2</v>
      </c>
      <c r="AI7">
        <v>55455106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ROW(Source!A32)</f>
        <v>32</v>
      </c>
      <c r="B8">
        <v>55455117</v>
      </c>
      <c r="C8">
        <v>55455103</v>
      </c>
      <c r="D8">
        <v>53792927</v>
      </c>
      <c r="E8">
        <v>1</v>
      </c>
      <c r="F8">
        <v>1</v>
      </c>
      <c r="G8">
        <v>1</v>
      </c>
      <c r="H8">
        <v>2</v>
      </c>
      <c r="I8" t="s">
        <v>322</v>
      </c>
      <c r="J8" t="s">
        <v>323</v>
      </c>
      <c r="K8" t="s">
        <v>324</v>
      </c>
      <c r="L8">
        <v>1367</v>
      </c>
      <c r="N8">
        <v>1011</v>
      </c>
      <c r="O8" t="s">
        <v>321</v>
      </c>
      <c r="P8" t="s">
        <v>321</v>
      </c>
      <c r="Q8">
        <v>1</v>
      </c>
      <c r="X8">
        <v>0.77</v>
      </c>
      <c r="Y8">
        <v>0</v>
      </c>
      <c r="Z8">
        <v>65.71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42</v>
      </c>
      <c r="AG8">
        <v>0.6160000000000001</v>
      </c>
      <c r="AH8">
        <v>2</v>
      </c>
      <c r="AI8">
        <v>55455107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ROW(Source!A32)</f>
        <v>32</v>
      </c>
      <c r="B9">
        <v>55455118</v>
      </c>
      <c r="C9">
        <v>55455103</v>
      </c>
      <c r="D9">
        <v>53793792</v>
      </c>
      <c r="E9">
        <v>1</v>
      </c>
      <c r="F9">
        <v>1</v>
      </c>
      <c r="G9">
        <v>1</v>
      </c>
      <c r="H9">
        <v>2</v>
      </c>
      <c r="I9" t="s">
        <v>325</v>
      </c>
      <c r="J9" t="s">
        <v>326</v>
      </c>
      <c r="K9" t="s">
        <v>327</v>
      </c>
      <c r="L9">
        <v>1367</v>
      </c>
      <c r="N9">
        <v>1011</v>
      </c>
      <c r="O9" t="s">
        <v>321</v>
      </c>
      <c r="P9" t="s">
        <v>321</v>
      </c>
      <c r="Q9">
        <v>1</v>
      </c>
      <c r="X9">
        <v>3.6</v>
      </c>
      <c r="Y9">
        <v>0</v>
      </c>
      <c r="Z9">
        <v>3.29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42</v>
      </c>
      <c r="AG9">
        <v>2.8800000000000003</v>
      </c>
      <c r="AH9">
        <v>2</v>
      </c>
      <c r="AI9">
        <v>55455108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ROW(Source!A32)</f>
        <v>32</v>
      </c>
      <c r="B10">
        <v>55455119</v>
      </c>
      <c r="C10">
        <v>55455103</v>
      </c>
      <c r="D10">
        <v>53643040</v>
      </c>
      <c r="E10">
        <v>1</v>
      </c>
      <c r="F10">
        <v>1</v>
      </c>
      <c r="G10">
        <v>1</v>
      </c>
      <c r="H10">
        <v>3</v>
      </c>
      <c r="I10" t="s">
        <v>328</v>
      </c>
      <c r="J10" t="s">
        <v>329</v>
      </c>
      <c r="K10" t="s">
        <v>330</v>
      </c>
      <c r="L10">
        <v>1327</v>
      </c>
      <c r="N10">
        <v>1005</v>
      </c>
      <c r="O10" t="s">
        <v>106</v>
      </c>
      <c r="P10" t="s">
        <v>106</v>
      </c>
      <c r="Q10">
        <v>1</v>
      </c>
      <c r="X10">
        <v>50</v>
      </c>
      <c r="Y10">
        <v>1.94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41</v>
      </c>
      <c r="AG10">
        <v>0</v>
      </c>
      <c r="AH10">
        <v>2</v>
      </c>
      <c r="AI10">
        <v>55455109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ROW(Source!A32)</f>
        <v>32</v>
      </c>
      <c r="B11">
        <v>55455120</v>
      </c>
      <c r="C11">
        <v>55455103</v>
      </c>
      <c r="D11">
        <v>53646032</v>
      </c>
      <c r="E11">
        <v>1</v>
      </c>
      <c r="F11">
        <v>1</v>
      </c>
      <c r="G11">
        <v>1</v>
      </c>
      <c r="H11">
        <v>3</v>
      </c>
      <c r="I11" t="s">
        <v>331</v>
      </c>
      <c r="J11" t="s">
        <v>332</v>
      </c>
      <c r="K11" t="s">
        <v>333</v>
      </c>
      <c r="L11">
        <v>1346</v>
      </c>
      <c r="N11">
        <v>1009</v>
      </c>
      <c r="O11" t="s">
        <v>85</v>
      </c>
      <c r="P11" t="s">
        <v>85</v>
      </c>
      <c r="Q11">
        <v>1</v>
      </c>
      <c r="X11">
        <v>0.5</v>
      </c>
      <c r="Y11">
        <v>1.82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41</v>
      </c>
      <c r="AG11">
        <v>0</v>
      </c>
      <c r="AH11">
        <v>2</v>
      </c>
      <c r="AI11">
        <v>55455110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ROW(Source!A32)</f>
        <v>32</v>
      </c>
      <c r="B12">
        <v>55455121</v>
      </c>
      <c r="C12">
        <v>55455103</v>
      </c>
      <c r="D12">
        <v>53646910</v>
      </c>
      <c r="E12">
        <v>1</v>
      </c>
      <c r="F12">
        <v>1</v>
      </c>
      <c r="G12">
        <v>1</v>
      </c>
      <c r="H12">
        <v>3</v>
      </c>
      <c r="I12" t="s">
        <v>334</v>
      </c>
      <c r="J12" t="s">
        <v>335</v>
      </c>
      <c r="K12" t="s">
        <v>336</v>
      </c>
      <c r="L12">
        <v>1348</v>
      </c>
      <c r="N12">
        <v>1009</v>
      </c>
      <c r="O12" t="s">
        <v>34</v>
      </c>
      <c r="P12" t="s">
        <v>34</v>
      </c>
      <c r="Q12">
        <v>1000</v>
      </c>
      <c r="X12">
        <v>0.16</v>
      </c>
      <c r="Y12">
        <v>257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41</v>
      </c>
      <c r="AG12">
        <v>0</v>
      </c>
      <c r="AH12">
        <v>2</v>
      </c>
      <c r="AI12">
        <v>55455111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ROW(Source!A32)</f>
        <v>32</v>
      </c>
      <c r="B13">
        <v>55455122</v>
      </c>
      <c r="C13">
        <v>55455103</v>
      </c>
      <c r="D13">
        <v>53647957</v>
      </c>
      <c r="E13">
        <v>1</v>
      </c>
      <c r="F13">
        <v>1</v>
      </c>
      <c r="G13">
        <v>1</v>
      </c>
      <c r="H13">
        <v>3</v>
      </c>
      <c r="I13" t="s">
        <v>337</v>
      </c>
      <c r="J13" t="s">
        <v>338</v>
      </c>
      <c r="K13" t="s">
        <v>339</v>
      </c>
      <c r="L13">
        <v>1346</v>
      </c>
      <c r="N13">
        <v>1009</v>
      </c>
      <c r="O13" t="s">
        <v>85</v>
      </c>
      <c r="P13" t="s">
        <v>85</v>
      </c>
      <c r="Q13">
        <v>1</v>
      </c>
      <c r="X13">
        <v>572</v>
      </c>
      <c r="Y13">
        <v>50.19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41</v>
      </c>
      <c r="AG13">
        <v>0</v>
      </c>
      <c r="AH13">
        <v>2</v>
      </c>
      <c r="AI13">
        <v>55455112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ROW(Source!A32)</f>
        <v>32</v>
      </c>
      <c r="B14">
        <v>55455123</v>
      </c>
      <c r="C14">
        <v>55455103</v>
      </c>
      <c r="D14">
        <v>53633288</v>
      </c>
      <c r="E14">
        <v>70</v>
      </c>
      <c r="F14">
        <v>1</v>
      </c>
      <c r="G14">
        <v>1</v>
      </c>
      <c r="H14">
        <v>3</v>
      </c>
      <c r="I14" t="s">
        <v>395</v>
      </c>
      <c r="K14" t="s">
        <v>396</v>
      </c>
      <c r="L14">
        <v>1348</v>
      </c>
      <c r="N14">
        <v>1009</v>
      </c>
      <c r="O14" t="s">
        <v>34</v>
      </c>
      <c r="P14" t="s">
        <v>34</v>
      </c>
      <c r="Q14">
        <v>1000</v>
      </c>
      <c r="X14">
        <v>0.04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 t="s">
        <v>41</v>
      </c>
      <c r="AG14">
        <v>0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ROW(Source!A32)</f>
        <v>32</v>
      </c>
      <c r="B15">
        <v>55455124</v>
      </c>
      <c r="C15">
        <v>55455103</v>
      </c>
      <c r="D15">
        <v>53674799</v>
      </c>
      <c r="E15">
        <v>1</v>
      </c>
      <c r="F15">
        <v>1</v>
      </c>
      <c r="G15">
        <v>1</v>
      </c>
      <c r="H15">
        <v>3</v>
      </c>
      <c r="I15" t="s">
        <v>340</v>
      </c>
      <c r="J15" t="s">
        <v>341</v>
      </c>
      <c r="K15" t="s">
        <v>342</v>
      </c>
      <c r="L15">
        <v>1296</v>
      </c>
      <c r="N15">
        <v>1002</v>
      </c>
      <c r="O15" t="s">
        <v>343</v>
      </c>
      <c r="P15" t="s">
        <v>343</v>
      </c>
      <c r="Q15">
        <v>1</v>
      </c>
      <c r="X15">
        <v>0.2</v>
      </c>
      <c r="Y15">
        <v>71.7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41</v>
      </c>
      <c r="AG15">
        <v>0</v>
      </c>
      <c r="AH15">
        <v>2</v>
      </c>
      <c r="AI15">
        <v>55455113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ROW(Source!A33)</f>
        <v>33</v>
      </c>
      <c r="B16">
        <v>55455114</v>
      </c>
      <c r="C16">
        <v>55455103</v>
      </c>
      <c r="D16">
        <v>53630063</v>
      </c>
      <c r="E16">
        <v>70</v>
      </c>
      <c r="F16">
        <v>1</v>
      </c>
      <c r="G16">
        <v>1</v>
      </c>
      <c r="H16">
        <v>1</v>
      </c>
      <c r="I16" t="s">
        <v>314</v>
      </c>
      <c r="K16" t="s">
        <v>315</v>
      </c>
      <c r="L16">
        <v>1191</v>
      </c>
      <c r="N16">
        <v>1013</v>
      </c>
      <c r="O16" t="s">
        <v>313</v>
      </c>
      <c r="P16" t="s">
        <v>313</v>
      </c>
      <c r="Q16">
        <v>1</v>
      </c>
      <c r="X16">
        <v>57.38</v>
      </c>
      <c r="Y16">
        <v>0</v>
      </c>
      <c r="Z16">
        <v>0</v>
      </c>
      <c r="AA16">
        <v>0</v>
      </c>
      <c r="AB16">
        <v>8.46</v>
      </c>
      <c r="AC16">
        <v>0</v>
      </c>
      <c r="AD16">
        <v>1</v>
      </c>
      <c r="AE16">
        <v>1</v>
      </c>
      <c r="AF16" t="s">
        <v>42</v>
      </c>
      <c r="AG16">
        <v>45.904</v>
      </c>
      <c r="AH16">
        <v>2</v>
      </c>
      <c r="AI16">
        <v>55455104</v>
      </c>
      <c r="AJ16">
        <v>15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ROW(Source!A33)</f>
        <v>33</v>
      </c>
      <c r="B17">
        <v>55455115</v>
      </c>
      <c r="C17">
        <v>55455103</v>
      </c>
      <c r="D17">
        <v>53630257</v>
      </c>
      <c r="E17">
        <v>70</v>
      </c>
      <c r="F17">
        <v>1</v>
      </c>
      <c r="G17">
        <v>1</v>
      </c>
      <c r="H17">
        <v>1</v>
      </c>
      <c r="I17" t="s">
        <v>316</v>
      </c>
      <c r="K17" t="s">
        <v>317</v>
      </c>
      <c r="L17">
        <v>1191</v>
      </c>
      <c r="N17">
        <v>1013</v>
      </c>
      <c r="O17" t="s">
        <v>313</v>
      </c>
      <c r="P17" t="s">
        <v>313</v>
      </c>
      <c r="Q17">
        <v>1</v>
      </c>
      <c r="X17">
        <v>0.88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42</v>
      </c>
      <c r="AG17">
        <v>0.7040000000000001</v>
      </c>
      <c r="AH17">
        <v>2</v>
      </c>
      <c r="AI17">
        <v>55455105</v>
      </c>
      <c r="AJ17">
        <v>16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ROW(Source!A33)</f>
        <v>33</v>
      </c>
      <c r="B18">
        <v>55455116</v>
      </c>
      <c r="C18">
        <v>55455103</v>
      </c>
      <c r="D18">
        <v>53792191</v>
      </c>
      <c r="E18">
        <v>1</v>
      </c>
      <c r="F18">
        <v>1</v>
      </c>
      <c r="G18">
        <v>1</v>
      </c>
      <c r="H18">
        <v>2</v>
      </c>
      <c r="I18" t="s">
        <v>318</v>
      </c>
      <c r="J18" t="s">
        <v>319</v>
      </c>
      <c r="K18" t="s">
        <v>320</v>
      </c>
      <c r="L18">
        <v>1367</v>
      </c>
      <c r="N18">
        <v>1011</v>
      </c>
      <c r="O18" t="s">
        <v>321</v>
      </c>
      <c r="P18" t="s">
        <v>321</v>
      </c>
      <c r="Q18">
        <v>1</v>
      </c>
      <c r="X18">
        <v>0.11</v>
      </c>
      <c r="Y18">
        <v>0</v>
      </c>
      <c r="Z18">
        <v>31.26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42</v>
      </c>
      <c r="AG18">
        <v>0.08800000000000001</v>
      </c>
      <c r="AH18">
        <v>2</v>
      </c>
      <c r="AI18">
        <v>55455106</v>
      </c>
      <c r="AJ18">
        <v>17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ROW(Source!A33)</f>
        <v>33</v>
      </c>
      <c r="B19">
        <v>55455117</v>
      </c>
      <c r="C19">
        <v>55455103</v>
      </c>
      <c r="D19">
        <v>53792927</v>
      </c>
      <c r="E19">
        <v>1</v>
      </c>
      <c r="F19">
        <v>1</v>
      </c>
      <c r="G19">
        <v>1</v>
      </c>
      <c r="H19">
        <v>2</v>
      </c>
      <c r="I19" t="s">
        <v>322</v>
      </c>
      <c r="J19" t="s">
        <v>323</v>
      </c>
      <c r="K19" t="s">
        <v>324</v>
      </c>
      <c r="L19">
        <v>1367</v>
      </c>
      <c r="N19">
        <v>1011</v>
      </c>
      <c r="O19" t="s">
        <v>321</v>
      </c>
      <c r="P19" t="s">
        <v>321</v>
      </c>
      <c r="Q19">
        <v>1</v>
      </c>
      <c r="X19">
        <v>0.77</v>
      </c>
      <c r="Y19">
        <v>0</v>
      </c>
      <c r="Z19">
        <v>65.71</v>
      </c>
      <c r="AA19">
        <v>11.6</v>
      </c>
      <c r="AB19">
        <v>0</v>
      </c>
      <c r="AC19">
        <v>0</v>
      </c>
      <c r="AD19">
        <v>1</v>
      </c>
      <c r="AE19">
        <v>0</v>
      </c>
      <c r="AF19" t="s">
        <v>42</v>
      </c>
      <c r="AG19">
        <v>0.6160000000000001</v>
      </c>
      <c r="AH19">
        <v>2</v>
      </c>
      <c r="AI19">
        <v>55455107</v>
      </c>
      <c r="AJ19">
        <v>18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ROW(Source!A33)</f>
        <v>33</v>
      </c>
      <c r="B20">
        <v>55455118</v>
      </c>
      <c r="C20">
        <v>55455103</v>
      </c>
      <c r="D20">
        <v>53793792</v>
      </c>
      <c r="E20">
        <v>1</v>
      </c>
      <c r="F20">
        <v>1</v>
      </c>
      <c r="G20">
        <v>1</v>
      </c>
      <c r="H20">
        <v>2</v>
      </c>
      <c r="I20" t="s">
        <v>325</v>
      </c>
      <c r="J20" t="s">
        <v>326</v>
      </c>
      <c r="K20" t="s">
        <v>327</v>
      </c>
      <c r="L20">
        <v>1367</v>
      </c>
      <c r="N20">
        <v>1011</v>
      </c>
      <c r="O20" t="s">
        <v>321</v>
      </c>
      <c r="P20" t="s">
        <v>321</v>
      </c>
      <c r="Q20">
        <v>1</v>
      </c>
      <c r="X20">
        <v>3.6</v>
      </c>
      <c r="Y20">
        <v>0</v>
      </c>
      <c r="Z20">
        <v>3.29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42</v>
      </c>
      <c r="AG20">
        <v>2.8800000000000003</v>
      </c>
      <c r="AH20">
        <v>2</v>
      </c>
      <c r="AI20">
        <v>55455108</v>
      </c>
      <c r="AJ20">
        <v>19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ROW(Source!A33)</f>
        <v>33</v>
      </c>
      <c r="B21">
        <v>55455119</v>
      </c>
      <c r="C21">
        <v>55455103</v>
      </c>
      <c r="D21">
        <v>53643040</v>
      </c>
      <c r="E21">
        <v>1</v>
      </c>
      <c r="F21">
        <v>1</v>
      </c>
      <c r="G21">
        <v>1</v>
      </c>
      <c r="H21">
        <v>3</v>
      </c>
      <c r="I21" t="s">
        <v>328</v>
      </c>
      <c r="J21" t="s">
        <v>329</v>
      </c>
      <c r="K21" t="s">
        <v>330</v>
      </c>
      <c r="L21">
        <v>1327</v>
      </c>
      <c r="N21">
        <v>1005</v>
      </c>
      <c r="O21" t="s">
        <v>106</v>
      </c>
      <c r="P21" t="s">
        <v>106</v>
      </c>
      <c r="Q21">
        <v>1</v>
      </c>
      <c r="X21">
        <v>50</v>
      </c>
      <c r="Y21">
        <v>1.94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41</v>
      </c>
      <c r="AG21">
        <v>0</v>
      </c>
      <c r="AH21">
        <v>2</v>
      </c>
      <c r="AI21">
        <v>55455109</v>
      </c>
      <c r="AJ21">
        <v>20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ROW(Source!A33)</f>
        <v>33</v>
      </c>
      <c r="B22">
        <v>55455120</v>
      </c>
      <c r="C22">
        <v>55455103</v>
      </c>
      <c r="D22">
        <v>53646032</v>
      </c>
      <c r="E22">
        <v>1</v>
      </c>
      <c r="F22">
        <v>1</v>
      </c>
      <c r="G22">
        <v>1</v>
      </c>
      <c r="H22">
        <v>3</v>
      </c>
      <c r="I22" t="s">
        <v>331</v>
      </c>
      <c r="J22" t="s">
        <v>332</v>
      </c>
      <c r="K22" t="s">
        <v>333</v>
      </c>
      <c r="L22">
        <v>1346</v>
      </c>
      <c r="N22">
        <v>1009</v>
      </c>
      <c r="O22" t="s">
        <v>85</v>
      </c>
      <c r="P22" t="s">
        <v>85</v>
      </c>
      <c r="Q22">
        <v>1</v>
      </c>
      <c r="X22">
        <v>0.5</v>
      </c>
      <c r="Y22">
        <v>1.82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41</v>
      </c>
      <c r="AG22">
        <v>0</v>
      </c>
      <c r="AH22">
        <v>2</v>
      </c>
      <c r="AI22">
        <v>55455110</v>
      </c>
      <c r="AJ22">
        <v>21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ROW(Source!A33)</f>
        <v>33</v>
      </c>
      <c r="B23">
        <v>55455121</v>
      </c>
      <c r="C23">
        <v>55455103</v>
      </c>
      <c r="D23">
        <v>53646910</v>
      </c>
      <c r="E23">
        <v>1</v>
      </c>
      <c r="F23">
        <v>1</v>
      </c>
      <c r="G23">
        <v>1</v>
      </c>
      <c r="H23">
        <v>3</v>
      </c>
      <c r="I23" t="s">
        <v>334</v>
      </c>
      <c r="J23" t="s">
        <v>335</v>
      </c>
      <c r="K23" t="s">
        <v>336</v>
      </c>
      <c r="L23">
        <v>1348</v>
      </c>
      <c r="N23">
        <v>1009</v>
      </c>
      <c r="O23" t="s">
        <v>34</v>
      </c>
      <c r="P23" t="s">
        <v>34</v>
      </c>
      <c r="Q23">
        <v>1000</v>
      </c>
      <c r="X23">
        <v>0.16</v>
      </c>
      <c r="Y23">
        <v>257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41</v>
      </c>
      <c r="AG23">
        <v>0</v>
      </c>
      <c r="AH23">
        <v>2</v>
      </c>
      <c r="AI23">
        <v>55455111</v>
      </c>
      <c r="AJ23">
        <v>22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ROW(Source!A33)</f>
        <v>33</v>
      </c>
      <c r="B24">
        <v>55455122</v>
      </c>
      <c r="C24">
        <v>55455103</v>
      </c>
      <c r="D24">
        <v>53647957</v>
      </c>
      <c r="E24">
        <v>1</v>
      </c>
      <c r="F24">
        <v>1</v>
      </c>
      <c r="G24">
        <v>1</v>
      </c>
      <c r="H24">
        <v>3</v>
      </c>
      <c r="I24" t="s">
        <v>337</v>
      </c>
      <c r="J24" t="s">
        <v>338</v>
      </c>
      <c r="K24" t="s">
        <v>339</v>
      </c>
      <c r="L24">
        <v>1346</v>
      </c>
      <c r="N24">
        <v>1009</v>
      </c>
      <c r="O24" t="s">
        <v>85</v>
      </c>
      <c r="P24" t="s">
        <v>85</v>
      </c>
      <c r="Q24">
        <v>1</v>
      </c>
      <c r="X24">
        <v>572</v>
      </c>
      <c r="Y24">
        <v>50.19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41</v>
      </c>
      <c r="AG24">
        <v>0</v>
      </c>
      <c r="AH24">
        <v>2</v>
      </c>
      <c r="AI24">
        <v>55455112</v>
      </c>
      <c r="AJ24">
        <v>23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ROW(Source!A33)</f>
        <v>33</v>
      </c>
      <c r="B25">
        <v>55455123</v>
      </c>
      <c r="C25">
        <v>55455103</v>
      </c>
      <c r="D25">
        <v>53633288</v>
      </c>
      <c r="E25">
        <v>70</v>
      </c>
      <c r="F25">
        <v>1</v>
      </c>
      <c r="G25">
        <v>1</v>
      </c>
      <c r="H25">
        <v>3</v>
      </c>
      <c r="I25" t="s">
        <v>395</v>
      </c>
      <c r="K25" t="s">
        <v>396</v>
      </c>
      <c r="L25">
        <v>1348</v>
      </c>
      <c r="N25">
        <v>1009</v>
      </c>
      <c r="O25" t="s">
        <v>34</v>
      </c>
      <c r="P25" t="s">
        <v>34</v>
      </c>
      <c r="Q25">
        <v>1000</v>
      </c>
      <c r="X25">
        <v>0.04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 t="s">
        <v>41</v>
      </c>
      <c r="AG25">
        <v>0</v>
      </c>
      <c r="AH25">
        <v>3</v>
      </c>
      <c r="AI25">
        <v>-1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ROW(Source!A33)</f>
        <v>33</v>
      </c>
      <c r="B26">
        <v>55455124</v>
      </c>
      <c r="C26">
        <v>55455103</v>
      </c>
      <c r="D26">
        <v>53674799</v>
      </c>
      <c r="E26">
        <v>1</v>
      </c>
      <c r="F26">
        <v>1</v>
      </c>
      <c r="G26">
        <v>1</v>
      </c>
      <c r="H26">
        <v>3</v>
      </c>
      <c r="I26" t="s">
        <v>340</v>
      </c>
      <c r="J26" t="s">
        <v>341</v>
      </c>
      <c r="K26" t="s">
        <v>342</v>
      </c>
      <c r="L26">
        <v>1296</v>
      </c>
      <c r="N26">
        <v>1002</v>
      </c>
      <c r="O26" t="s">
        <v>343</v>
      </c>
      <c r="P26" t="s">
        <v>343</v>
      </c>
      <c r="Q26">
        <v>1</v>
      </c>
      <c r="X26">
        <v>0.2</v>
      </c>
      <c r="Y26">
        <v>71.7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41</v>
      </c>
      <c r="AG26">
        <v>0</v>
      </c>
      <c r="AH26">
        <v>2</v>
      </c>
      <c r="AI26">
        <v>55455113</v>
      </c>
      <c r="AJ26">
        <v>24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ROW(Source!A34)</f>
        <v>34</v>
      </c>
      <c r="B27">
        <v>55455130</v>
      </c>
      <c r="C27">
        <v>55455125</v>
      </c>
      <c r="D27">
        <v>53630033</v>
      </c>
      <c r="E27">
        <v>70</v>
      </c>
      <c r="F27">
        <v>1</v>
      </c>
      <c r="G27">
        <v>1</v>
      </c>
      <c r="H27">
        <v>1</v>
      </c>
      <c r="I27" t="s">
        <v>311</v>
      </c>
      <c r="K27" t="s">
        <v>344</v>
      </c>
      <c r="L27">
        <v>1191</v>
      </c>
      <c r="N27">
        <v>1013</v>
      </c>
      <c r="O27" t="s">
        <v>313</v>
      </c>
      <c r="P27" t="s">
        <v>313</v>
      </c>
      <c r="Q27">
        <v>1</v>
      </c>
      <c r="X27">
        <v>46.01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G27">
        <v>46.01</v>
      </c>
      <c r="AH27">
        <v>2</v>
      </c>
      <c r="AI27">
        <v>55455126</v>
      </c>
      <c r="AJ27">
        <v>25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ROW(Source!A34)</f>
        <v>34</v>
      </c>
      <c r="B28">
        <v>55455131</v>
      </c>
      <c r="C28">
        <v>55455125</v>
      </c>
      <c r="D28">
        <v>53630257</v>
      </c>
      <c r="E28">
        <v>70</v>
      </c>
      <c r="F28">
        <v>1</v>
      </c>
      <c r="G28">
        <v>1</v>
      </c>
      <c r="H28">
        <v>1</v>
      </c>
      <c r="I28" t="s">
        <v>316</v>
      </c>
      <c r="K28" t="s">
        <v>317</v>
      </c>
      <c r="L28">
        <v>1191</v>
      </c>
      <c r="N28">
        <v>1013</v>
      </c>
      <c r="O28" t="s">
        <v>313</v>
      </c>
      <c r="P28" t="s">
        <v>313</v>
      </c>
      <c r="Q28">
        <v>1</v>
      </c>
      <c r="X28">
        <v>1.76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G28">
        <v>1.76</v>
      </c>
      <c r="AH28">
        <v>2</v>
      </c>
      <c r="AI28">
        <v>55455127</v>
      </c>
      <c r="AJ28">
        <v>26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ROW(Source!A34)</f>
        <v>34</v>
      </c>
      <c r="B29">
        <v>55455132</v>
      </c>
      <c r="C29">
        <v>55455125</v>
      </c>
      <c r="D29">
        <v>53792191</v>
      </c>
      <c r="E29">
        <v>1</v>
      </c>
      <c r="F29">
        <v>1</v>
      </c>
      <c r="G29">
        <v>1</v>
      </c>
      <c r="H29">
        <v>2</v>
      </c>
      <c r="I29" t="s">
        <v>318</v>
      </c>
      <c r="J29" t="s">
        <v>319</v>
      </c>
      <c r="K29" t="s">
        <v>320</v>
      </c>
      <c r="L29">
        <v>1367</v>
      </c>
      <c r="N29">
        <v>1011</v>
      </c>
      <c r="O29" t="s">
        <v>321</v>
      </c>
      <c r="P29" t="s">
        <v>321</v>
      </c>
      <c r="Q29">
        <v>1</v>
      </c>
      <c r="X29">
        <v>1.76</v>
      </c>
      <c r="Y29">
        <v>0</v>
      </c>
      <c r="Z29">
        <v>31.26</v>
      </c>
      <c r="AA29">
        <v>13.5</v>
      </c>
      <c r="AB29">
        <v>0</v>
      </c>
      <c r="AC29">
        <v>0</v>
      </c>
      <c r="AD29">
        <v>1</v>
      </c>
      <c r="AE29">
        <v>0</v>
      </c>
      <c r="AG29">
        <v>1.76</v>
      </c>
      <c r="AH29">
        <v>2</v>
      </c>
      <c r="AI29">
        <v>55455128</v>
      </c>
      <c r="AJ29">
        <v>27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ROW(Source!A34)</f>
        <v>34</v>
      </c>
      <c r="B30">
        <v>55455133</v>
      </c>
      <c r="C30">
        <v>55455125</v>
      </c>
      <c r="D30">
        <v>53634988</v>
      </c>
      <c r="E30">
        <v>70</v>
      </c>
      <c r="F30">
        <v>1</v>
      </c>
      <c r="G30">
        <v>1</v>
      </c>
      <c r="H30">
        <v>3</v>
      </c>
      <c r="I30" t="s">
        <v>32</v>
      </c>
      <c r="K30" t="s">
        <v>33</v>
      </c>
      <c r="L30">
        <v>1348</v>
      </c>
      <c r="N30">
        <v>1009</v>
      </c>
      <c r="O30" t="s">
        <v>34</v>
      </c>
      <c r="P30" t="s">
        <v>34</v>
      </c>
      <c r="Q30">
        <v>1000</v>
      </c>
      <c r="X30">
        <v>2.8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G30">
        <v>2.8</v>
      </c>
      <c r="AH30">
        <v>2</v>
      </c>
      <c r="AI30">
        <v>55455129</v>
      </c>
      <c r="AJ30">
        <v>28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ROW(Source!A35)</f>
        <v>35</v>
      </c>
      <c r="B31">
        <v>55455130</v>
      </c>
      <c r="C31">
        <v>55455125</v>
      </c>
      <c r="D31">
        <v>53630033</v>
      </c>
      <c r="E31">
        <v>70</v>
      </c>
      <c r="F31">
        <v>1</v>
      </c>
      <c r="G31">
        <v>1</v>
      </c>
      <c r="H31">
        <v>1</v>
      </c>
      <c r="I31" t="s">
        <v>311</v>
      </c>
      <c r="K31" t="s">
        <v>344</v>
      </c>
      <c r="L31">
        <v>1191</v>
      </c>
      <c r="N31">
        <v>1013</v>
      </c>
      <c r="O31" t="s">
        <v>313</v>
      </c>
      <c r="P31" t="s">
        <v>313</v>
      </c>
      <c r="Q31">
        <v>1</v>
      </c>
      <c r="X31">
        <v>46.01</v>
      </c>
      <c r="Y31">
        <v>0</v>
      </c>
      <c r="Z31">
        <v>0</v>
      </c>
      <c r="AA31">
        <v>0</v>
      </c>
      <c r="AB31">
        <v>7.8</v>
      </c>
      <c r="AC31">
        <v>0</v>
      </c>
      <c r="AD31">
        <v>1</v>
      </c>
      <c r="AE31">
        <v>1</v>
      </c>
      <c r="AG31">
        <v>46.01</v>
      </c>
      <c r="AH31">
        <v>2</v>
      </c>
      <c r="AI31">
        <v>55455126</v>
      </c>
      <c r="AJ31">
        <v>29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ROW(Source!A35)</f>
        <v>35</v>
      </c>
      <c r="B32">
        <v>55455131</v>
      </c>
      <c r="C32">
        <v>55455125</v>
      </c>
      <c r="D32">
        <v>53630257</v>
      </c>
      <c r="E32">
        <v>70</v>
      </c>
      <c r="F32">
        <v>1</v>
      </c>
      <c r="G32">
        <v>1</v>
      </c>
      <c r="H32">
        <v>1</v>
      </c>
      <c r="I32" t="s">
        <v>316</v>
      </c>
      <c r="K32" t="s">
        <v>317</v>
      </c>
      <c r="L32">
        <v>1191</v>
      </c>
      <c r="N32">
        <v>1013</v>
      </c>
      <c r="O32" t="s">
        <v>313</v>
      </c>
      <c r="P32" t="s">
        <v>313</v>
      </c>
      <c r="Q32">
        <v>1</v>
      </c>
      <c r="X32">
        <v>1.76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G32">
        <v>1.76</v>
      </c>
      <c r="AH32">
        <v>2</v>
      </c>
      <c r="AI32">
        <v>55455127</v>
      </c>
      <c r="AJ32">
        <v>30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ROW(Source!A35)</f>
        <v>35</v>
      </c>
      <c r="B33">
        <v>55455132</v>
      </c>
      <c r="C33">
        <v>55455125</v>
      </c>
      <c r="D33">
        <v>53792191</v>
      </c>
      <c r="E33">
        <v>1</v>
      </c>
      <c r="F33">
        <v>1</v>
      </c>
      <c r="G33">
        <v>1</v>
      </c>
      <c r="H33">
        <v>2</v>
      </c>
      <c r="I33" t="s">
        <v>318</v>
      </c>
      <c r="J33" t="s">
        <v>319</v>
      </c>
      <c r="K33" t="s">
        <v>320</v>
      </c>
      <c r="L33">
        <v>1367</v>
      </c>
      <c r="N33">
        <v>1011</v>
      </c>
      <c r="O33" t="s">
        <v>321</v>
      </c>
      <c r="P33" t="s">
        <v>321</v>
      </c>
      <c r="Q33">
        <v>1</v>
      </c>
      <c r="X33">
        <v>1.76</v>
      </c>
      <c r="Y33">
        <v>0</v>
      </c>
      <c r="Z33">
        <v>31.26</v>
      </c>
      <c r="AA33">
        <v>13.5</v>
      </c>
      <c r="AB33">
        <v>0</v>
      </c>
      <c r="AC33">
        <v>0</v>
      </c>
      <c r="AD33">
        <v>1</v>
      </c>
      <c r="AE33">
        <v>0</v>
      </c>
      <c r="AG33">
        <v>1.76</v>
      </c>
      <c r="AH33">
        <v>2</v>
      </c>
      <c r="AI33">
        <v>55455128</v>
      </c>
      <c r="AJ33">
        <v>31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ROW(Source!A35)</f>
        <v>35</v>
      </c>
      <c r="B34">
        <v>55455133</v>
      </c>
      <c r="C34">
        <v>55455125</v>
      </c>
      <c r="D34">
        <v>53634988</v>
      </c>
      <c r="E34">
        <v>70</v>
      </c>
      <c r="F34">
        <v>1</v>
      </c>
      <c r="G34">
        <v>1</v>
      </c>
      <c r="H34">
        <v>3</v>
      </c>
      <c r="I34" t="s">
        <v>32</v>
      </c>
      <c r="K34" t="s">
        <v>33</v>
      </c>
      <c r="L34">
        <v>1348</v>
      </c>
      <c r="N34">
        <v>1009</v>
      </c>
      <c r="O34" t="s">
        <v>34</v>
      </c>
      <c r="P34" t="s">
        <v>34</v>
      </c>
      <c r="Q34">
        <v>1000</v>
      </c>
      <c r="X34">
        <v>2.8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G34">
        <v>2.8</v>
      </c>
      <c r="AH34">
        <v>2</v>
      </c>
      <c r="AI34">
        <v>55455129</v>
      </c>
      <c r="AJ34">
        <v>32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ROW(Source!A38)</f>
        <v>38</v>
      </c>
      <c r="B35">
        <v>55455142</v>
      </c>
      <c r="C35">
        <v>55455135</v>
      </c>
      <c r="D35">
        <v>51126788</v>
      </c>
      <c r="E35">
        <v>68</v>
      </c>
      <c r="F35">
        <v>1</v>
      </c>
      <c r="G35">
        <v>1</v>
      </c>
      <c r="H35">
        <v>1</v>
      </c>
      <c r="I35" t="s">
        <v>345</v>
      </c>
      <c r="K35" t="s">
        <v>346</v>
      </c>
      <c r="L35">
        <v>1191</v>
      </c>
      <c r="N35">
        <v>1013</v>
      </c>
      <c r="O35" t="s">
        <v>313</v>
      </c>
      <c r="P35" t="s">
        <v>313</v>
      </c>
      <c r="Q35">
        <v>1</v>
      </c>
      <c r="X35">
        <v>111.2</v>
      </c>
      <c r="Y35">
        <v>0</v>
      </c>
      <c r="Z35">
        <v>0</v>
      </c>
      <c r="AA35">
        <v>0</v>
      </c>
      <c r="AB35">
        <v>8.53</v>
      </c>
      <c r="AC35">
        <v>0</v>
      </c>
      <c r="AD35">
        <v>1</v>
      </c>
      <c r="AE35">
        <v>1</v>
      </c>
      <c r="AG35">
        <v>111.2</v>
      </c>
      <c r="AH35">
        <v>2</v>
      </c>
      <c r="AI35">
        <v>55455136</v>
      </c>
      <c r="AJ35">
        <v>33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ROW(Source!A38)</f>
        <v>38</v>
      </c>
      <c r="B36">
        <v>55455143</v>
      </c>
      <c r="C36">
        <v>55455135</v>
      </c>
      <c r="D36">
        <v>51127040</v>
      </c>
      <c r="E36">
        <v>68</v>
      </c>
      <c r="F36">
        <v>1</v>
      </c>
      <c r="G36">
        <v>1</v>
      </c>
      <c r="H36">
        <v>1</v>
      </c>
      <c r="I36" t="s">
        <v>316</v>
      </c>
      <c r="K36" t="s">
        <v>317</v>
      </c>
      <c r="L36">
        <v>1191</v>
      </c>
      <c r="N36">
        <v>1013</v>
      </c>
      <c r="O36" t="s">
        <v>313</v>
      </c>
      <c r="P36" t="s">
        <v>313</v>
      </c>
      <c r="Q36">
        <v>1</v>
      </c>
      <c r="X36">
        <v>1.8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G36">
        <v>1.8</v>
      </c>
      <c r="AH36">
        <v>2</v>
      </c>
      <c r="AI36">
        <v>55455137</v>
      </c>
      <c r="AJ36">
        <v>34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ROW(Source!A38)</f>
        <v>38</v>
      </c>
      <c r="B37">
        <v>55455144</v>
      </c>
      <c r="C37">
        <v>55455135</v>
      </c>
      <c r="D37">
        <v>51289370</v>
      </c>
      <c r="E37">
        <v>1</v>
      </c>
      <c r="F37">
        <v>1</v>
      </c>
      <c r="G37">
        <v>1</v>
      </c>
      <c r="H37">
        <v>2</v>
      </c>
      <c r="I37" t="s">
        <v>318</v>
      </c>
      <c r="J37" t="s">
        <v>319</v>
      </c>
      <c r="K37" t="s">
        <v>320</v>
      </c>
      <c r="L37">
        <v>1367</v>
      </c>
      <c r="N37">
        <v>1011</v>
      </c>
      <c r="O37" t="s">
        <v>321</v>
      </c>
      <c r="P37" t="s">
        <v>321</v>
      </c>
      <c r="Q37">
        <v>1</v>
      </c>
      <c r="X37">
        <v>1.8</v>
      </c>
      <c r="Y37">
        <v>0</v>
      </c>
      <c r="Z37">
        <v>31.26</v>
      </c>
      <c r="AA37">
        <v>13.5</v>
      </c>
      <c r="AB37">
        <v>0</v>
      </c>
      <c r="AC37">
        <v>0</v>
      </c>
      <c r="AD37">
        <v>1</v>
      </c>
      <c r="AE37">
        <v>0</v>
      </c>
      <c r="AG37">
        <v>1.8</v>
      </c>
      <c r="AH37">
        <v>2</v>
      </c>
      <c r="AI37">
        <v>55455138</v>
      </c>
      <c r="AJ37">
        <v>35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ROW(Source!A38)</f>
        <v>38</v>
      </c>
      <c r="B38">
        <v>55455145</v>
      </c>
      <c r="C38">
        <v>55455135</v>
      </c>
      <c r="D38">
        <v>51290346</v>
      </c>
      <c r="E38">
        <v>1</v>
      </c>
      <c r="F38">
        <v>1</v>
      </c>
      <c r="G38">
        <v>1</v>
      </c>
      <c r="H38">
        <v>2</v>
      </c>
      <c r="I38" t="s">
        <v>347</v>
      </c>
      <c r="J38" t="s">
        <v>348</v>
      </c>
      <c r="K38" t="s">
        <v>349</v>
      </c>
      <c r="L38">
        <v>1367</v>
      </c>
      <c r="N38">
        <v>1011</v>
      </c>
      <c r="O38" t="s">
        <v>321</v>
      </c>
      <c r="P38" t="s">
        <v>321</v>
      </c>
      <c r="Q38">
        <v>1</v>
      </c>
      <c r="X38">
        <v>19.2</v>
      </c>
      <c r="Y38">
        <v>0</v>
      </c>
      <c r="Z38">
        <v>48.81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19.2</v>
      </c>
      <c r="AH38">
        <v>2</v>
      </c>
      <c r="AI38">
        <v>55455139</v>
      </c>
      <c r="AJ38">
        <v>36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ROW(Source!A38)</f>
        <v>38</v>
      </c>
      <c r="B39">
        <v>55455146</v>
      </c>
      <c r="C39">
        <v>55455135</v>
      </c>
      <c r="D39">
        <v>51290802</v>
      </c>
      <c r="E39">
        <v>1</v>
      </c>
      <c r="F39">
        <v>1</v>
      </c>
      <c r="G39">
        <v>1</v>
      </c>
      <c r="H39">
        <v>2</v>
      </c>
      <c r="I39" t="s">
        <v>350</v>
      </c>
      <c r="J39" t="s">
        <v>351</v>
      </c>
      <c r="K39" t="s">
        <v>352</v>
      </c>
      <c r="L39">
        <v>1367</v>
      </c>
      <c r="N39">
        <v>1011</v>
      </c>
      <c r="O39" t="s">
        <v>321</v>
      </c>
      <c r="P39" t="s">
        <v>321</v>
      </c>
      <c r="Q39">
        <v>1</v>
      </c>
      <c r="X39">
        <v>38.4</v>
      </c>
      <c r="Y39">
        <v>0</v>
      </c>
      <c r="Z39">
        <v>1.53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38.4</v>
      </c>
      <c r="AH39">
        <v>2</v>
      </c>
      <c r="AI39">
        <v>55455140</v>
      </c>
      <c r="AJ39">
        <v>37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ROW(Source!A38)</f>
        <v>38</v>
      </c>
      <c r="B40">
        <v>55455147</v>
      </c>
      <c r="C40">
        <v>55455135</v>
      </c>
      <c r="D40">
        <v>51131816</v>
      </c>
      <c r="E40">
        <v>68</v>
      </c>
      <c r="F40">
        <v>1</v>
      </c>
      <c r="G40">
        <v>1</v>
      </c>
      <c r="H40">
        <v>3</v>
      </c>
      <c r="I40" t="s">
        <v>32</v>
      </c>
      <c r="K40" t="s">
        <v>33</v>
      </c>
      <c r="L40">
        <v>1348</v>
      </c>
      <c r="N40">
        <v>1009</v>
      </c>
      <c r="O40" t="s">
        <v>34</v>
      </c>
      <c r="P40" t="s">
        <v>34</v>
      </c>
      <c r="Q40">
        <v>1000</v>
      </c>
      <c r="X40">
        <v>33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G40">
        <v>33</v>
      </c>
      <c r="AH40">
        <v>2</v>
      </c>
      <c r="AI40">
        <v>55455141</v>
      </c>
      <c r="AJ40">
        <v>38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ROW(Source!A39)</f>
        <v>39</v>
      </c>
      <c r="B41">
        <v>55455142</v>
      </c>
      <c r="C41">
        <v>55455135</v>
      </c>
      <c r="D41">
        <v>51126788</v>
      </c>
      <c r="E41">
        <v>68</v>
      </c>
      <c r="F41">
        <v>1</v>
      </c>
      <c r="G41">
        <v>1</v>
      </c>
      <c r="H41">
        <v>1</v>
      </c>
      <c r="I41" t="s">
        <v>345</v>
      </c>
      <c r="K41" t="s">
        <v>346</v>
      </c>
      <c r="L41">
        <v>1191</v>
      </c>
      <c r="N41">
        <v>1013</v>
      </c>
      <c r="O41" t="s">
        <v>313</v>
      </c>
      <c r="P41" t="s">
        <v>313</v>
      </c>
      <c r="Q41">
        <v>1</v>
      </c>
      <c r="X41">
        <v>111.2</v>
      </c>
      <c r="Y41">
        <v>0</v>
      </c>
      <c r="Z41">
        <v>0</v>
      </c>
      <c r="AA41">
        <v>0</v>
      </c>
      <c r="AB41">
        <v>8.53</v>
      </c>
      <c r="AC41">
        <v>0</v>
      </c>
      <c r="AD41">
        <v>1</v>
      </c>
      <c r="AE41">
        <v>1</v>
      </c>
      <c r="AG41">
        <v>111.2</v>
      </c>
      <c r="AH41">
        <v>2</v>
      </c>
      <c r="AI41">
        <v>55455136</v>
      </c>
      <c r="AJ41">
        <v>39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ROW(Source!A39)</f>
        <v>39</v>
      </c>
      <c r="B42">
        <v>55455143</v>
      </c>
      <c r="C42">
        <v>55455135</v>
      </c>
      <c r="D42">
        <v>51127040</v>
      </c>
      <c r="E42">
        <v>68</v>
      </c>
      <c r="F42">
        <v>1</v>
      </c>
      <c r="G42">
        <v>1</v>
      </c>
      <c r="H42">
        <v>1</v>
      </c>
      <c r="I42" t="s">
        <v>316</v>
      </c>
      <c r="K42" t="s">
        <v>317</v>
      </c>
      <c r="L42">
        <v>1191</v>
      </c>
      <c r="N42">
        <v>1013</v>
      </c>
      <c r="O42" t="s">
        <v>313</v>
      </c>
      <c r="P42" t="s">
        <v>313</v>
      </c>
      <c r="Q42">
        <v>1</v>
      </c>
      <c r="X42">
        <v>1.8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G42">
        <v>1.8</v>
      </c>
      <c r="AH42">
        <v>2</v>
      </c>
      <c r="AI42">
        <v>55455137</v>
      </c>
      <c r="AJ42">
        <v>40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ROW(Source!A39)</f>
        <v>39</v>
      </c>
      <c r="B43">
        <v>55455144</v>
      </c>
      <c r="C43">
        <v>55455135</v>
      </c>
      <c r="D43">
        <v>51289370</v>
      </c>
      <c r="E43">
        <v>1</v>
      </c>
      <c r="F43">
        <v>1</v>
      </c>
      <c r="G43">
        <v>1</v>
      </c>
      <c r="H43">
        <v>2</v>
      </c>
      <c r="I43" t="s">
        <v>318</v>
      </c>
      <c r="J43" t="s">
        <v>319</v>
      </c>
      <c r="K43" t="s">
        <v>320</v>
      </c>
      <c r="L43">
        <v>1367</v>
      </c>
      <c r="N43">
        <v>1011</v>
      </c>
      <c r="O43" t="s">
        <v>321</v>
      </c>
      <c r="P43" t="s">
        <v>321</v>
      </c>
      <c r="Q43">
        <v>1</v>
      </c>
      <c r="X43">
        <v>1.8</v>
      </c>
      <c r="Y43">
        <v>0</v>
      </c>
      <c r="Z43">
        <v>31.26</v>
      </c>
      <c r="AA43">
        <v>13.5</v>
      </c>
      <c r="AB43">
        <v>0</v>
      </c>
      <c r="AC43">
        <v>0</v>
      </c>
      <c r="AD43">
        <v>1</v>
      </c>
      <c r="AE43">
        <v>0</v>
      </c>
      <c r="AG43">
        <v>1.8</v>
      </c>
      <c r="AH43">
        <v>2</v>
      </c>
      <c r="AI43">
        <v>55455138</v>
      </c>
      <c r="AJ43">
        <v>41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ROW(Source!A39)</f>
        <v>39</v>
      </c>
      <c r="B44">
        <v>55455145</v>
      </c>
      <c r="C44">
        <v>55455135</v>
      </c>
      <c r="D44">
        <v>51290346</v>
      </c>
      <c r="E44">
        <v>1</v>
      </c>
      <c r="F44">
        <v>1</v>
      </c>
      <c r="G44">
        <v>1</v>
      </c>
      <c r="H44">
        <v>2</v>
      </c>
      <c r="I44" t="s">
        <v>347</v>
      </c>
      <c r="J44" t="s">
        <v>348</v>
      </c>
      <c r="K44" t="s">
        <v>349</v>
      </c>
      <c r="L44">
        <v>1367</v>
      </c>
      <c r="N44">
        <v>1011</v>
      </c>
      <c r="O44" t="s">
        <v>321</v>
      </c>
      <c r="P44" t="s">
        <v>321</v>
      </c>
      <c r="Q44">
        <v>1</v>
      </c>
      <c r="X44">
        <v>19.2</v>
      </c>
      <c r="Y44">
        <v>0</v>
      </c>
      <c r="Z44">
        <v>48.81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19.2</v>
      </c>
      <c r="AH44">
        <v>2</v>
      </c>
      <c r="AI44">
        <v>55455139</v>
      </c>
      <c r="AJ44">
        <v>42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ROW(Source!A39)</f>
        <v>39</v>
      </c>
      <c r="B45">
        <v>55455146</v>
      </c>
      <c r="C45">
        <v>55455135</v>
      </c>
      <c r="D45">
        <v>51290802</v>
      </c>
      <c r="E45">
        <v>1</v>
      </c>
      <c r="F45">
        <v>1</v>
      </c>
      <c r="G45">
        <v>1</v>
      </c>
      <c r="H45">
        <v>2</v>
      </c>
      <c r="I45" t="s">
        <v>350</v>
      </c>
      <c r="J45" t="s">
        <v>351</v>
      </c>
      <c r="K45" t="s">
        <v>352</v>
      </c>
      <c r="L45">
        <v>1367</v>
      </c>
      <c r="N45">
        <v>1011</v>
      </c>
      <c r="O45" t="s">
        <v>321</v>
      </c>
      <c r="P45" t="s">
        <v>321</v>
      </c>
      <c r="Q45">
        <v>1</v>
      </c>
      <c r="X45">
        <v>38.4</v>
      </c>
      <c r="Y45">
        <v>0</v>
      </c>
      <c r="Z45">
        <v>1.53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38.4</v>
      </c>
      <c r="AH45">
        <v>2</v>
      </c>
      <c r="AI45">
        <v>55455140</v>
      </c>
      <c r="AJ45">
        <v>43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ROW(Source!A39)</f>
        <v>39</v>
      </c>
      <c r="B46">
        <v>55455147</v>
      </c>
      <c r="C46">
        <v>55455135</v>
      </c>
      <c r="D46">
        <v>51131816</v>
      </c>
      <c r="E46">
        <v>68</v>
      </c>
      <c r="F46">
        <v>1</v>
      </c>
      <c r="G46">
        <v>1</v>
      </c>
      <c r="H46">
        <v>3</v>
      </c>
      <c r="I46" t="s">
        <v>32</v>
      </c>
      <c r="K46" t="s">
        <v>33</v>
      </c>
      <c r="L46">
        <v>1348</v>
      </c>
      <c r="N46">
        <v>1009</v>
      </c>
      <c r="O46" t="s">
        <v>34</v>
      </c>
      <c r="P46" t="s">
        <v>34</v>
      </c>
      <c r="Q46">
        <v>1000</v>
      </c>
      <c r="X46">
        <v>33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G46">
        <v>33</v>
      </c>
      <c r="AH46">
        <v>2</v>
      </c>
      <c r="AI46">
        <v>55455141</v>
      </c>
      <c r="AJ46">
        <v>44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ROW(Source!A42)</f>
        <v>42</v>
      </c>
      <c r="B47">
        <v>55455152</v>
      </c>
      <c r="C47">
        <v>55455149</v>
      </c>
      <c r="D47">
        <v>53630067</v>
      </c>
      <c r="E47">
        <v>70</v>
      </c>
      <c r="F47">
        <v>1</v>
      </c>
      <c r="G47">
        <v>1</v>
      </c>
      <c r="H47">
        <v>1</v>
      </c>
      <c r="I47" t="s">
        <v>345</v>
      </c>
      <c r="K47" t="s">
        <v>346</v>
      </c>
      <c r="L47">
        <v>1191</v>
      </c>
      <c r="N47">
        <v>1013</v>
      </c>
      <c r="O47" t="s">
        <v>313</v>
      </c>
      <c r="P47" t="s">
        <v>313</v>
      </c>
      <c r="Q47">
        <v>1</v>
      </c>
      <c r="X47">
        <v>2.72</v>
      </c>
      <c r="Y47">
        <v>0</v>
      </c>
      <c r="Z47">
        <v>0</v>
      </c>
      <c r="AA47">
        <v>0</v>
      </c>
      <c r="AB47">
        <v>8.53</v>
      </c>
      <c r="AC47">
        <v>0</v>
      </c>
      <c r="AD47">
        <v>1</v>
      </c>
      <c r="AE47">
        <v>1</v>
      </c>
      <c r="AF47" t="s">
        <v>67</v>
      </c>
      <c r="AG47">
        <v>-73.44000000000001</v>
      </c>
      <c r="AH47">
        <v>2</v>
      </c>
      <c r="AI47">
        <v>55455150</v>
      </c>
      <c r="AJ47">
        <v>45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ROW(Source!A42)</f>
        <v>42</v>
      </c>
      <c r="B48">
        <v>55455153</v>
      </c>
      <c r="C48">
        <v>55455149</v>
      </c>
      <c r="D48">
        <v>53634988</v>
      </c>
      <c r="E48">
        <v>70</v>
      </c>
      <c r="F48">
        <v>1</v>
      </c>
      <c r="G48">
        <v>1</v>
      </c>
      <c r="H48">
        <v>3</v>
      </c>
      <c r="I48" t="s">
        <v>32</v>
      </c>
      <c r="K48" t="s">
        <v>33</v>
      </c>
      <c r="L48">
        <v>1348</v>
      </c>
      <c r="N48">
        <v>1009</v>
      </c>
      <c r="O48" t="s">
        <v>34</v>
      </c>
      <c r="P48" t="s">
        <v>34</v>
      </c>
      <c r="Q48">
        <v>1000</v>
      </c>
      <c r="X48">
        <v>1.1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 t="s">
        <v>67</v>
      </c>
      <c r="AG48">
        <v>-29.700000000000003</v>
      </c>
      <c r="AH48">
        <v>2</v>
      </c>
      <c r="AI48">
        <v>55455151</v>
      </c>
      <c r="AJ48">
        <v>46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ROW(Source!A43)</f>
        <v>43</v>
      </c>
      <c r="B49">
        <v>55455152</v>
      </c>
      <c r="C49">
        <v>55455149</v>
      </c>
      <c r="D49">
        <v>53630067</v>
      </c>
      <c r="E49">
        <v>70</v>
      </c>
      <c r="F49">
        <v>1</v>
      </c>
      <c r="G49">
        <v>1</v>
      </c>
      <c r="H49">
        <v>1</v>
      </c>
      <c r="I49" t="s">
        <v>345</v>
      </c>
      <c r="K49" t="s">
        <v>346</v>
      </c>
      <c r="L49">
        <v>1191</v>
      </c>
      <c r="N49">
        <v>1013</v>
      </c>
      <c r="O49" t="s">
        <v>313</v>
      </c>
      <c r="P49" t="s">
        <v>313</v>
      </c>
      <c r="Q49">
        <v>1</v>
      </c>
      <c r="X49">
        <v>2.72</v>
      </c>
      <c r="Y49">
        <v>0</v>
      </c>
      <c r="Z49">
        <v>0</v>
      </c>
      <c r="AA49">
        <v>0</v>
      </c>
      <c r="AB49">
        <v>8.53</v>
      </c>
      <c r="AC49">
        <v>0</v>
      </c>
      <c r="AD49">
        <v>1</v>
      </c>
      <c r="AE49">
        <v>1</v>
      </c>
      <c r="AF49" t="s">
        <v>67</v>
      </c>
      <c r="AG49">
        <v>-73.44000000000001</v>
      </c>
      <c r="AH49">
        <v>2</v>
      </c>
      <c r="AI49">
        <v>55455150</v>
      </c>
      <c r="AJ49">
        <v>47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ROW(Source!A43)</f>
        <v>43</v>
      </c>
      <c r="B50">
        <v>55455153</v>
      </c>
      <c r="C50">
        <v>55455149</v>
      </c>
      <c r="D50">
        <v>53634988</v>
      </c>
      <c r="E50">
        <v>70</v>
      </c>
      <c r="F50">
        <v>1</v>
      </c>
      <c r="G50">
        <v>1</v>
      </c>
      <c r="H50">
        <v>3</v>
      </c>
      <c r="I50" t="s">
        <v>32</v>
      </c>
      <c r="K50" t="s">
        <v>33</v>
      </c>
      <c r="L50">
        <v>1348</v>
      </c>
      <c r="N50">
        <v>1009</v>
      </c>
      <c r="O50" t="s">
        <v>34</v>
      </c>
      <c r="P50" t="s">
        <v>34</v>
      </c>
      <c r="Q50">
        <v>1000</v>
      </c>
      <c r="X50">
        <v>1.1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 t="s">
        <v>67</v>
      </c>
      <c r="AG50">
        <v>-29.700000000000003</v>
      </c>
      <c r="AH50">
        <v>2</v>
      </c>
      <c r="AI50">
        <v>55455151</v>
      </c>
      <c r="AJ50">
        <v>48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ROW(Source!A46)</f>
        <v>46</v>
      </c>
      <c r="B51">
        <v>55455166</v>
      </c>
      <c r="C51">
        <v>55455155</v>
      </c>
      <c r="D51">
        <v>51126788</v>
      </c>
      <c r="E51">
        <v>68</v>
      </c>
      <c r="F51">
        <v>1</v>
      </c>
      <c r="G51">
        <v>1</v>
      </c>
      <c r="H51">
        <v>1</v>
      </c>
      <c r="I51" t="s">
        <v>345</v>
      </c>
      <c r="K51" t="s">
        <v>346</v>
      </c>
      <c r="L51">
        <v>1191</v>
      </c>
      <c r="N51">
        <v>1013</v>
      </c>
      <c r="O51" t="s">
        <v>313</v>
      </c>
      <c r="P51" t="s">
        <v>313</v>
      </c>
      <c r="Q51">
        <v>1</v>
      </c>
      <c r="X51">
        <v>26.14</v>
      </c>
      <c r="Y51">
        <v>0</v>
      </c>
      <c r="Z51">
        <v>0</v>
      </c>
      <c r="AA51">
        <v>0</v>
      </c>
      <c r="AB51">
        <v>8.53</v>
      </c>
      <c r="AC51">
        <v>0</v>
      </c>
      <c r="AD51">
        <v>1</v>
      </c>
      <c r="AE51">
        <v>1</v>
      </c>
      <c r="AF51" t="s">
        <v>74</v>
      </c>
      <c r="AG51">
        <v>30.061</v>
      </c>
      <c r="AH51">
        <v>2</v>
      </c>
      <c r="AI51">
        <v>55455156</v>
      </c>
      <c r="AJ51">
        <v>49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ROW(Source!A46)</f>
        <v>46</v>
      </c>
      <c r="B52">
        <v>55455167</v>
      </c>
      <c r="C52">
        <v>55455155</v>
      </c>
      <c r="D52">
        <v>51127040</v>
      </c>
      <c r="E52">
        <v>68</v>
      </c>
      <c r="F52">
        <v>1</v>
      </c>
      <c r="G52">
        <v>1</v>
      </c>
      <c r="H52">
        <v>1</v>
      </c>
      <c r="I52" t="s">
        <v>316</v>
      </c>
      <c r="K52" t="s">
        <v>317</v>
      </c>
      <c r="L52">
        <v>1191</v>
      </c>
      <c r="N52">
        <v>1013</v>
      </c>
      <c r="O52" t="s">
        <v>313</v>
      </c>
      <c r="P52" t="s">
        <v>313</v>
      </c>
      <c r="Q52">
        <v>1</v>
      </c>
      <c r="X52">
        <v>0.09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73</v>
      </c>
      <c r="AG52">
        <v>0.11249999999999999</v>
      </c>
      <c r="AH52">
        <v>2</v>
      </c>
      <c r="AI52">
        <v>55455157</v>
      </c>
      <c r="AJ52">
        <v>50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ROW(Source!A46)</f>
        <v>46</v>
      </c>
      <c r="B53">
        <v>55455168</v>
      </c>
      <c r="C53">
        <v>55455155</v>
      </c>
      <c r="D53">
        <v>51289368</v>
      </c>
      <c r="E53">
        <v>1</v>
      </c>
      <c r="F53">
        <v>1</v>
      </c>
      <c r="G53">
        <v>1</v>
      </c>
      <c r="H53">
        <v>2</v>
      </c>
      <c r="I53" t="s">
        <v>353</v>
      </c>
      <c r="J53" t="s">
        <v>354</v>
      </c>
      <c r="K53" t="s">
        <v>355</v>
      </c>
      <c r="L53">
        <v>1367</v>
      </c>
      <c r="N53">
        <v>1011</v>
      </c>
      <c r="O53" t="s">
        <v>321</v>
      </c>
      <c r="P53" t="s">
        <v>321</v>
      </c>
      <c r="Q53">
        <v>1</v>
      </c>
      <c r="X53">
        <v>0.07</v>
      </c>
      <c r="Y53">
        <v>0</v>
      </c>
      <c r="Z53">
        <v>27.66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73</v>
      </c>
      <c r="AG53">
        <v>0.08750000000000001</v>
      </c>
      <c r="AH53">
        <v>2</v>
      </c>
      <c r="AI53">
        <v>55455158</v>
      </c>
      <c r="AJ53">
        <v>51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ROW(Source!A46)</f>
        <v>46</v>
      </c>
      <c r="B54">
        <v>55455169</v>
      </c>
      <c r="C54">
        <v>55455155</v>
      </c>
      <c r="D54">
        <v>51290110</v>
      </c>
      <c r="E54">
        <v>1</v>
      </c>
      <c r="F54">
        <v>1</v>
      </c>
      <c r="G54">
        <v>1</v>
      </c>
      <c r="H54">
        <v>2</v>
      </c>
      <c r="I54" t="s">
        <v>322</v>
      </c>
      <c r="J54" t="s">
        <v>323</v>
      </c>
      <c r="K54" t="s">
        <v>324</v>
      </c>
      <c r="L54">
        <v>1367</v>
      </c>
      <c r="N54">
        <v>1011</v>
      </c>
      <c r="O54" t="s">
        <v>321</v>
      </c>
      <c r="P54" t="s">
        <v>321</v>
      </c>
      <c r="Q54">
        <v>1</v>
      </c>
      <c r="X54">
        <v>0.02</v>
      </c>
      <c r="Y54">
        <v>0</v>
      </c>
      <c r="Z54">
        <v>65.71</v>
      </c>
      <c r="AA54">
        <v>11.6</v>
      </c>
      <c r="AB54">
        <v>0</v>
      </c>
      <c r="AC54">
        <v>0</v>
      </c>
      <c r="AD54">
        <v>1</v>
      </c>
      <c r="AE54">
        <v>0</v>
      </c>
      <c r="AF54" t="s">
        <v>73</v>
      </c>
      <c r="AG54">
        <v>0.025</v>
      </c>
      <c r="AH54">
        <v>2</v>
      </c>
      <c r="AI54">
        <v>55455159</v>
      </c>
      <c r="AJ54">
        <v>52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ROW(Source!A46)</f>
        <v>46</v>
      </c>
      <c r="B55">
        <v>55455170</v>
      </c>
      <c r="C55">
        <v>55455155</v>
      </c>
      <c r="D55">
        <v>51290980</v>
      </c>
      <c r="E55">
        <v>1</v>
      </c>
      <c r="F55">
        <v>1</v>
      </c>
      <c r="G55">
        <v>1</v>
      </c>
      <c r="H55">
        <v>2</v>
      </c>
      <c r="I55" t="s">
        <v>325</v>
      </c>
      <c r="J55" t="s">
        <v>326</v>
      </c>
      <c r="K55" t="s">
        <v>327</v>
      </c>
      <c r="L55">
        <v>1367</v>
      </c>
      <c r="N55">
        <v>1011</v>
      </c>
      <c r="O55" t="s">
        <v>321</v>
      </c>
      <c r="P55" t="s">
        <v>321</v>
      </c>
      <c r="Q55">
        <v>1</v>
      </c>
      <c r="X55">
        <v>2.8</v>
      </c>
      <c r="Y55">
        <v>0</v>
      </c>
      <c r="Z55">
        <v>3.29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73</v>
      </c>
      <c r="AG55">
        <v>3.5</v>
      </c>
      <c r="AH55">
        <v>2</v>
      </c>
      <c r="AI55">
        <v>55455160</v>
      </c>
      <c r="AJ55">
        <v>53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ROW(Source!A46)</f>
        <v>46</v>
      </c>
      <c r="B56">
        <v>55455171</v>
      </c>
      <c r="C56">
        <v>55455155</v>
      </c>
      <c r="D56">
        <v>51139447</v>
      </c>
      <c r="E56">
        <v>1</v>
      </c>
      <c r="F56">
        <v>1</v>
      </c>
      <c r="G56">
        <v>1</v>
      </c>
      <c r="H56">
        <v>3</v>
      </c>
      <c r="I56" t="s">
        <v>356</v>
      </c>
      <c r="J56" t="s">
        <v>357</v>
      </c>
      <c r="K56" t="s">
        <v>358</v>
      </c>
      <c r="L56">
        <v>1339</v>
      </c>
      <c r="N56">
        <v>1007</v>
      </c>
      <c r="O56" t="s">
        <v>111</v>
      </c>
      <c r="P56" t="s">
        <v>111</v>
      </c>
      <c r="Q56">
        <v>1</v>
      </c>
      <c r="X56">
        <v>0.16</v>
      </c>
      <c r="Y56">
        <v>2.44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0.16</v>
      </c>
      <c r="AH56">
        <v>2</v>
      </c>
      <c r="AI56">
        <v>55455161</v>
      </c>
      <c r="AJ56">
        <v>54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ROW(Source!A46)</f>
        <v>46</v>
      </c>
      <c r="B57">
        <v>55455172</v>
      </c>
      <c r="C57">
        <v>55455155</v>
      </c>
      <c r="D57">
        <v>51139938</v>
      </c>
      <c r="E57">
        <v>1</v>
      </c>
      <c r="F57">
        <v>1</v>
      </c>
      <c r="G57">
        <v>1</v>
      </c>
      <c r="H57">
        <v>3</v>
      </c>
      <c r="I57" t="s">
        <v>328</v>
      </c>
      <c r="J57" t="s">
        <v>329</v>
      </c>
      <c r="K57" t="s">
        <v>330</v>
      </c>
      <c r="L57">
        <v>1327</v>
      </c>
      <c r="N57">
        <v>1005</v>
      </c>
      <c r="O57" t="s">
        <v>106</v>
      </c>
      <c r="P57" t="s">
        <v>106</v>
      </c>
      <c r="Q57">
        <v>1</v>
      </c>
      <c r="X57">
        <v>10</v>
      </c>
      <c r="Y57">
        <v>1.94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10</v>
      </c>
      <c r="AH57">
        <v>2</v>
      </c>
      <c r="AI57">
        <v>55455162</v>
      </c>
      <c r="AJ57">
        <v>55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ROW(Source!A46)</f>
        <v>46</v>
      </c>
      <c r="B58">
        <v>55455173</v>
      </c>
      <c r="C58">
        <v>55455155</v>
      </c>
      <c r="D58">
        <v>51127953</v>
      </c>
      <c r="E58">
        <v>68</v>
      </c>
      <c r="F58">
        <v>1</v>
      </c>
      <c r="G58">
        <v>1</v>
      </c>
      <c r="H58">
        <v>3</v>
      </c>
      <c r="I58" t="s">
        <v>397</v>
      </c>
      <c r="K58" t="s">
        <v>398</v>
      </c>
      <c r="L58">
        <v>1348</v>
      </c>
      <c r="N58">
        <v>1009</v>
      </c>
      <c r="O58" t="s">
        <v>34</v>
      </c>
      <c r="P58" t="s">
        <v>34</v>
      </c>
      <c r="Q58">
        <v>1000</v>
      </c>
      <c r="X58">
        <v>0.45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G58">
        <v>0.45</v>
      </c>
      <c r="AH58">
        <v>3</v>
      </c>
      <c r="AI58">
        <v>-1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ROW(Source!A46)</f>
        <v>46</v>
      </c>
      <c r="B59">
        <v>55455174</v>
      </c>
      <c r="C59">
        <v>55455155</v>
      </c>
      <c r="D59">
        <v>51130094</v>
      </c>
      <c r="E59">
        <v>68</v>
      </c>
      <c r="F59">
        <v>1</v>
      </c>
      <c r="G59">
        <v>1</v>
      </c>
      <c r="H59">
        <v>3</v>
      </c>
      <c r="I59" t="s">
        <v>399</v>
      </c>
      <c r="K59" t="s">
        <v>400</v>
      </c>
      <c r="L59">
        <v>1346</v>
      </c>
      <c r="N59">
        <v>1009</v>
      </c>
      <c r="O59" t="s">
        <v>85</v>
      </c>
      <c r="P59" t="s">
        <v>85</v>
      </c>
      <c r="Q59">
        <v>1</v>
      </c>
      <c r="X59">
        <v>20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G59">
        <v>20</v>
      </c>
      <c r="AH59">
        <v>3</v>
      </c>
      <c r="AI59">
        <v>-1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ROW(Source!A47)</f>
        <v>47</v>
      </c>
      <c r="B60">
        <v>55455166</v>
      </c>
      <c r="C60">
        <v>55455155</v>
      </c>
      <c r="D60">
        <v>51126788</v>
      </c>
      <c r="E60">
        <v>68</v>
      </c>
      <c r="F60">
        <v>1</v>
      </c>
      <c r="G60">
        <v>1</v>
      </c>
      <c r="H60">
        <v>1</v>
      </c>
      <c r="I60" t="s">
        <v>345</v>
      </c>
      <c r="K60" t="s">
        <v>346</v>
      </c>
      <c r="L60">
        <v>1191</v>
      </c>
      <c r="N60">
        <v>1013</v>
      </c>
      <c r="O60" t="s">
        <v>313</v>
      </c>
      <c r="P60" t="s">
        <v>313</v>
      </c>
      <c r="Q60">
        <v>1</v>
      </c>
      <c r="X60">
        <v>26.14</v>
      </c>
      <c r="Y60">
        <v>0</v>
      </c>
      <c r="Z60">
        <v>0</v>
      </c>
      <c r="AA60">
        <v>0</v>
      </c>
      <c r="AB60">
        <v>8.53</v>
      </c>
      <c r="AC60">
        <v>0</v>
      </c>
      <c r="AD60">
        <v>1</v>
      </c>
      <c r="AE60">
        <v>1</v>
      </c>
      <c r="AF60" t="s">
        <v>74</v>
      </c>
      <c r="AG60">
        <v>30.061</v>
      </c>
      <c r="AH60">
        <v>2</v>
      </c>
      <c r="AI60">
        <v>55455156</v>
      </c>
      <c r="AJ60">
        <v>59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ROW(Source!A47)</f>
        <v>47</v>
      </c>
      <c r="B61">
        <v>55455167</v>
      </c>
      <c r="C61">
        <v>55455155</v>
      </c>
      <c r="D61">
        <v>51127040</v>
      </c>
      <c r="E61">
        <v>68</v>
      </c>
      <c r="F61">
        <v>1</v>
      </c>
      <c r="G61">
        <v>1</v>
      </c>
      <c r="H61">
        <v>1</v>
      </c>
      <c r="I61" t="s">
        <v>316</v>
      </c>
      <c r="K61" t="s">
        <v>317</v>
      </c>
      <c r="L61">
        <v>1191</v>
      </c>
      <c r="N61">
        <v>1013</v>
      </c>
      <c r="O61" t="s">
        <v>313</v>
      </c>
      <c r="P61" t="s">
        <v>313</v>
      </c>
      <c r="Q61">
        <v>1</v>
      </c>
      <c r="X61">
        <v>0.09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2</v>
      </c>
      <c r="AF61" t="s">
        <v>73</v>
      </c>
      <c r="AG61">
        <v>0.11249999999999999</v>
      </c>
      <c r="AH61">
        <v>2</v>
      </c>
      <c r="AI61">
        <v>55455157</v>
      </c>
      <c r="AJ61">
        <v>60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ROW(Source!A47)</f>
        <v>47</v>
      </c>
      <c r="B62">
        <v>55455168</v>
      </c>
      <c r="C62">
        <v>55455155</v>
      </c>
      <c r="D62">
        <v>51289368</v>
      </c>
      <c r="E62">
        <v>1</v>
      </c>
      <c r="F62">
        <v>1</v>
      </c>
      <c r="G62">
        <v>1</v>
      </c>
      <c r="H62">
        <v>2</v>
      </c>
      <c r="I62" t="s">
        <v>353</v>
      </c>
      <c r="J62" t="s">
        <v>354</v>
      </c>
      <c r="K62" t="s">
        <v>355</v>
      </c>
      <c r="L62">
        <v>1367</v>
      </c>
      <c r="N62">
        <v>1011</v>
      </c>
      <c r="O62" t="s">
        <v>321</v>
      </c>
      <c r="P62" t="s">
        <v>321</v>
      </c>
      <c r="Q62">
        <v>1</v>
      </c>
      <c r="X62">
        <v>0.07</v>
      </c>
      <c r="Y62">
        <v>0</v>
      </c>
      <c r="Z62">
        <v>27.66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73</v>
      </c>
      <c r="AG62">
        <v>0.08750000000000001</v>
      </c>
      <c r="AH62">
        <v>2</v>
      </c>
      <c r="AI62">
        <v>55455158</v>
      </c>
      <c r="AJ62">
        <v>61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ROW(Source!A47)</f>
        <v>47</v>
      </c>
      <c r="B63">
        <v>55455169</v>
      </c>
      <c r="C63">
        <v>55455155</v>
      </c>
      <c r="D63">
        <v>51290110</v>
      </c>
      <c r="E63">
        <v>1</v>
      </c>
      <c r="F63">
        <v>1</v>
      </c>
      <c r="G63">
        <v>1</v>
      </c>
      <c r="H63">
        <v>2</v>
      </c>
      <c r="I63" t="s">
        <v>322</v>
      </c>
      <c r="J63" t="s">
        <v>323</v>
      </c>
      <c r="K63" t="s">
        <v>324</v>
      </c>
      <c r="L63">
        <v>1367</v>
      </c>
      <c r="N63">
        <v>1011</v>
      </c>
      <c r="O63" t="s">
        <v>321</v>
      </c>
      <c r="P63" t="s">
        <v>321</v>
      </c>
      <c r="Q63">
        <v>1</v>
      </c>
      <c r="X63">
        <v>0.02</v>
      </c>
      <c r="Y63">
        <v>0</v>
      </c>
      <c r="Z63">
        <v>65.71</v>
      </c>
      <c r="AA63">
        <v>11.6</v>
      </c>
      <c r="AB63">
        <v>0</v>
      </c>
      <c r="AC63">
        <v>0</v>
      </c>
      <c r="AD63">
        <v>1</v>
      </c>
      <c r="AE63">
        <v>0</v>
      </c>
      <c r="AF63" t="s">
        <v>73</v>
      </c>
      <c r="AG63">
        <v>0.025</v>
      </c>
      <c r="AH63">
        <v>2</v>
      </c>
      <c r="AI63">
        <v>55455159</v>
      </c>
      <c r="AJ63">
        <v>62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ROW(Source!A47)</f>
        <v>47</v>
      </c>
      <c r="B64">
        <v>55455170</v>
      </c>
      <c r="C64">
        <v>55455155</v>
      </c>
      <c r="D64">
        <v>51290980</v>
      </c>
      <c r="E64">
        <v>1</v>
      </c>
      <c r="F64">
        <v>1</v>
      </c>
      <c r="G64">
        <v>1</v>
      </c>
      <c r="H64">
        <v>2</v>
      </c>
      <c r="I64" t="s">
        <v>325</v>
      </c>
      <c r="J64" t="s">
        <v>326</v>
      </c>
      <c r="K64" t="s">
        <v>327</v>
      </c>
      <c r="L64">
        <v>1367</v>
      </c>
      <c r="N64">
        <v>1011</v>
      </c>
      <c r="O64" t="s">
        <v>321</v>
      </c>
      <c r="P64" t="s">
        <v>321</v>
      </c>
      <c r="Q64">
        <v>1</v>
      </c>
      <c r="X64">
        <v>2.8</v>
      </c>
      <c r="Y64">
        <v>0</v>
      </c>
      <c r="Z64">
        <v>3.29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73</v>
      </c>
      <c r="AG64">
        <v>3.5</v>
      </c>
      <c r="AH64">
        <v>2</v>
      </c>
      <c r="AI64">
        <v>55455160</v>
      </c>
      <c r="AJ64">
        <v>63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ROW(Source!A47)</f>
        <v>47</v>
      </c>
      <c r="B65">
        <v>55455171</v>
      </c>
      <c r="C65">
        <v>55455155</v>
      </c>
      <c r="D65">
        <v>51139447</v>
      </c>
      <c r="E65">
        <v>1</v>
      </c>
      <c r="F65">
        <v>1</v>
      </c>
      <c r="G65">
        <v>1</v>
      </c>
      <c r="H65">
        <v>3</v>
      </c>
      <c r="I65" t="s">
        <v>356</v>
      </c>
      <c r="J65" t="s">
        <v>357</v>
      </c>
      <c r="K65" t="s">
        <v>358</v>
      </c>
      <c r="L65">
        <v>1339</v>
      </c>
      <c r="N65">
        <v>1007</v>
      </c>
      <c r="O65" t="s">
        <v>111</v>
      </c>
      <c r="P65" t="s">
        <v>111</v>
      </c>
      <c r="Q65">
        <v>1</v>
      </c>
      <c r="X65">
        <v>0.16</v>
      </c>
      <c r="Y65">
        <v>2.44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0.16</v>
      </c>
      <c r="AH65">
        <v>2</v>
      </c>
      <c r="AI65">
        <v>55455161</v>
      </c>
      <c r="AJ65">
        <v>64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ROW(Source!A47)</f>
        <v>47</v>
      </c>
      <c r="B66">
        <v>55455172</v>
      </c>
      <c r="C66">
        <v>55455155</v>
      </c>
      <c r="D66">
        <v>51139938</v>
      </c>
      <c r="E66">
        <v>1</v>
      </c>
      <c r="F66">
        <v>1</v>
      </c>
      <c r="G66">
        <v>1</v>
      </c>
      <c r="H66">
        <v>3</v>
      </c>
      <c r="I66" t="s">
        <v>328</v>
      </c>
      <c r="J66" t="s">
        <v>329</v>
      </c>
      <c r="K66" t="s">
        <v>330</v>
      </c>
      <c r="L66">
        <v>1327</v>
      </c>
      <c r="N66">
        <v>1005</v>
      </c>
      <c r="O66" t="s">
        <v>106</v>
      </c>
      <c r="P66" t="s">
        <v>106</v>
      </c>
      <c r="Q66">
        <v>1</v>
      </c>
      <c r="X66">
        <v>10</v>
      </c>
      <c r="Y66">
        <v>1.94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10</v>
      </c>
      <c r="AH66">
        <v>2</v>
      </c>
      <c r="AI66">
        <v>55455162</v>
      </c>
      <c r="AJ66">
        <v>65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ROW(Source!A47)</f>
        <v>47</v>
      </c>
      <c r="B67">
        <v>55455173</v>
      </c>
      <c r="C67">
        <v>55455155</v>
      </c>
      <c r="D67">
        <v>51127953</v>
      </c>
      <c r="E67">
        <v>68</v>
      </c>
      <c r="F67">
        <v>1</v>
      </c>
      <c r="G67">
        <v>1</v>
      </c>
      <c r="H67">
        <v>3</v>
      </c>
      <c r="I67" t="s">
        <v>397</v>
      </c>
      <c r="K67" t="s">
        <v>398</v>
      </c>
      <c r="L67">
        <v>1348</v>
      </c>
      <c r="N67">
        <v>1009</v>
      </c>
      <c r="O67" t="s">
        <v>34</v>
      </c>
      <c r="P67" t="s">
        <v>34</v>
      </c>
      <c r="Q67">
        <v>1000</v>
      </c>
      <c r="X67">
        <v>0.45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G67">
        <v>0.45</v>
      </c>
      <c r="AH67">
        <v>3</v>
      </c>
      <c r="AI67">
        <v>-1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ROW(Source!A47)</f>
        <v>47</v>
      </c>
      <c r="B68">
        <v>55455174</v>
      </c>
      <c r="C68">
        <v>55455155</v>
      </c>
      <c r="D68">
        <v>51130094</v>
      </c>
      <c r="E68">
        <v>68</v>
      </c>
      <c r="F68">
        <v>1</v>
      </c>
      <c r="G68">
        <v>1</v>
      </c>
      <c r="H68">
        <v>3</v>
      </c>
      <c r="I68" t="s">
        <v>399</v>
      </c>
      <c r="K68" t="s">
        <v>400</v>
      </c>
      <c r="L68">
        <v>1346</v>
      </c>
      <c r="N68">
        <v>1009</v>
      </c>
      <c r="O68" t="s">
        <v>85</v>
      </c>
      <c r="P68" t="s">
        <v>85</v>
      </c>
      <c r="Q68">
        <v>1</v>
      </c>
      <c r="X68">
        <v>20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G68">
        <v>20</v>
      </c>
      <c r="AH68">
        <v>3</v>
      </c>
      <c r="AI68">
        <v>-1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ROW(Source!A54)</f>
        <v>54</v>
      </c>
      <c r="B69">
        <v>55455185</v>
      </c>
      <c r="C69">
        <v>55455178</v>
      </c>
      <c r="D69">
        <v>51126788</v>
      </c>
      <c r="E69">
        <v>68</v>
      </c>
      <c r="F69">
        <v>1</v>
      </c>
      <c r="G69">
        <v>1</v>
      </c>
      <c r="H69">
        <v>1</v>
      </c>
      <c r="I69" t="s">
        <v>345</v>
      </c>
      <c r="K69" t="s">
        <v>346</v>
      </c>
      <c r="L69">
        <v>1191</v>
      </c>
      <c r="N69">
        <v>1013</v>
      </c>
      <c r="O69" t="s">
        <v>313</v>
      </c>
      <c r="P69" t="s">
        <v>313</v>
      </c>
      <c r="Q69">
        <v>1</v>
      </c>
      <c r="X69">
        <v>2.33</v>
      </c>
      <c r="Y69">
        <v>0</v>
      </c>
      <c r="Z69">
        <v>0</v>
      </c>
      <c r="AA69">
        <v>0</v>
      </c>
      <c r="AB69">
        <v>8.53</v>
      </c>
      <c r="AC69">
        <v>0</v>
      </c>
      <c r="AD69">
        <v>1</v>
      </c>
      <c r="AE69">
        <v>1</v>
      </c>
      <c r="AF69" t="s">
        <v>97</v>
      </c>
      <c r="AG69">
        <v>18.7565</v>
      </c>
      <c r="AH69">
        <v>2</v>
      </c>
      <c r="AI69">
        <v>55455179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ROW(Source!A54)</f>
        <v>54</v>
      </c>
      <c r="B70">
        <v>55455186</v>
      </c>
      <c r="C70">
        <v>55455178</v>
      </c>
      <c r="D70">
        <v>51127040</v>
      </c>
      <c r="E70">
        <v>68</v>
      </c>
      <c r="F70">
        <v>1</v>
      </c>
      <c r="G70">
        <v>1</v>
      </c>
      <c r="H70">
        <v>1</v>
      </c>
      <c r="I70" t="s">
        <v>316</v>
      </c>
      <c r="K70" t="s">
        <v>317</v>
      </c>
      <c r="L70">
        <v>1191</v>
      </c>
      <c r="N70">
        <v>1013</v>
      </c>
      <c r="O70" t="s">
        <v>313</v>
      </c>
      <c r="P70" t="s">
        <v>313</v>
      </c>
      <c r="Q70">
        <v>1</v>
      </c>
      <c r="X70">
        <v>0.03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2</v>
      </c>
      <c r="AF70" t="s">
        <v>96</v>
      </c>
      <c r="AG70">
        <v>0.2625</v>
      </c>
      <c r="AH70">
        <v>2</v>
      </c>
      <c r="AI70">
        <v>55455180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ROW(Source!A54)</f>
        <v>54</v>
      </c>
      <c r="B71">
        <v>55455187</v>
      </c>
      <c r="C71">
        <v>55455178</v>
      </c>
      <c r="D71">
        <v>51289368</v>
      </c>
      <c r="E71">
        <v>1</v>
      </c>
      <c r="F71">
        <v>1</v>
      </c>
      <c r="G71">
        <v>1</v>
      </c>
      <c r="H71">
        <v>2</v>
      </c>
      <c r="I71" t="s">
        <v>353</v>
      </c>
      <c r="J71" t="s">
        <v>354</v>
      </c>
      <c r="K71" t="s">
        <v>355</v>
      </c>
      <c r="L71">
        <v>1367</v>
      </c>
      <c r="N71">
        <v>1011</v>
      </c>
      <c r="O71" t="s">
        <v>321</v>
      </c>
      <c r="P71" t="s">
        <v>321</v>
      </c>
      <c r="Q71">
        <v>1</v>
      </c>
      <c r="X71">
        <v>0.019</v>
      </c>
      <c r="Y71">
        <v>0</v>
      </c>
      <c r="Z71">
        <v>27.66</v>
      </c>
      <c r="AA71">
        <v>11.6</v>
      </c>
      <c r="AB71">
        <v>0</v>
      </c>
      <c r="AC71">
        <v>0</v>
      </c>
      <c r="AD71">
        <v>1</v>
      </c>
      <c r="AE71">
        <v>0</v>
      </c>
      <c r="AF71" t="s">
        <v>96</v>
      </c>
      <c r="AG71">
        <v>0.16625</v>
      </c>
      <c r="AH71">
        <v>2</v>
      </c>
      <c r="AI71">
        <v>55455181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ROW(Source!A54)</f>
        <v>54</v>
      </c>
      <c r="B72">
        <v>55455188</v>
      </c>
      <c r="C72">
        <v>55455178</v>
      </c>
      <c r="D72">
        <v>51290110</v>
      </c>
      <c r="E72">
        <v>1</v>
      </c>
      <c r="F72">
        <v>1</v>
      </c>
      <c r="G72">
        <v>1</v>
      </c>
      <c r="H72">
        <v>2</v>
      </c>
      <c r="I72" t="s">
        <v>322</v>
      </c>
      <c r="J72" t="s">
        <v>323</v>
      </c>
      <c r="K72" t="s">
        <v>324</v>
      </c>
      <c r="L72">
        <v>1367</v>
      </c>
      <c r="N72">
        <v>1011</v>
      </c>
      <c r="O72" t="s">
        <v>321</v>
      </c>
      <c r="P72" t="s">
        <v>321</v>
      </c>
      <c r="Q72">
        <v>1</v>
      </c>
      <c r="X72">
        <v>0.006</v>
      </c>
      <c r="Y72">
        <v>0</v>
      </c>
      <c r="Z72">
        <v>65.71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96</v>
      </c>
      <c r="AG72">
        <v>0.0525</v>
      </c>
      <c r="AH72">
        <v>2</v>
      </c>
      <c r="AI72">
        <v>55455182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ROW(Source!A54)</f>
        <v>54</v>
      </c>
      <c r="B73">
        <v>55455189</v>
      </c>
      <c r="C73">
        <v>55455178</v>
      </c>
      <c r="D73">
        <v>51139447</v>
      </c>
      <c r="E73">
        <v>1</v>
      </c>
      <c r="F73">
        <v>1</v>
      </c>
      <c r="G73">
        <v>1</v>
      </c>
      <c r="H73">
        <v>3</v>
      </c>
      <c r="I73" t="s">
        <v>356</v>
      </c>
      <c r="J73" t="s">
        <v>357</v>
      </c>
      <c r="K73" t="s">
        <v>358</v>
      </c>
      <c r="L73">
        <v>1339</v>
      </c>
      <c r="N73">
        <v>1007</v>
      </c>
      <c r="O73" t="s">
        <v>111</v>
      </c>
      <c r="P73" t="s">
        <v>111</v>
      </c>
      <c r="Q73">
        <v>1</v>
      </c>
      <c r="X73">
        <v>0.0404</v>
      </c>
      <c r="Y73">
        <v>2.44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95</v>
      </c>
      <c r="AG73">
        <v>0.2828</v>
      </c>
      <c r="AH73">
        <v>2</v>
      </c>
      <c r="AI73">
        <v>55455183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ROW(Source!A54)</f>
        <v>54</v>
      </c>
      <c r="B74">
        <v>55455190</v>
      </c>
      <c r="C74">
        <v>55455178</v>
      </c>
      <c r="D74">
        <v>51127953</v>
      </c>
      <c r="E74">
        <v>68</v>
      </c>
      <c r="F74">
        <v>1</v>
      </c>
      <c r="G74">
        <v>1</v>
      </c>
      <c r="H74">
        <v>3</v>
      </c>
      <c r="I74" t="s">
        <v>397</v>
      </c>
      <c r="K74" t="s">
        <v>398</v>
      </c>
      <c r="L74">
        <v>1348</v>
      </c>
      <c r="N74">
        <v>1009</v>
      </c>
      <c r="O74" t="s">
        <v>34</v>
      </c>
      <c r="P74" t="s">
        <v>34</v>
      </c>
      <c r="Q74">
        <v>1000</v>
      </c>
      <c r="X74">
        <v>0</v>
      </c>
      <c r="Y74">
        <v>0</v>
      </c>
      <c r="Z74">
        <v>0</v>
      </c>
      <c r="AA74">
        <v>0</v>
      </c>
      <c r="AB74">
        <v>0</v>
      </c>
      <c r="AC74">
        <v>1</v>
      </c>
      <c r="AD74">
        <v>0</v>
      </c>
      <c r="AE74">
        <v>0</v>
      </c>
      <c r="AF74" t="s">
        <v>95</v>
      </c>
      <c r="AG74">
        <v>0</v>
      </c>
      <c r="AH74">
        <v>3</v>
      </c>
      <c r="AI74">
        <v>-1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ROW(Source!A55)</f>
        <v>55</v>
      </c>
      <c r="B75">
        <v>55455185</v>
      </c>
      <c r="C75">
        <v>55455178</v>
      </c>
      <c r="D75">
        <v>51126788</v>
      </c>
      <c r="E75">
        <v>68</v>
      </c>
      <c r="F75">
        <v>1</v>
      </c>
      <c r="G75">
        <v>1</v>
      </c>
      <c r="H75">
        <v>1</v>
      </c>
      <c r="I75" t="s">
        <v>345</v>
      </c>
      <c r="K75" t="s">
        <v>346</v>
      </c>
      <c r="L75">
        <v>1191</v>
      </c>
      <c r="N75">
        <v>1013</v>
      </c>
      <c r="O75" t="s">
        <v>313</v>
      </c>
      <c r="P75" t="s">
        <v>313</v>
      </c>
      <c r="Q75">
        <v>1</v>
      </c>
      <c r="X75">
        <v>2.33</v>
      </c>
      <c r="Y75">
        <v>0</v>
      </c>
      <c r="Z75">
        <v>0</v>
      </c>
      <c r="AA75">
        <v>0</v>
      </c>
      <c r="AB75">
        <v>8.53</v>
      </c>
      <c r="AC75">
        <v>0</v>
      </c>
      <c r="AD75">
        <v>1</v>
      </c>
      <c r="AE75">
        <v>1</v>
      </c>
      <c r="AF75" t="s">
        <v>97</v>
      </c>
      <c r="AG75">
        <v>18.7565</v>
      </c>
      <c r="AH75">
        <v>2</v>
      </c>
      <c r="AI75">
        <v>55455179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ROW(Source!A55)</f>
        <v>55</v>
      </c>
      <c r="B76">
        <v>55455186</v>
      </c>
      <c r="C76">
        <v>55455178</v>
      </c>
      <c r="D76">
        <v>51127040</v>
      </c>
      <c r="E76">
        <v>68</v>
      </c>
      <c r="F76">
        <v>1</v>
      </c>
      <c r="G76">
        <v>1</v>
      </c>
      <c r="H76">
        <v>1</v>
      </c>
      <c r="I76" t="s">
        <v>316</v>
      </c>
      <c r="K76" t="s">
        <v>317</v>
      </c>
      <c r="L76">
        <v>1191</v>
      </c>
      <c r="N76">
        <v>1013</v>
      </c>
      <c r="O76" t="s">
        <v>313</v>
      </c>
      <c r="P76" t="s">
        <v>313</v>
      </c>
      <c r="Q76">
        <v>1</v>
      </c>
      <c r="X76">
        <v>0.03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96</v>
      </c>
      <c r="AG76">
        <v>0.2625</v>
      </c>
      <c r="AH76">
        <v>2</v>
      </c>
      <c r="AI76">
        <v>55455180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ROW(Source!A55)</f>
        <v>55</v>
      </c>
      <c r="B77">
        <v>55455187</v>
      </c>
      <c r="C77">
        <v>55455178</v>
      </c>
      <c r="D77">
        <v>51289368</v>
      </c>
      <c r="E77">
        <v>1</v>
      </c>
      <c r="F77">
        <v>1</v>
      </c>
      <c r="G77">
        <v>1</v>
      </c>
      <c r="H77">
        <v>2</v>
      </c>
      <c r="I77" t="s">
        <v>353</v>
      </c>
      <c r="J77" t="s">
        <v>354</v>
      </c>
      <c r="K77" t="s">
        <v>355</v>
      </c>
      <c r="L77">
        <v>1367</v>
      </c>
      <c r="N77">
        <v>1011</v>
      </c>
      <c r="O77" t="s">
        <v>321</v>
      </c>
      <c r="P77" t="s">
        <v>321</v>
      </c>
      <c r="Q77">
        <v>1</v>
      </c>
      <c r="X77">
        <v>0.019</v>
      </c>
      <c r="Y77">
        <v>0</v>
      </c>
      <c r="Z77">
        <v>27.66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96</v>
      </c>
      <c r="AG77">
        <v>0.16625</v>
      </c>
      <c r="AH77">
        <v>2</v>
      </c>
      <c r="AI77">
        <v>55455181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ROW(Source!A55)</f>
        <v>55</v>
      </c>
      <c r="B78">
        <v>55455188</v>
      </c>
      <c r="C78">
        <v>55455178</v>
      </c>
      <c r="D78">
        <v>51290110</v>
      </c>
      <c r="E78">
        <v>1</v>
      </c>
      <c r="F78">
        <v>1</v>
      </c>
      <c r="G78">
        <v>1</v>
      </c>
      <c r="H78">
        <v>2</v>
      </c>
      <c r="I78" t="s">
        <v>322</v>
      </c>
      <c r="J78" t="s">
        <v>323</v>
      </c>
      <c r="K78" t="s">
        <v>324</v>
      </c>
      <c r="L78">
        <v>1367</v>
      </c>
      <c r="N78">
        <v>1011</v>
      </c>
      <c r="O78" t="s">
        <v>321</v>
      </c>
      <c r="P78" t="s">
        <v>321</v>
      </c>
      <c r="Q78">
        <v>1</v>
      </c>
      <c r="X78">
        <v>0.006</v>
      </c>
      <c r="Y78">
        <v>0</v>
      </c>
      <c r="Z78">
        <v>65.71</v>
      </c>
      <c r="AA78">
        <v>11.6</v>
      </c>
      <c r="AB78">
        <v>0</v>
      </c>
      <c r="AC78">
        <v>0</v>
      </c>
      <c r="AD78">
        <v>1</v>
      </c>
      <c r="AE78">
        <v>0</v>
      </c>
      <c r="AF78" t="s">
        <v>96</v>
      </c>
      <c r="AG78">
        <v>0.0525</v>
      </c>
      <c r="AH78">
        <v>2</v>
      </c>
      <c r="AI78">
        <v>55455182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ROW(Source!A55)</f>
        <v>55</v>
      </c>
      <c r="B79">
        <v>55455189</v>
      </c>
      <c r="C79">
        <v>55455178</v>
      </c>
      <c r="D79">
        <v>51139447</v>
      </c>
      <c r="E79">
        <v>1</v>
      </c>
      <c r="F79">
        <v>1</v>
      </c>
      <c r="G79">
        <v>1</v>
      </c>
      <c r="H79">
        <v>3</v>
      </c>
      <c r="I79" t="s">
        <v>356</v>
      </c>
      <c r="J79" t="s">
        <v>357</v>
      </c>
      <c r="K79" t="s">
        <v>358</v>
      </c>
      <c r="L79">
        <v>1339</v>
      </c>
      <c r="N79">
        <v>1007</v>
      </c>
      <c r="O79" t="s">
        <v>111</v>
      </c>
      <c r="P79" t="s">
        <v>111</v>
      </c>
      <c r="Q79">
        <v>1</v>
      </c>
      <c r="X79">
        <v>0.0404</v>
      </c>
      <c r="Y79">
        <v>2.44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95</v>
      </c>
      <c r="AG79">
        <v>0.2828</v>
      </c>
      <c r="AH79">
        <v>2</v>
      </c>
      <c r="AI79">
        <v>55455183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ROW(Source!A55)</f>
        <v>55</v>
      </c>
      <c r="B80">
        <v>55455190</v>
      </c>
      <c r="C80">
        <v>55455178</v>
      </c>
      <c r="D80">
        <v>51127953</v>
      </c>
      <c r="E80">
        <v>68</v>
      </c>
      <c r="F80">
        <v>1</v>
      </c>
      <c r="G80">
        <v>1</v>
      </c>
      <c r="H80">
        <v>3</v>
      </c>
      <c r="I80" t="s">
        <v>397</v>
      </c>
      <c r="K80" t="s">
        <v>398</v>
      </c>
      <c r="L80">
        <v>1348</v>
      </c>
      <c r="N80">
        <v>1009</v>
      </c>
      <c r="O80" t="s">
        <v>34</v>
      </c>
      <c r="P80" t="s">
        <v>34</v>
      </c>
      <c r="Q80">
        <v>1000</v>
      </c>
      <c r="X80">
        <v>0</v>
      </c>
      <c r="Y80">
        <v>0</v>
      </c>
      <c r="Z80">
        <v>0</v>
      </c>
      <c r="AA80">
        <v>0</v>
      </c>
      <c r="AB80">
        <v>0</v>
      </c>
      <c r="AC80">
        <v>1</v>
      </c>
      <c r="AD80">
        <v>0</v>
      </c>
      <c r="AE80">
        <v>0</v>
      </c>
      <c r="AF80" t="s">
        <v>95</v>
      </c>
      <c r="AG80">
        <v>0</v>
      </c>
      <c r="AH80">
        <v>3</v>
      </c>
      <c r="AI80">
        <v>-1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ROW(Source!A58)</f>
        <v>58</v>
      </c>
      <c r="B81">
        <v>55468345</v>
      </c>
      <c r="C81">
        <v>55468344</v>
      </c>
      <c r="D81">
        <v>51126794</v>
      </c>
      <c r="E81">
        <v>68</v>
      </c>
      <c r="F81">
        <v>1</v>
      </c>
      <c r="G81">
        <v>1</v>
      </c>
      <c r="H81">
        <v>1</v>
      </c>
      <c r="I81" t="s">
        <v>359</v>
      </c>
      <c r="K81" t="s">
        <v>360</v>
      </c>
      <c r="L81">
        <v>1191</v>
      </c>
      <c r="N81">
        <v>1013</v>
      </c>
      <c r="O81" t="s">
        <v>313</v>
      </c>
      <c r="P81" t="s">
        <v>313</v>
      </c>
      <c r="Q81">
        <v>1</v>
      </c>
      <c r="X81">
        <v>310.42</v>
      </c>
      <c r="Y81">
        <v>0</v>
      </c>
      <c r="Z81">
        <v>0</v>
      </c>
      <c r="AA81">
        <v>0</v>
      </c>
      <c r="AB81">
        <v>8.74</v>
      </c>
      <c r="AC81">
        <v>0</v>
      </c>
      <c r="AD81">
        <v>1</v>
      </c>
      <c r="AE81">
        <v>1</v>
      </c>
      <c r="AF81" t="s">
        <v>74</v>
      </c>
      <c r="AG81">
        <v>356.983</v>
      </c>
      <c r="AH81">
        <v>2</v>
      </c>
      <c r="AI81">
        <v>55468345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ROW(Source!A58)</f>
        <v>58</v>
      </c>
      <c r="B82">
        <v>55468346</v>
      </c>
      <c r="C82">
        <v>55468344</v>
      </c>
      <c r="D82">
        <v>51127040</v>
      </c>
      <c r="E82">
        <v>68</v>
      </c>
      <c r="F82">
        <v>1</v>
      </c>
      <c r="G82">
        <v>1</v>
      </c>
      <c r="H82">
        <v>1</v>
      </c>
      <c r="I82" t="s">
        <v>316</v>
      </c>
      <c r="K82" t="s">
        <v>317</v>
      </c>
      <c r="L82">
        <v>1191</v>
      </c>
      <c r="N82">
        <v>1013</v>
      </c>
      <c r="O82" t="s">
        <v>313</v>
      </c>
      <c r="P82" t="s">
        <v>313</v>
      </c>
      <c r="Q82">
        <v>1</v>
      </c>
      <c r="X82">
        <v>1.73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F82" t="s">
        <v>73</v>
      </c>
      <c r="AG82">
        <v>2.1625</v>
      </c>
      <c r="AH82">
        <v>2</v>
      </c>
      <c r="AI82">
        <v>55468346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ROW(Source!A58)</f>
        <v>58</v>
      </c>
      <c r="B83">
        <v>55468347</v>
      </c>
      <c r="C83">
        <v>55468344</v>
      </c>
      <c r="D83">
        <v>51289117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1367</v>
      </c>
      <c r="N83">
        <v>1011</v>
      </c>
      <c r="O83" t="s">
        <v>321</v>
      </c>
      <c r="P83" t="s">
        <v>321</v>
      </c>
      <c r="Q83">
        <v>1</v>
      </c>
      <c r="X83">
        <v>0.02</v>
      </c>
      <c r="Y83">
        <v>0</v>
      </c>
      <c r="Z83">
        <v>83.43</v>
      </c>
      <c r="AA83">
        <v>13.5</v>
      </c>
      <c r="AB83">
        <v>0</v>
      </c>
      <c r="AC83">
        <v>0</v>
      </c>
      <c r="AD83">
        <v>1</v>
      </c>
      <c r="AE83">
        <v>0</v>
      </c>
      <c r="AF83" t="s">
        <v>73</v>
      </c>
      <c r="AG83">
        <v>0.025</v>
      </c>
      <c r="AH83">
        <v>2</v>
      </c>
      <c r="AI83">
        <v>55468347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ROW(Source!A58)</f>
        <v>58</v>
      </c>
      <c r="B84">
        <v>55468348</v>
      </c>
      <c r="C84">
        <v>55468344</v>
      </c>
      <c r="D84">
        <v>51289176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1367</v>
      </c>
      <c r="N84">
        <v>1011</v>
      </c>
      <c r="O84" t="s">
        <v>321</v>
      </c>
      <c r="P84" t="s">
        <v>321</v>
      </c>
      <c r="Q84">
        <v>1</v>
      </c>
      <c r="X84">
        <v>0.01</v>
      </c>
      <c r="Y84">
        <v>0</v>
      </c>
      <c r="Z84">
        <v>115.4</v>
      </c>
      <c r="AA84">
        <v>13.5</v>
      </c>
      <c r="AB84">
        <v>0</v>
      </c>
      <c r="AC84">
        <v>0</v>
      </c>
      <c r="AD84">
        <v>1</v>
      </c>
      <c r="AE84">
        <v>0</v>
      </c>
      <c r="AF84" t="s">
        <v>73</v>
      </c>
      <c r="AG84">
        <v>0.0125</v>
      </c>
      <c r="AH84">
        <v>2</v>
      </c>
      <c r="AI84">
        <v>55468348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ROW(Source!A58)</f>
        <v>58</v>
      </c>
      <c r="B85">
        <v>55468349</v>
      </c>
      <c r="C85">
        <v>55468344</v>
      </c>
      <c r="D85">
        <v>51289493</v>
      </c>
      <c r="E85">
        <v>1</v>
      </c>
      <c r="F85">
        <v>1</v>
      </c>
      <c r="G85">
        <v>1</v>
      </c>
      <c r="H85">
        <v>2</v>
      </c>
      <c r="I85" t="s">
        <v>367</v>
      </c>
      <c r="J85" t="s">
        <v>368</v>
      </c>
      <c r="K85" t="s">
        <v>369</v>
      </c>
      <c r="L85">
        <v>1367</v>
      </c>
      <c r="N85">
        <v>1011</v>
      </c>
      <c r="O85" t="s">
        <v>321</v>
      </c>
      <c r="P85" t="s">
        <v>321</v>
      </c>
      <c r="Q85">
        <v>1</v>
      </c>
      <c r="X85">
        <v>1.69</v>
      </c>
      <c r="Y85">
        <v>0</v>
      </c>
      <c r="Z85">
        <v>12.39</v>
      </c>
      <c r="AA85">
        <v>10.06</v>
      </c>
      <c r="AB85">
        <v>0</v>
      </c>
      <c r="AC85">
        <v>0</v>
      </c>
      <c r="AD85">
        <v>1</v>
      </c>
      <c r="AE85">
        <v>0</v>
      </c>
      <c r="AF85" t="s">
        <v>73</v>
      </c>
      <c r="AG85">
        <v>2.1125</v>
      </c>
      <c r="AH85">
        <v>2</v>
      </c>
      <c r="AI85">
        <v>55468349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ROW(Source!A58)</f>
        <v>58</v>
      </c>
      <c r="B86">
        <v>55468350</v>
      </c>
      <c r="C86">
        <v>55468344</v>
      </c>
      <c r="D86">
        <v>51290110</v>
      </c>
      <c r="E86">
        <v>1</v>
      </c>
      <c r="F86">
        <v>1</v>
      </c>
      <c r="G86">
        <v>1</v>
      </c>
      <c r="H86">
        <v>2</v>
      </c>
      <c r="I86" t="s">
        <v>322</v>
      </c>
      <c r="J86" t="s">
        <v>323</v>
      </c>
      <c r="K86" t="s">
        <v>324</v>
      </c>
      <c r="L86">
        <v>1367</v>
      </c>
      <c r="N86">
        <v>1011</v>
      </c>
      <c r="O86" t="s">
        <v>321</v>
      </c>
      <c r="P86" t="s">
        <v>321</v>
      </c>
      <c r="Q86">
        <v>1</v>
      </c>
      <c r="X86">
        <v>0.01</v>
      </c>
      <c r="Y86">
        <v>0</v>
      </c>
      <c r="Z86">
        <v>65.71</v>
      </c>
      <c r="AA86">
        <v>11.6</v>
      </c>
      <c r="AB86">
        <v>0</v>
      </c>
      <c r="AC86">
        <v>0</v>
      </c>
      <c r="AD86">
        <v>1</v>
      </c>
      <c r="AE86">
        <v>0</v>
      </c>
      <c r="AF86" t="s">
        <v>73</v>
      </c>
      <c r="AG86">
        <v>0.0125</v>
      </c>
      <c r="AH86">
        <v>2</v>
      </c>
      <c r="AI86">
        <v>55468350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ROW(Source!A58)</f>
        <v>58</v>
      </c>
      <c r="B87">
        <v>55468351</v>
      </c>
      <c r="C87">
        <v>55468344</v>
      </c>
      <c r="D87">
        <v>51139447</v>
      </c>
      <c r="E87">
        <v>1</v>
      </c>
      <c r="F87">
        <v>1</v>
      </c>
      <c r="G87">
        <v>1</v>
      </c>
      <c r="H87">
        <v>3</v>
      </c>
      <c r="I87" t="s">
        <v>356</v>
      </c>
      <c r="J87" t="s">
        <v>357</v>
      </c>
      <c r="K87" t="s">
        <v>358</v>
      </c>
      <c r="L87">
        <v>1339</v>
      </c>
      <c r="N87">
        <v>1007</v>
      </c>
      <c r="O87" t="s">
        <v>111</v>
      </c>
      <c r="P87" t="s">
        <v>111</v>
      </c>
      <c r="Q87">
        <v>1</v>
      </c>
      <c r="X87">
        <v>0.44</v>
      </c>
      <c r="Y87">
        <v>2.44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0.44</v>
      </c>
      <c r="AH87">
        <v>2</v>
      </c>
      <c r="AI87">
        <v>55468351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ROW(Source!A58)</f>
        <v>58</v>
      </c>
      <c r="B88">
        <v>55468352</v>
      </c>
      <c r="C88">
        <v>55468344</v>
      </c>
      <c r="D88">
        <v>51144946</v>
      </c>
      <c r="E88">
        <v>1</v>
      </c>
      <c r="F88">
        <v>1</v>
      </c>
      <c r="G88">
        <v>1</v>
      </c>
      <c r="H88">
        <v>3</v>
      </c>
      <c r="I88" t="s">
        <v>370</v>
      </c>
      <c r="J88" t="s">
        <v>371</v>
      </c>
      <c r="K88" t="s">
        <v>372</v>
      </c>
      <c r="L88">
        <v>1348</v>
      </c>
      <c r="N88">
        <v>1009</v>
      </c>
      <c r="O88" t="s">
        <v>34</v>
      </c>
      <c r="P88" t="s">
        <v>34</v>
      </c>
      <c r="Q88">
        <v>1000</v>
      </c>
      <c r="X88">
        <v>0.013</v>
      </c>
      <c r="Y88">
        <v>6513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0.013</v>
      </c>
      <c r="AH88">
        <v>2</v>
      </c>
      <c r="AI88">
        <v>55468352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ROW(Source!A58)</f>
        <v>58</v>
      </c>
      <c r="B89">
        <v>55468353</v>
      </c>
      <c r="C89">
        <v>55468344</v>
      </c>
      <c r="D89">
        <v>51128651</v>
      </c>
      <c r="E89">
        <v>68</v>
      </c>
      <c r="F89">
        <v>1</v>
      </c>
      <c r="G89">
        <v>1</v>
      </c>
      <c r="H89">
        <v>3</v>
      </c>
      <c r="I89" t="s">
        <v>104</v>
      </c>
      <c r="K89" t="s">
        <v>105</v>
      </c>
      <c r="L89">
        <v>1327</v>
      </c>
      <c r="N89">
        <v>1005</v>
      </c>
      <c r="O89" t="s">
        <v>106</v>
      </c>
      <c r="P89" t="s">
        <v>106</v>
      </c>
      <c r="Q89">
        <v>1</v>
      </c>
      <c r="X89">
        <v>102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G89">
        <v>102</v>
      </c>
      <c r="AH89">
        <v>2</v>
      </c>
      <c r="AI89">
        <v>55468353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ROW(Source!A58)</f>
        <v>58</v>
      </c>
      <c r="B90">
        <v>55468354</v>
      </c>
      <c r="C90">
        <v>55468344</v>
      </c>
      <c r="D90">
        <v>51129451</v>
      </c>
      <c r="E90">
        <v>68</v>
      </c>
      <c r="F90">
        <v>1</v>
      </c>
      <c r="G90">
        <v>1</v>
      </c>
      <c r="H90">
        <v>3</v>
      </c>
      <c r="I90" t="s">
        <v>109</v>
      </c>
      <c r="K90" t="s">
        <v>110</v>
      </c>
      <c r="L90">
        <v>1339</v>
      </c>
      <c r="N90">
        <v>1007</v>
      </c>
      <c r="O90" t="s">
        <v>111</v>
      </c>
      <c r="P90" t="s">
        <v>111</v>
      </c>
      <c r="Q90">
        <v>1</v>
      </c>
      <c r="X90">
        <v>0.01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G90">
        <v>0.01</v>
      </c>
      <c r="AH90">
        <v>2</v>
      </c>
      <c r="AI90">
        <v>55468354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ROW(Source!A58)</f>
        <v>58</v>
      </c>
      <c r="B91">
        <v>55468355</v>
      </c>
      <c r="C91">
        <v>55468344</v>
      </c>
      <c r="D91">
        <v>51129984</v>
      </c>
      <c r="E91">
        <v>68</v>
      </c>
      <c r="F91">
        <v>1</v>
      </c>
      <c r="G91">
        <v>1</v>
      </c>
      <c r="H91">
        <v>3</v>
      </c>
      <c r="I91" t="s">
        <v>113</v>
      </c>
      <c r="K91" t="s">
        <v>114</v>
      </c>
      <c r="L91">
        <v>1348</v>
      </c>
      <c r="N91">
        <v>1009</v>
      </c>
      <c r="O91" t="s">
        <v>34</v>
      </c>
      <c r="P91" t="s">
        <v>34</v>
      </c>
      <c r="Q91">
        <v>1000</v>
      </c>
      <c r="X91">
        <v>1.2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G91">
        <v>1.2</v>
      </c>
      <c r="AH91">
        <v>2</v>
      </c>
      <c r="AI91">
        <v>55468355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ROW(Source!A58)</f>
        <v>58</v>
      </c>
      <c r="B92">
        <v>55468356</v>
      </c>
      <c r="C92">
        <v>55468344</v>
      </c>
      <c r="D92">
        <v>51130114</v>
      </c>
      <c r="E92">
        <v>68</v>
      </c>
      <c r="F92">
        <v>1</v>
      </c>
      <c r="G92">
        <v>1</v>
      </c>
      <c r="H92">
        <v>3</v>
      </c>
      <c r="I92" t="s">
        <v>395</v>
      </c>
      <c r="K92" t="s">
        <v>396</v>
      </c>
      <c r="L92">
        <v>1348</v>
      </c>
      <c r="N92">
        <v>1009</v>
      </c>
      <c r="O92" t="s">
        <v>34</v>
      </c>
      <c r="P92" t="s">
        <v>34</v>
      </c>
      <c r="Q92">
        <v>1000</v>
      </c>
      <c r="X92">
        <v>0</v>
      </c>
      <c r="Y92">
        <v>0</v>
      </c>
      <c r="Z92">
        <v>0</v>
      </c>
      <c r="AA92">
        <v>0</v>
      </c>
      <c r="AB92">
        <v>0</v>
      </c>
      <c r="AC92">
        <v>1</v>
      </c>
      <c r="AD92">
        <v>0</v>
      </c>
      <c r="AE92">
        <v>0</v>
      </c>
      <c r="AG92">
        <v>0</v>
      </c>
      <c r="AH92">
        <v>3</v>
      </c>
      <c r="AI92">
        <v>-1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ROW(Source!A59)</f>
        <v>59</v>
      </c>
      <c r="B93">
        <v>55468345</v>
      </c>
      <c r="C93">
        <v>55468344</v>
      </c>
      <c r="D93">
        <v>51126794</v>
      </c>
      <c r="E93">
        <v>68</v>
      </c>
      <c r="F93">
        <v>1</v>
      </c>
      <c r="G93">
        <v>1</v>
      </c>
      <c r="H93">
        <v>1</v>
      </c>
      <c r="I93" t="s">
        <v>359</v>
      </c>
      <c r="K93" t="s">
        <v>360</v>
      </c>
      <c r="L93">
        <v>1191</v>
      </c>
      <c r="N93">
        <v>1013</v>
      </c>
      <c r="O93" t="s">
        <v>313</v>
      </c>
      <c r="P93" t="s">
        <v>313</v>
      </c>
      <c r="Q93">
        <v>1</v>
      </c>
      <c r="X93">
        <v>310.42</v>
      </c>
      <c r="Y93">
        <v>0</v>
      </c>
      <c r="Z93">
        <v>0</v>
      </c>
      <c r="AA93">
        <v>0</v>
      </c>
      <c r="AB93">
        <v>8.74</v>
      </c>
      <c r="AC93">
        <v>0</v>
      </c>
      <c r="AD93">
        <v>1</v>
      </c>
      <c r="AE93">
        <v>1</v>
      </c>
      <c r="AF93" t="s">
        <v>74</v>
      </c>
      <c r="AG93">
        <v>356.983</v>
      </c>
      <c r="AH93">
        <v>2</v>
      </c>
      <c r="AI93">
        <v>55468345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ROW(Source!A59)</f>
        <v>59</v>
      </c>
      <c r="B94">
        <v>55468346</v>
      </c>
      <c r="C94">
        <v>55468344</v>
      </c>
      <c r="D94">
        <v>51127040</v>
      </c>
      <c r="E94">
        <v>68</v>
      </c>
      <c r="F94">
        <v>1</v>
      </c>
      <c r="G94">
        <v>1</v>
      </c>
      <c r="H94">
        <v>1</v>
      </c>
      <c r="I94" t="s">
        <v>316</v>
      </c>
      <c r="K94" t="s">
        <v>317</v>
      </c>
      <c r="L94">
        <v>1191</v>
      </c>
      <c r="N94">
        <v>1013</v>
      </c>
      <c r="O94" t="s">
        <v>313</v>
      </c>
      <c r="P94" t="s">
        <v>313</v>
      </c>
      <c r="Q94">
        <v>1</v>
      </c>
      <c r="X94">
        <v>1.73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73</v>
      </c>
      <c r="AG94">
        <v>2.1625</v>
      </c>
      <c r="AH94">
        <v>2</v>
      </c>
      <c r="AI94">
        <v>55468346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ROW(Source!A59)</f>
        <v>59</v>
      </c>
      <c r="B95">
        <v>55468347</v>
      </c>
      <c r="C95">
        <v>55468344</v>
      </c>
      <c r="D95">
        <v>51289117</v>
      </c>
      <c r="E95">
        <v>1</v>
      </c>
      <c r="F95">
        <v>1</v>
      </c>
      <c r="G95">
        <v>1</v>
      </c>
      <c r="H95">
        <v>2</v>
      </c>
      <c r="I95" t="s">
        <v>361</v>
      </c>
      <c r="J95" t="s">
        <v>362</v>
      </c>
      <c r="K95" t="s">
        <v>363</v>
      </c>
      <c r="L95">
        <v>1367</v>
      </c>
      <c r="N95">
        <v>1011</v>
      </c>
      <c r="O95" t="s">
        <v>321</v>
      </c>
      <c r="P95" t="s">
        <v>321</v>
      </c>
      <c r="Q95">
        <v>1</v>
      </c>
      <c r="X95">
        <v>0.02</v>
      </c>
      <c r="Y95">
        <v>0</v>
      </c>
      <c r="Z95">
        <v>83.43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73</v>
      </c>
      <c r="AG95">
        <v>0.025</v>
      </c>
      <c r="AH95">
        <v>2</v>
      </c>
      <c r="AI95">
        <v>55468347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ROW(Source!A59)</f>
        <v>59</v>
      </c>
      <c r="B96">
        <v>55468348</v>
      </c>
      <c r="C96">
        <v>55468344</v>
      </c>
      <c r="D96">
        <v>51289176</v>
      </c>
      <c r="E96">
        <v>1</v>
      </c>
      <c r="F96">
        <v>1</v>
      </c>
      <c r="G96">
        <v>1</v>
      </c>
      <c r="H96">
        <v>2</v>
      </c>
      <c r="I96" t="s">
        <v>364</v>
      </c>
      <c r="J96" t="s">
        <v>365</v>
      </c>
      <c r="K96" t="s">
        <v>366</v>
      </c>
      <c r="L96">
        <v>1367</v>
      </c>
      <c r="N96">
        <v>1011</v>
      </c>
      <c r="O96" t="s">
        <v>321</v>
      </c>
      <c r="P96" t="s">
        <v>321</v>
      </c>
      <c r="Q96">
        <v>1</v>
      </c>
      <c r="X96">
        <v>0.01</v>
      </c>
      <c r="Y96">
        <v>0</v>
      </c>
      <c r="Z96">
        <v>115.4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73</v>
      </c>
      <c r="AG96">
        <v>0.0125</v>
      </c>
      <c r="AH96">
        <v>2</v>
      </c>
      <c r="AI96">
        <v>55468348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ROW(Source!A59)</f>
        <v>59</v>
      </c>
      <c r="B97">
        <v>55468349</v>
      </c>
      <c r="C97">
        <v>55468344</v>
      </c>
      <c r="D97">
        <v>51289493</v>
      </c>
      <c r="E97">
        <v>1</v>
      </c>
      <c r="F97">
        <v>1</v>
      </c>
      <c r="G97">
        <v>1</v>
      </c>
      <c r="H97">
        <v>2</v>
      </c>
      <c r="I97" t="s">
        <v>367</v>
      </c>
      <c r="J97" t="s">
        <v>368</v>
      </c>
      <c r="K97" t="s">
        <v>369</v>
      </c>
      <c r="L97">
        <v>1367</v>
      </c>
      <c r="N97">
        <v>1011</v>
      </c>
      <c r="O97" t="s">
        <v>321</v>
      </c>
      <c r="P97" t="s">
        <v>321</v>
      </c>
      <c r="Q97">
        <v>1</v>
      </c>
      <c r="X97">
        <v>1.69</v>
      </c>
      <c r="Y97">
        <v>0</v>
      </c>
      <c r="Z97">
        <v>12.39</v>
      </c>
      <c r="AA97">
        <v>10.06</v>
      </c>
      <c r="AB97">
        <v>0</v>
      </c>
      <c r="AC97">
        <v>0</v>
      </c>
      <c r="AD97">
        <v>1</v>
      </c>
      <c r="AE97">
        <v>0</v>
      </c>
      <c r="AF97" t="s">
        <v>73</v>
      </c>
      <c r="AG97">
        <v>2.1125</v>
      </c>
      <c r="AH97">
        <v>2</v>
      </c>
      <c r="AI97">
        <v>55468349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ROW(Source!A59)</f>
        <v>59</v>
      </c>
      <c r="B98">
        <v>55468350</v>
      </c>
      <c r="C98">
        <v>55468344</v>
      </c>
      <c r="D98">
        <v>51290110</v>
      </c>
      <c r="E98">
        <v>1</v>
      </c>
      <c r="F98">
        <v>1</v>
      </c>
      <c r="G98">
        <v>1</v>
      </c>
      <c r="H98">
        <v>2</v>
      </c>
      <c r="I98" t="s">
        <v>322</v>
      </c>
      <c r="J98" t="s">
        <v>323</v>
      </c>
      <c r="K98" t="s">
        <v>324</v>
      </c>
      <c r="L98">
        <v>1367</v>
      </c>
      <c r="N98">
        <v>1011</v>
      </c>
      <c r="O98" t="s">
        <v>321</v>
      </c>
      <c r="P98" t="s">
        <v>321</v>
      </c>
      <c r="Q98">
        <v>1</v>
      </c>
      <c r="X98">
        <v>0.01</v>
      </c>
      <c r="Y98">
        <v>0</v>
      </c>
      <c r="Z98">
        <v>65.71</v>
      </c>
      <c r="AA98">
        <v>11.6</v>
      </c>
      <c r="AB98">
        <v>0</v>
      </c>
      <c r="AC98">
        <v>0</v>
      </c>
      <c r="AD98">
        <v>1</v>
      </c>
      <c r="AE98">
        <v>0</v>
      </c>
      <c r="AF98" t="s">
        <v>73</v>
      </c>
      <c r="AG98">
        <v>0.0125</v>
      </c>
      <c r="AH98">
        <v>2</v>
      </c>
      <c r="AI98">
        <v>55468350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ROW(Source!A59)</f>
        <v>59</v>
      </c>
      <c r="B99">
        <v>55468351</v>
      </c>
      <c r="C99">
        <v>55468344</v>
      </c>
      <c r="D99">
        <v>51139447</v>
      </c>
      <c r="E99">
        <v>1</v>
      </c>
      <c r="F99">
        <v>1</v>
      </c>
      <c r="G99">
        <v>1</v>
      </c>
      <c r="H99">
        <v>3</v>
      </c>
      <c r="I99" t="s">
        <v>356</v>
      </c>
      <c r="J99" t="s">
        <v>357</v>
      </c>
      <c r="K99" t="s">
        <v>358</v>
      </c>
      <c r="L99">
        <v>1339</v>
      </c>
      <c r="N99">
        <v>1007</v>
      </c>
      <c r="O99" t="s">
        <v>111</v>
      </c>
      <c r="P99" t="s">
        <v>111</v>
      </c>
      <c r="Q99">
        <v>1</v>
      </c>
      <c r="X99">
        <v>0.44</v>
      </c>
      <c r="Y99">
        <v>2.44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0.44</v>
      </c>
      <c r="AH99">
        <v>2</v>
      </c>
      <c r="AI99">
        <v>55468351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ROW(Source!A59)</f>
        <v>59</v>
      </c>
      <c r="B100">
        <v>55468352</v>
      </c>
      <c r="C100">
        <v>55468344</v>
      </c>
      <c r="D100">
        <v>51144946</v>
      </c>
      <c r="E100">
        <v>1</v>
      </c>
      <c r="F100">
        <v>1</v>
      </c>
      <c r="G100">
        <v>1</v>
      </c>
      <c r="H100">
        <v>3</v>
      </c>
      <c r="I100" t="s">
        <v>370</v>
      </c>
      <c r="J100" t="s">
        <v>371</v>
      </c>
      <c r="K100" t="s">
        <v>372</v>
      </c>
      <c r="L100">
        <v>1348</v>
      </c>
      <c r="N100">
        <v>1009</v>
      </c>
      <c r="O100" t="s">
        <v>34</v>
      </c>
      <c r="P100" t="s">
        <v>34</v>
      </c>
      <c r="Q100">
        <v>1000</v>
      </c>
      <c r="X100">
        <v>0.013</v>
      </c>
      <c r="Y100">
        <v>6513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0.013</v>
      </c>
      <c r="AH100">
        <v>2</v>
      </c>
      <c r="AI100">
        <v>55468352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ROW(Source!A59)</f>
        <v>59</v>
      </c>
      <c r="B101">
        <v>55468353</v>
      </c>
      <c r="C101">
        <v>55468344</v>
      </c>
      <c r="D101">
        <v>51128651</v>
      </c>
      <c r="E101">
        <v>68</v>
      </c>
      <c r="F101">
        <v>1</v>
      </c>
      <c r="G101">
        <v>1</v>
      </c>
      <c r="H101">
        <v>3</v>
      </c>
      <c r="I101" t="s">
        <v>104</v>
      </c>
      <c r="K101" t="s">
        <v>105</v>
      </c>
      <c r="L101">
        <v>1327</v>
      </c>
      <c r="N101">
        <v>1005</v>
      </c>
      <c r="O101" t="s">
        <v>106</v>
      </c>
      <c r="P101" t="s">
        <v>106</v>
      </c>
      <c r="Q101">
        <v>1</v>
      </c>
      <c r="X101">
        <v>102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G101">
        <v>102</v>
      </c>
      <c r="AH101">
        <v>2</v>
      </c>
      <c r="AI101">
        <v>55468353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ROW(Source!A59)</f>
        <v>59</v>
      </c>
      <c r="B102">
        <v>55468354</v>
      </c>
      <c r="C102">
        <v>55468344</v>
      </c>
      <c r="D102">
        <v>51129451</v>
      </c>
      <c r="E102">
        <v>68</v>
      </c>
      <c r="F102">
        <v>1</v>
      </c>
      <c r="G102">
        <v>1</v>
      </c>
      <c r="H102">
        <v>3</v>
      </c>
      <c r="I102" t="s">
        <v>109</v>
      </c>
      <c r="K102" t="s">
        <v>110</v>
      </c>
      <c r="L102">
        <v>1339</v>
      </c>
      <c r="N102">
        <v>1007</v>
      </c>
      <c r="O102" t="s">
        <v>111</v>
      </c>
      <c r="P102" t="s">
        <v>111</v>
      </c>
      <c r="Q102">
        <v>1</v>
      </c>
      <c r="X102">
        <v>0.01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G102">
        <v>0.01</v>
      </c>
      <c r="AH102">
        <v>2</v>
      </c>
      <c r="AI102">
        <v>55468354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ROW(Source!A59)</f>
        <v>59</v>
      </c>
      <c r="B103">
        <v>55468355</v>
      </c>
      <c r="C103">
        <v>55468344</v>
      </c>
      <c r="D103">
        <v>51129984</v>
      </c>
      <c r="E103">
        <v>68</v>
      </c>
      <c r="F103">
        <v>1</v>
      </c>
      <c r="G103">
        <v>1</v>
      </c>
      <c r="H103">
        <v>3</v>
      </c>
      <c r="I103" t="s">
        <v>113</v>
      </c>
      <c r="K103" t="s">
        <v>114</v>
      </c>
      <c r="L103">
        <v>1348</v>
      </c>
      <c r="N103">
        <v>1009</v>
      </c>
      <c r="O103" t="s">
        <v>34</v>
      </c>
      <c r="P103" t="s">
        <v>34</v>
      </c>
      <c r="Q103">
        <v>1000</v>
      </c>
      <c r="X103">
        <v>1.2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G103">
        <v>1.2</v>
      </c>
      <c r="AH103">
        <v>2</v>
      </c>
      <c r="AI103">
        <v>55468355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ROW(Source!A59)</f>
        <v>59</v>
      </c>
      <c r="B104">
        <v>55468356</v>
      </c>
      <c r="C104">
        <v>55468344</v>
      </c>
      <c r="D104">
        <v>51130114</v>
      </c>
      <c r="E104">
        <v>68</v>
      </c>
      <c r="F104">
        <v>1</v>
      </c>
      <c r="G104">
        <v>1</v>
      </c>
      <c r="H104">
        <v>3</v>
      </c>
      <c r="I104" t="s">
        <v>395</v>
      </c>
      <c r="K104" t="s">
        <v>396</v>
      </c>
      <c r="L104">
        <v>1348</v>
      </c>
      <c r="N104">
        <v>1009</v>
      </c>
      <c r="O104" t="s">
        <v>34</v>
      </c>
      <c r="P104" t="s">
        <v>34</v>
      </c>
      <c r="Q104">
        <v>1000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G104">
        <v>0</v>
      </c>
      <c r="AH104">
        <v>3</v>
      </c>
      <c r="AI104">
        <v>-1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ROW(Source!A68)</f>
        <v>68</v>
      </c>
      <c r="B105">
        <v>55468368</v>
      </c>
      <c r="C105">
        <v>55468367</v>
      </c>
      <c r="D105">
        <v>44800296</v>
      </c>
      <c r="E105">
        <v>54</v>
      </c>
      <c r="F105">
        <v>1</v>
      </c>
      <c r="G105">
        <v>1</v>
      </c>
      <c r="H105">
        <v>1</v>
      </c>
      <c r="I105" t="s">
        <v>373</v>
      </c>
      <c r="K105" t="s">
        <v>374</v>
      </c>
      <c r="L105">
        <v>1191</v>
      </c>
      <c r="N105">
        <v>1013</v>
      </c>
      <c r="O105" t="s">
        <v>313</v>
      </c>
      <c r="P105" t="s">
        <v>313</v>
      </c>
      <c r="Q105">
        <v>1</v>
      </c>
      <c r="X105">
        <v>23.82</v>
      </c>
      <c r="Y105">
        <v>0</v>
      </c>
      <c r="Z105">
        <v>0</v>
      </c>
      <c r="AA105">
        <v>0</v>
      </c>
      <c r="AB105">
        <v>9.51</v>
      </c>
      <c r="AC105">
        <v>0</v>
      </c>
      <c r="AD105">
        <v>1</v>
      </c>
      <c r="AE105">
        <v>1</v>
      </c>
      <c r="AF105" t="s">
        <v>74</v>
      </c>
      <c r="AG105">
        <v>27.392999999999997</v>
      </c>
      <c r="AH105">
        <v>2</v>
      </c>
      <c r="AI105">
        <v>55468368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ROW(Source!A68)</f>
        <v>68</v>
      </c>
      <c r="B106">
        <v>55468369</v>
      </c>
      <c r="C106">
        <v>55468367</v>
      </c>
      <c r="D106">
        <v>44800452</v>
      </c>
      <c r="E106">
        <v>54</v>
      </c>
      <c r="F106">
        <v>1</v>
      </c>
      <c r="G106">
        <v>1</v>
      </c>
      <c r="H106">
        <v>1</v>
      </c>
      <c r="I106" t="s">
        <v>316</v>
      </c>
      <c r="K106" t="s">
        <v>317</v>
      </c>
      <c r="L106">
        <v>1191</v>
      </c>
      <c r="N106">
        <v>1013</v>
      </c>
      <c r="O106" t="s">
        <v>313</v>
      </c>
      <c r="P106" t="s">
        <v>313</v>
      </c>
      <c r="Q106">
        <v>1</v>
      </c>
      <c r="X106">
        <v>0.11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73</v>
      </c>
      <c r="AG106">
        <v>0.1375</v>
      </c>
      <c r="AH106">
        <v>2</v>
      </c>
      <c r="AI106">
        <v>55468369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ROW(Source!A68)</f>
        <v>68</v>
      </c>
      <c r="B107">
        <v>55468370</v>
      </c>
      <c r="C107">
        <v>55468367</v>
      </c>
      <c r="D107">
        <v>44976465</v>
      </c>
      <c r="E107">
        <v>1</v>
      </c>
      <c r="F107">
        <v>1</v>
      </c>
      <c r="G107">
        <v>1</v>
      </c>
      <c r="H107">
        <v>2</v>
      </c>
      <c r="I107" t="s">
        <v>318</v>
      </c>
      <c r="J107" t="s">
        <v>319</v>
      </c>
      <c r="K107" t="s">
        <v>320</v>
      </c>
      <c r="L107">
        <v>1368</v>
      </c>
      <c r="N107">
        <v>1011</v>
      </c>
      <c r="O107" t="s">
        <v>375</v>
      </c>
      <c r="P107" t="s">
        <v>375</v>
      </c>
      <c r="Q107">
        <v>1</v>
      </c>
      <c r="X107">
        <v>0.05</v>
      </c>
      <c r="Y107">
        <v>0</v>
      </c>
      <c r="Z107">
        <v>31.26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73</v>
      </c>
      <c r="AG107">
        <v>0.0625</v>
      </c>
      <c r="AH107">
        <v>2</v>
      </c>
      <c r="AI107">
        <v>55468370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ROW(Source!A68)</f>
        <v>68</v>
      </c>
      <c r="B108">
        <v>55468371</v>
      </c>
      <c r="C108">
        <v>55468367</v>
      </c>
      <c r="D108">
        <v>44977280</v>
      </c>
      <c r="E108">
        <v>1</v>
      </c>
      <c r="F108">
        <v>1</v>
      </c>
      <c r="G108">
        <v>1</v>
      </c>
      <c r="H108">
        <v>2</v>
      </c>
      <c r="I108" t="s">
        <v>322</v>
      </c>
      <c r="J108" t="s">
        <v>323</v>
      </c>
      <c r="K108" t="s">
        <v>324</v>
      </c>
      <c r="L108">
        <v>1368</v>
      </c>
      <c r="N108">
        <v>1011</v>
      </c>
      <c r="O108" t="s">
        <v>375</v>
      </c>
      <c r="P108" t="s">
        <v>375</v>
      </c>
      <c r="Q108">
        <v>1</v>
      </c>
      <c r="X108">
        <v>0.06</v>
      </c>
      <c r="Y108">
        <v>0</v>
      </c>
      <c r="Z108">
        <v>65.71</v>
      </c>
      <c r="AA108">
        <v>11.6</v>
      </c>
      <c r="AB108">
        <v>0</v>
      </c>
      <c r="AC108">
        <v>0</v>
      </c>
      <c r="AD108">
        <v>1</v>
      </c>
      <c r="AE108">
        <v>0</v>
      </c>
      <c r="AF108" t="s">
        <v>73</v>
      </c>
      <c r="AG108">
        <v>0.075</v>
      </c>
      <c r="AH108">
        <v>2</v>
      </c>
      <c r="AI108">
        <v>55468371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ROW(Source!A68)</f>
        <v>68</v>
      </c>
      <c r="B109">
        <v>55468372</v>
      </c>
      <c r="C109">
        <v>55468367</v>
      </c>
      <c r="D109">
        <v>44818658</v>
      </c>
      <c r="E109">
        <v>1</v>
      </c>
      <c r="F109">
        <v>1</v>
      </c>
      <c r="G109">
        <v>1</v>
      </c>
      <c r="H109">
        <v>3</v>
      </c>
      <c r="I109" t="s">
        <v>376</v>
      </c>
      <c r="J109" t="s">
        <v>377</v>
      </c>
      <c r="K109" t="s">
        <v>378</v>
      </c>
      <c r="L109">
        <v>1339</v>
      </c>
      <c r="N109">
        <v>1007</v>
      </c>
      <c r="O109" t="s">
        <v>111</v>
      </c>
      <c r="P109" t="s">
        <v>111</v>
      </c>
      <c r="Q109">
        <v>1</v>
      </c>
      <c r="X109">
        <v>0.16</v>
      </c>
      <c r="Y109">
        <v>600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0.16</v>
      </c>
      <c r="AH109">
        <v>2</v>
      </c>
      <c r="AI109">
        <v>55468372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ROW(Source!A68)</f>
        <v>68</v>
      </c>
      <c r="B110">
        <v>55468373</v>
      </c>
      <c r="C110">
        <v>55468367</v>
      </c>
      <c r="D110">
        <v>44802031</v>
      </c>
      <c r="E110">
        <v>54</v>
      </c>
      <c r="F110">
        <v>1</v>
      </c>
      <c r="G110">
        <v>1</v>
      </c>
      <c r="H110">
        <v>3</v>
      </c>
      <c r="I110" t="s">
        <v>104</v>
      </c>
      <c r="K110" t="s">
        <v>120</v>
      </c>
      <c r="L110">
        <v>1301</v>
      </c>
      <c r="N110">
        <v>1003</v>
      </c>
      <c r="O110" t="s">
        <v>121</v>
      </c>
      <c r="P110" t="s">
        <v>121</v>
      </c>
      <c r="Q110">
        <v>1</v>
      </c>
      <c r="X110">
        <v>101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G110">
        <v>101</v>
      </c>
      <c r="AH110">
        <v>2</v>
      </c>
      <c r="AI110">
        <v>55468373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ROW(Source!A69)</f>
        <v>69</v>
      </c>
      <c r="B111">
        <v>55468368</v>
      </c>
      <c r="C111">
        <v>55468367</v>
      </c>
      <c r="D111">
        <v>44800296</v>
      </c>
      <c r="E111">
        <v>54</v>
      </c>
      <c r="F111">
        <v>1</v>
      </c>
      <c r="G111">
        <v>1</v>
      </c>
      <c r="H111">
        <v>1</v>
      </c>
      <c r="I111" t="s">
        <v>373</v>
      </c>
      <c r="K111" t="s">
        <v>374</v>
      </c>
      <c r="L111">
        <v>1191</v>
      </c>
      <c r="N111">
        <v>1013</v>
      </c>
      <c r="O111" t="s">
        <v>313</v>
      </c>
      <c r="P111" t="s">
        <v>313</v>
      </c>
      <c r="Q111">
        <v>1</v>
      </c>
      <c r="X111">
        <v>23.82</v>
      </c>
      <c r="Y111">
        <v>0</v>
      </c>
      <c r="Z111">
        <v>0</v>
      </c>
      <c r="AA111">
        <v>0</v>
      </c>
      <c r="AB111">
        <v>9.51</v>
      </c>
      <c r="AC111">
        <v>0</v>
      </c>
      <c r="AD111">
        <v>1</v>
      </c>
      <c r="AE111">
        <v>1</v>
      </c>
      <c r="AF111" t="s">
        <v>74</v>
      </c>
      <c r="AG111">
        <v>27.392999999999997</v>
      </c>
      <c r="AH111">
        <v>2</v>
      </c>
      <c r="AI111">
        <v>55468368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ROW(Source!A69)</f>
        <v>69</v>
      </c>
      <c r="B112">
        <v>55468369</v>
      </c>
      <c r="C112">
        <v>55468367</v>
      </c>
      <c r="D112">
        <v>44800452</v>
      </c>
      <c r="E112">
        <v>54</v>
      </c>
      <c r="F112">
        <v>1</v>
      </c>
      <c r="G112">
        <v>1</v>
      </c>
      <c r="H112">
        <v>1</v>
      </c>
      <c r="I112" t="s">
        <v>316</v>
      </c>
      <c r="K112" t="s">
        <v>317</v>
      </c>
      <c r="L112">
        <v>1191</v>
      </c>
      <c r="N112">
        <v>1013</v>
      </c>
      <c r="O112" t="s">
        <v>313</v>
      </c>
      <c r="P112" t="s">
        <v>313</v>
      </c>
      <c r="Q112">
        <v>1</v>
      </c>
      <c r="X112">
        <v>0.11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73</v>
      </c>
      <c r="AG112">
        <v>0.1375</v>
      </c>
      <c r="AH112">
        <v>2</v>
      </c>
      <c r="AI112">
        <v>55468369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ROW(Source!A69)</f>
        <v>69</v>
      </c>
      <c r="B113">
        <v>55468370</v>
      </c>
      <c r="C113">
        <v>55468367</v>
      </c>
      <c r="D113">
        <v>44976465</v>
      </c>
      <c r="E113">
        <v>1</v>
      </c>
      <c r="F113">
        <v>1</v>
      </c>
      <c r="G113">
        <v>1</v>
      </c>
      <c r="H113">
        <v>2</v>
      </c>
      <c r="I113" t="s">
        <v>318</v>
      </c>
      <c r="J113" t="s">
        <v>319</v>
      </c>
      <c r="K113" t="s">
        <v>320</v>
      </c>
      <c r="L113">
        <v>1368</v>
      </c>
      <c r="N113">
        <v>1011</v>
      </c>
      <c r="O113" t="s">
        <v>375</v>
      </c>
      <c r="P113" t="s">
        <v>375</v>
      </c>
      <c r="Q113">
        <v>1</v>
      </c>
      <c r="X113">
        <v>0.05</v>
      </c>
      <c r="Y113">
        <v>0</v>
      </c>
      <c r="Z113">
        <v>31.26</v>
      </c>
      <c r="AA113">
        <v>13.5</v>
      </c>
      <c r="AB113">
        <v>0</v>
      </c>
      <c r="AC113">
        <v>0</v>
      </c>
      <c r="AD113">
        <v>1</v>
      </c>
      <c r="AE113">
        <v>0</v>
      </c>
      <c r="AF113" t="s">
        <v>73</v>
      </c>
      <c r="AG113">
        <v>0.0625</v>
      </c>
      <c r="AH113">
        <v>2</v>
      </c>
      <c r="AI113">
        <v>55468370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ROW(Source!A69)</f>
        <v>69</v>
      </c>
      <c r="B114">
        <v>55468371</v>
      </c>
      <c r="C114">
        <v>55468367</v>
      </c>
      <c r="D114">
        <v>44977280</v>
      </c>
      <c r="E114">
        <v>1</v>
      </c>
      <c r="F114">
        <v>1</v>
      </c>
      <c r="G114">
        <v>1</v>
      </c>
      <c r="H114">
        <v>2</v>
      </c>
      <c r="I114" t="s">
        <v>322</v>
      </c>
      <c r="J114" t="s">
        <v>323</v>
      </c>
      <c r="K114" t="s">
        <v>324</v>
      </c>
      <c r="L114">
        <v>1368</v>
      </c>
      <c r="N114">
        <v>1011</v>
      </c>
      <c r="O114" t="s">
        <v>375</v>
      </c>
      <c r="P114" t="s">
        <v>375</v>
      </c>
      <c r="Q114">
        <v>1</v>
      </c>
      <c r="X114">
        <v>0.06</v>
      </c>
      <c r="Y114">
        <v>0</v>
      </c>
      <c r="Z114">
        <v>65.71</v>
      </c>
      <c r="AA114">
        <v>11.6</v>
      </c>
      <c r="AB114">
        <v>0</v>
      </c>
      <c r="AC114">
        <v>0</v>
      </c>
      <c r="AD114">
        <v>1</v>
      </c>
      <c r="AE114">
        <v>0</v>
      </c>
      <c r="AF114" t="s">
        <v>73</v>
      </c>
      <c r="AG114">
        <v>0.075</v>
      </c>
      <c r="AH114">
        <v>2</v>
      </c>
      <c r="AI114">
        <v>55468371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ROW(Source!A69)</f>
        <v>69</v>
      </c>
      <c r="B115">
        <v>55468372</v>
      </c>
      <c r="C115">
        <v>55468367</v>
      </c>
      <c r="D115">
        <v>44818658</v>
      </c>
      <c r="E115">
        <v>1</v>
      </c>
      <c r="F115">
        <v>1</v>
      </c>
      <c r="G115">
        <v>1</v>
      </c>
      <c r="H115">
        <v>3</v>
      </c>
      <c r="I115" t="s">
        <v>376</v>
      </c>
      <c r="J115" t="s">
        <v>377</v>
      </c>
      <c r="K115" t="s">
        <v>378</v>
      </c>
      <c r="L115">
        <v>1339</v>
      </c>
      <c r="N115">
        <v>1007</v>
      </c>
      <c r="O115" t="s">
        <v>111</v>
      </c>
      <c r="P115" t="s">
        <v>111</v>
      </c>
      <c r="Q115">
        <v>1</v>
      </c>
      <c r="X115">
        <v>0.16</v>
      </c>
      <c r="Y115">
        <v>600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0.16</v>
      </c>
      <c r="AH115">
        <v>2</v>
      </c>
      <c r="AI115">
        <v>55468372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ROW(Source!A69)</f>
        <v>69</v>
      </c>
      <c r="B116">
        <v>55468373</v>
      </c>
      <c r="C116">
        <v>55468367</v>
      </c>
      <c r="D116">
        <v>44802031</v>
      </c>
      <c r="E116">
        <v>54</v>
      </c>
      <c r="F116">
        <v>1</v>
      </c>
      <c r="G116">
        <v>1</v>
      </c>
      <c r="H116">
        <v>3</v>
      </c>
      <c r="I116" t="s">
        <v>104</v>
      </c>
      <c r="K116" t="s">
        <v>120</v>
      </c>
      <c r="L116">
        <v>1301</v>
      </c>
      <c r="N116">
        <v>1003</v>
      </c>
      <c r="O116" t="s">
        <v>121</v>
      </c>
      <c r="P116" t="s">
        <v>121</v>
      </c>
      <c r="Q116">
        <v>1</v>
      </c>
      <c r="X116">
        <v>101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G116">
        <v>101</v>
      </c>
      <c r="AH116">
        <v>2</v>
      </c>
      <c r="AI116">
        <v>55468373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ROW(Source!A72)</f>
        <v>72</v>
      </c>
      <c r="B117">
        <v>55455259</v>
      </c>
      <c r="C117">
        <v>55455257</v>
      </c>
      <c r="D117">
        <v>53630011</v>
      </c>
      <c r="E117">
        <v>70</v>
      </c>
      <c r="F117">
        <v>1</v>
      </c>
      <c r="G117">
        <v>1</v>
      </c>
      <c r="H117">
        <v>1</v>
      </c>
      <c r="I117" t="s">
        <v>379</v>
      </c>
      <c r="K117" t="s">
        <v>380</v>
      </c>
      <c r="L117">
        <v>1191</v>
      </c>
      <c r="N117">
        <v>1013</v>
      </c>
      <c r="O117" t="s">
        <v>313</v>
      </c>
      <c r="P117" t="s">
        <v>313</v>
      </c>
      <c r="Q117">
        <v>1</v>
      </c>
      <c r="X117">
        <v>0.58</v>
      </c>
      <c r="Y117">
        <v>0</v>
      </c>
      <c r="Z117">
        <v>0</v>
      </c>
      <c r="AA117">
        <v>0</v>
      </c>
      <c r="AB117">
        <v>7.56</v>
      </c>
      <c r="AC117">
        <v>0</v>
      </c>
      <c r="AD117">
        <v>1</v>
      </c>
      <c r="AE117">
        <v>1</v>
      </c>
      <c r="AG117">
        <v>0.58</v>
      </c>
      <c r="AH117">
        <v>2</v>
      </c>
      <c r="AI117">
        <v>55455258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ROW(Source!A73)</f>
        <v>73</v>
      </c>
      <c r="B118">
        <v>55455259</v>
      </c>
      <c r="C118">
        <v>55455257</v>
      </c>
      <c r="D118">
        <v>53630011</v>
      </c>
      <c r="E118">
        <v>70</v>
      </c>
      <c r="F118">
        <v>1</v>
      </c>
      <c r="G118">
        <v>1</v>
      </c>
      <c r="H118">
        <v>1</v>
      </c>
      <c r="I118" t="s">
        <v>379</v>
      </c>
      <c r="K118" t="s">
        <v>380</v>
      </c>
      <c r="L118">
        <v>1191</v>
      </c>
      <c r="N118">
        <v>1013</v>
      </c>
      <c r="O118" t="s">
        <v>313</v>
      </c>
      <c r="P118" t="s">
        <v>313</v>
      </c>
      <c r="Q118">
        <v>1</v>
      </c>
      <c r="X118">
        <v>0.58</v>
      </c>
      <c r="Y118">
        <v>0</v>
      </c>
      <c r="Z118">
        <v>0</v>
      </c>
      <c r="AA118">
        <v>0</v>
      </c>
      <c r="AB118">
        <v>7.56</v>
      </c>
      <c r="AC118">
        <v>0</v>
      </c>
      <c r="AD118">
        <v>1</v>
      </c>
      <c r="AE118">
        <v>1</v>
      </c>
      <c r="AG118">
        <v>0.58</v>
      </c>
      <c r="AH118">
        <v>2</v>
      </c>
      <c r="AI118">
        <v>55455258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ROW(Source!A74)</f>
        <v>74</v>
      </c>
      <c r="B119">
        <v>55455267</v>
      </c>
      <c r="C119">
        <v>55455260</v>
      </c>
      <c r="D119">
        <v>53630109</v>
      </c>
      <c r="E119">
        <v>70</v>
      </c>
      <c r="F119">
        <v>1</v>
      </c>
      <c r="G119">
        <v>1</v>
      </c>
      <c r="H119">
        <v>1</v>
      </c>
      <c r="I119" t="s">
        <v>381</v>
      </c>
      <c r="K119" t="s">
        <v>382</v>
      </c>
      <c r="L119">
        <v>1191</v>
      </c>
      <c r="N119">
        <v>1013</v>
      </c>
      <c r="O119" t="s">
        <v>313</v>
      </c>
      <c r="P119" t="s">
        <v>313</v>
      </c>
      <c r="Q119">
        <v>1</v>
      </c>
      <c r="X119">
        <v>16.32</v>
      </c>
      <c r="Y119">
        <v>0</v>
      </c>
      <c r="Z119">
        <v>0</v>
      </c>
      <c r="AA119">
        <v>0</v>
      </c>
      <c r="AB119">
        <v>9.62</v>
      </c>
      <c r="AC119">
        <v>0</v>
      </c>
      <c r="AD119">
        <v>1</v>
      </c>
      <c r="AE119">
        <v>1</v>
      </c>
      <c r="AF119" t="s">
        <v>74</v>
      </c>
      <c r="AG119">
        <v>18.767999999999997</v>
      </c>
      <c r="AH119">
        <v>2</v>
      </c>
      <c r="AI119">
        <v>55455261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ROW(Source!A74)</f>
        <v>74</v>
      </c>
      <c r="B120">
        <v>55455268</v>
      </c>
      <c r="C120">
        <v>55455260</v>
      </c>
      <c r="D120">
        <v>53630257</v>
      </c>
      <c r="E120">
        <v>70</v>
      </c>
      <c r="F120">
        <v>1</v>
      </c>
      <c r="G120">
        <v>1</v>
      </c>
      <c r="H120">
        <v>1</v>
      </c>
      <c r="I120" t="s">
        <v>316</v>
      </c>
      <c r="K120" t="s">
        <v>317</v>
      </c>
      <c r="L120">
        <v>1191</v>
      </c>
      <c r="N120">
        <v>1013</v>
      </c>
      <c r="O120" t="s">
        <v>313</v>
      </c>
      <c r="P120" t="s">
        <v>313</v>
      </c>
      <c r="Q120">
        <v>1</v>
      </c>
      <c r="X120">
        <v>0.03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2</v>
      </c>
      <c r="AF120" t="s">
        <v>73</v>
      </c>
      <c r="AG120">
        <v>0.0375</v>
      </c>
      <c r="AH120">
        <v>2</v>
      </c>
      <c r="AI120">
        <v>55455262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ROW(Source!A74)</f>
        <v>74</v>
      </c>
      <c r="B121">
        <v>55455269</v>
      </c>
      <c r="C121">
        <v>55455260</v>
      </c>
      <c r="D121">
        <v>53792191</v>
      </c>
      <c r="E121">
        <v>1</v>
      </c>
      <c r="F121">
        <v>1</v>
      </c>
      <c r="G121">
        <v>1</v>
      </c>
      <c r="H121">
        <v>2</v>
      </c>
      <c r="I121" t="s">
        <v>318</v>
      </c>
      <c r="J121" t="s">
        <v>319</v>
      </c>
      <c r="K121" t="s">
        <v>320</v>
      </c>
      <c r="L121">
        <v>1367</v>
      </c>
      <c r="N121">
        <v>1011</v>
      </c>
      <c r="O121" t="s">
        <v>321</v>
      </c>
      <c r="P121" t="s">
        <v>321</v>
      </c>
      <c r="Q121">
        <v>1</v>
      </c>
      <c r="X121">
        <v>0.01</v>
      </c>
      <c r="Y121">
        <v>0</v>
      </c>
      <c r="Z121">
        <v>31.26</v>
      </c>
      <c r="AA121">
        <v>13.5</v>
      </c>
      <c r="AB121">
        <v>0</v>
      </c>
      <c r="AC121">
        <v>0</v>
      </c>
      <c r="AD121">
        <v>1</v>
      </c>
      <c r="AE121">
        <v>0</v>
      </c>
      <c r="AF121" t="s">
        <v>73</v>
      </c>
      <c r="AG121">
        <v>0.0125</v>
      </c>
      <c r="AH121">
        <v>2</v>
      </c>
      <c r="AI121">
        <v>55455263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ROW(Source!A74)</f>
        <v>74</v>
      </c>
      <c r="B122">
        <v>55455270</v>
      </c>
      <c r="C122">
        <v>55455260</v>
      </c>
      <c r="D122">
        <v>53792927</v>
      </c>
      <c r="E122">
        <v>1</v>
      </c>
      <c r="F122">
        <v>1</v>
      </c>
      <c r="G122">
        <v>1</v>
      </c>
      <c r="H122">
        <v>2</v>
      </c>
      <c r="I122" t="s">
        <v>322</v>
      </c>
      <c r="J122" t="s">
        <v>323</v>
      </c>
      <c r="K122" t="s">
        <v>324</v>
      </c>
      <c r="L122">
        <v>1367</v>
      </c>
      <c r="N122">
        <v>1011</v>
      </c>
      <c r="O122" t="s">
        <v>321</v>
      </c>
      <c r="P122" t="s">
        <v>321</v>
      </c>
      <c r="Q122">
        <v>1</v>
      </c>
      <c r="X122">
        <v>0.02</v>
      </c>
      <c r="Y122">
        <v>0</v>
      </c>
      <c r="Z122">
        <v>65.71</v>
      </c>
      <c r="AA122">
        <v>11.6</v>
      </c>
      <c r="AB122">
        <v>0</v>
      </c>
      <c r="AC122">
        <v>0</v>
      </c>
      <c r="AD122">
        <v>1</v>
      </c>
      <c r="AE122">
        <v>0</v>
      </c>
      <c r="AF122" t="s">
        <v>73</v>
      </c>
      <c r="AG122">
        <v>0.025</v>
      </c>
      <c r="AH122">
        <v>2</v>
      </c>
      <c r="AI122">
        <v>55455264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ROW(Source!A74)</f>
        <v>74</v>
      </c>
      <c r="B123">
        <v>55455271</v>
      </c>
      <c r="C123">
        <v>55455260</v>
      </c>
      <c r="D123">
        <v>53646032</v>
      </c>
      <c r="E123">
        <v>1</v>
      </c>
      <c r="F123">
        <v>1</v>
      </c>
      <c r="G123">
        <v>1</v>
      </c>
      <c r="H123">
        <v>3</v>
      </c>
      <c r="I123" t="s">
        <v>331</v>
      </c>
      <c r="J123" t="s">
        <v>332</v>
      </c>
      <c r="K123" t="s">
        <v>333</v>
      </c>
      <c r="L123">
        <v>1346</v>
      </c>
      <c r="N123">
        <v>1009</v>
      </c>
      <c r="O123" t="s">
        <v>85</v>
      </c>
      <c r="P123" t="s">
        <v>85</v>
      </c>
      <c r="Q123">
        <v>1</v>
      </c>
      <c r="X123">
        <v>0.2</v>
      </c>
      <c r="Y123">
        <v>1.82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0.2</v>
      </c>
      <c r="AH123">
        <v>2</v>
      </c>
      <c r="AI123">
        <v>55455265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ROW(Source!A74)</f>
        <v>74</v>
      </c>
      <c r="B124">
        <v>55455272</v>
      </c>
      <c r="C124">
        <v>55455260</v>
      </c>
      <c r="D124">
        <v>53633248</v>
      </c>
      <c r="E124">
        <v>70</v>
      </c>
      <c r="F124">
        <v>1</v>
      </c>
      <c r="G124">
        <v>1</v>
      </c>
      <c r="H124">
        <v>3</v>
      </c>
      <c r="I124" t="s">
        <v>401</v>
      </c>
      <c r="K124" t="s">
        <v>396</v>
      </c>
      <c r="L124">
        <v>1348</v>
      </c>
      <c r="N124">
        <v>1009</v>
      </c>
      <c r="O124" t="s">
        <v>34</v>
      </c>
      <c r="P124" t="s">
        <v>34</v>
      </c>
      <c r="Q124">
        <v>1000</v>
      </c>
      <c r="X124">
        <v>0.02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G124">
        <v>0.02</v>
      </c>
      <c r="AH124">
        <v>3</v>
      </c>
      <c r="AI124">
        <v>-1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ROW(Source!A75)</f>
        <v>75</v>
      </c>
      <c r="B125">
        <v>55455267</v>
      </c>
      <c r="C125">
        <v>55455260</v>
      </c>
      <c r="D125">
        <v>53630109</v>
      </c>
      <c r="E125">
        <v>70</v>
      </c>
      <c r="F125">
        <v>1</v>
      </c>
      <c r="G125">
        <v>1</v>
      </c>
      <c r="H125">
        <v>1</v>
      </c>
      <c r="I125" t="s">
        <v>381</v>
      </c>
      <c r="K125" t="s">
        <v>382</v>
      </c>
      <c r="L125">
        <v>1191</v>
      </c>
      <c r="N125">
        <v>1013</v>
      </c>
      <c r="O125" t="s">
        <v>313</v>
      </c>
      <c r="P125" t="s">
        <v>313</v>
      </c>
      <c r="Q125">
        <v>1</v>
      </c>
      <c r="X125">
        <v>16.32</v>
      </c>
      <c r="Y125">
        <v>0</v>
      </c>
      <c r="Z125">
        <v>0</v>
      </c>
      <c r="AA125">
        <v>0</v>
      </c>
      <c r="AB125">
        <v>9.62</v>
      </c>
      <c r="AC125">
        <v>0</v>
      </c>
      <c r="AD125">
        <v>1</v>
      </c>
      <c r="AE125">
        <v>1</v>
      </c>
      <c r="AF125" t="s">
        <v>74</v>
      </c>
      <c r="AG125">
        <v>18.767999999999997</v>
      </c>
      <c r="AH125">
        <v>2</v>
      </c>
      <c r="AI125">
        <v>55455261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ROW(Source!A75)</f>
        <v>75</v>
      </c>
      <c r="B126">
        <v>55455268</v>
      </c>
      <c r="C126">
        <v>55455260</v>
      </c>
      <c r="D126">
        <v>53630257</v>
      </c>
      <c r="E126">
        <v>70</v>
      </c>
      <c r="F126">
        <v>1</v>
      </c>
      <c r="G126">
        <v>1</v>
      </c>
      <c r="H126">
        <v>1</v>
      </c>
      <c r="I126" t="s">
        <v>316</v>
      </c>
      <c r="K126" t="s">
        <v>317</v>
      </c>
      <c r="L126">
        <v>1191</v>
      </c>
      <c r="N126">
        <v>1013</v>
      </c>
      <c r="O126" t="s">
        <v>313</v>
      </c>
      <c r="P126" t="s">
        <v>313</v>
      </c>
      <c r="Q126">
        <v>1</v>
      </c>
      <c r="X126">
        <v>0.03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73</v>
      </c>
      <c r="AG126">
        <v>0.0375</v>
      </c>
      <c r="AH126">
        <v>2</v>
      </c>
      <c r="AI126">
        <v>55455262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ROW(Source!A75)</f>
        <v>75</v>
      </c>
      <c r="B127">
        <v>55455269</v>
      </c>
      <c r="C127">
        <v>55455260</v>
      </c>
      <c r="D127">
        <v>53792191</v>
      </c>
      <c r="E127">
        <v>1</v>
      </c>
      <c r="F127">
        <v>1</v>
      </c>
      <c r="G127">
        <v>1</v>
      </c>
      <c r="H127">
        <v>2</v>
      </c>
      <c r="I127" t="s">
        <v>318</v>
      </c>
      <c r="J127" t="s">
        <v>319</v>
      </c>
      <c r="K127" t="s">
        <v>320</v>
      </c>
      <c r="L127">
        <v>1367</v>
      </c>
      <c r="N127">
        <v>1011</v>
      </c>
      <c r="O127" t="s">
        <v>321</v>
      </c>
      <c r="P127" t="s">
        <v>321</v>
      </c>
      <c r="Q127">
        <v>1</v>
      </c>
      <c r="X127">
        <v>0.01</v>
      </c>
      <c r="Y127">
        <v>0</v>
      </c>
      <c r="Z127">
        <v>31.26</v>
      </c>
      <c r="AA127">
        <v>13.5</v>
      </c>
      <c r="AB127">
        <v>0</v>
      </c>
      <c r="AC127">
        <v>0</v>
      </c>
      <c r="AD127">
        <v>1</v>
      </c>
      <c r="AE127">
        <v>0</v>
      </c>
      <c r="AF127" t="s">
        <v>73</v>
      </c>
      <c r="AG127">
        <v>0.0125</v>
      </c>
      <c r="AH127">
        <v>2</v>
      </c>
      <c r="AI127">
        <v>55455263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ROW(Source!A75)</f>
        <v>75</v>
      </c>
      <c r="B128">
        <v>55455270</v>
      </c>
      <c r="C128">
        <v>55455260</v>
      </c>
      <c r="D128">
        <v>53792927</v>
      </c>
      <c r="E128">
        <v>1</v>
      </c>
      <c r="F128">
        <v>1</v>
      </c>
      <c r="G128">
        <v>1</v>
      </c>
      <c r="H128">
        <v>2</v>
      </c>
      <c r="I128" t="s">
        <v>322</v>
      </c>
      <c r="J128" t="s">
        <v>323</v>
      </c>
      <c r="K128" t="s">
        <v>324</v>
      </c>
      <c r="L128">
        <v>1367</v>
      </c>
      <c r="N128">
        <v>1011</v>
      </c>
      <c r="O128" t="s">
        <v>321</v>
      </c>
      <c r="P128" t="s">
        <v>321</v>
      </c>
      <c r="Q128">
        <v>1</v>
      </c>
      <c r="X128">
        <v>0.02</v>
      </c>
      <c r="Y128">
        <v>0</v>
      </c>
      <c r="Z128">
        <v>65.71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73</v>
      </c>
      <c r="AG128">
        <v>0.025</v>
      </c>
      <c r="AH128">
        <v>2</v>
      </c>
      <c r="AI128">
        <v>55455264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ROW(Source!A75)</f>
        <v>75</v>
      </c>
      <c r="B129">
        <v>55455271</v>
      </c>
      <c r="C129">
        <v>55455260</v>
      </c>
      <c r="D129">
        <v>53646032</v>
      </c>
      <c r="E129">
        <v>1</v>
      </c>
      <c r="F129">
        <v>1</v>
      </c>
      <c r="G129">
        <v>1</v>
      </c>
      <c r="H129">
        <v>3</v>
      </c>
      <c r="I129" t="s">
        <v>331</v>
      </c>
      <c r="J129" t="s">
        <v>332</v>
      </c>
      <c r="K129" t="s">
        <v>333</v>
      </c>
      <c r="L129">
        <v>1346</v>
      </c>
      <c r="N129">
        <v>1009</v>
      </c>
      <c r="O129" t="s">
        <v>85</v>
      </c>
      <c r="P129" t="s">
        <v>85</v>
      </c>
      <c r="Q129">
        <v>1</v>
      </c>
      <c r="X129">
        <v>0.2</v>
      </c>
      <c r="Y129">
        <v>1.82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0.2</v>
      </c>
      <c r="AH129">
        <v>2</v>
      </c>
      <c r="AI129">
        <v>55455265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ROW(Source!A75)</f>
        <v>75</v>
      </c>
      <c r="B130">
        <v>55455272</v>
      </c>
      <c r="C130">
        <v>55455260</v>
      </c>
      <c r="D130">
        <v>53633248</v>
      </c>
      <c r="E130">
        <v>70</v>
      </c>
      <c r="F130">
        <v>1</v>
      </c>
      <c r="G130">
        <v>1</v>
      </c>
      <c r="H130">
        <v>3</v>
      </c>
      <c r="I130" t="s">
        <v>401</v>
      </c>
      <c r="K130" t="s">
        <v>396</v>
      </c>
      <c r="L130">
        <v>1348</v>
      </c>
      <c r="N130">
        <v>1009</v>
      </c>
      <c r="O130" t="s">
        <v>34</v>
      </c>
      <c r="P130" t="s">
        <v>34</v>
      </c>
      <c r="Q130">
        <v>1000</v>
      </c>
      <c r="X130">
        <v>0.02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G130">
        <v>0.02</v>
      </c>
      <c r="AH130">
        <v>3</v>
      </c>
      <c r="AI130">
        <v>-1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ROW(Source!A78)</f>
        <v>78</v>
      </c>
      <c r="B131">
        <v>55455278</v>
      </c>
      <c r="C131">
        <v>55455274</v>
      </c>
      <c r="D131">
        <v>37822900</v>
      </c>
      <c r="E131">
        <v>1</v>
      </c>
      <c r="F131">
        <v>1</v>
      </c>
      <c r="G131">
        <v>1</v>
      </c>
      <c r="H131">
        <v>1</v>
      </c>
      <c r="I131" t="s">
        <v>359</v>
      </c>
      <c r="K131" t="s">
        <v>383</v>
      </c>
      <c r="L131">
        <v>1191</v>
      </c>
      <c r="N131">
        <v>1013</v>
      </c>
      <c r="O131" t="s">
        <v>313</v>
      </c>
      <c r="P131" t="s">
        <v>313</v>
      </c>
      <c r="Q131">
        <v>1</v>
      </c>
      <c r="X131">
        <v>16.64</v>
      </c>
      <c r="Y131">
        <v>0</v>
      </c>
      <c r="Z131">
        <v>0</v>
      </c>
      <c r="AA131">
        <v>0</v>
      </c>
      <c r="AB131">
        <v>8.74</v>
      </c>
      <c r="AC131">
        <v>0</v>
      </c>
      <c r="AD131">
        <v>1</v>
      </c>
      <c r="AE131">
        <v>1</v>
      </c>
      <c r="AF131" t="s">
        <v>74</v>
      </c>
      <c r="AG131">
        <v>19.136</v>
      </c>
      <c r="AH131">
        <v>2</v>
      </c>
      <c r="AI131">
        <v>55455275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ROW(Source!A78)</f>
        <v>78</v>
      </c>
      <c r="B132">
        <v>55455279</v>
      </c>
      <c r="C132">
        <v>55455274</v>
      </c>
      <c r="D132">
        <v>37831558</v>
      </c>
      <c r="E132">
        <v>1</v>
      </c>
      <c r="F132">
        <v>1</v>
      </c>
      <c r="G132">
        <v>1</v>
      </c>
      <c r="H132">
        <v>3</v>
      </c>
      <c r="I132" t="s">
        <v>384</v>
      </c>
      <c r="J132" t="s">
        <v>385</v>
      </c>
      <c r="K132" t="s">
        <v>386</v>
      </c>
      <c r="L132">
        <v>1355</v>
      </c>
      <c r="N132">
        <v>1010</v>
      </c>
      <c r="O132" t="s">
        <v>387</v>
      </c>
      <c r="P132" t="s">
        <v>387</v>
      </c>
      <c r="Q132">
        <v>100</v>
      </c>
      <c r="X132">
        <v>6.7</v>
      </c>
      <c r="Y132">
        <v>12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6.7</v>
      </c>
      <c r="AH132">
        <v>2</v>
      </c>
      <c r="AI132">
        <v>55455276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ROW(Source!A78)</f>
        <v>78</v>
      </c>
      <c r="B133">
        <v>55455280</v>
      </c>
      <c r="C133">
        <v>55455274</v>
      </c>
      <c r="D133">
        <v>37824380</v>
      </c>
      <c r="E133">
        <v>17</v>
      </c>
      <c r="F133">
        <v>1</v>
      </c>
      <c r="G133">
        <v>1</v>
      </c>
      <c r="H133">
        <v>3</v>
      </c>
      <c r="I133" t="s">
        <v>402</v>
      </c>
      <c r="K133" t="s">
        <v>403</v>
      </c>
      <c r="L133">
        <v>1301</v>
      </c>
      <c r="N133">
        <v>1003</v>
      </c>
      <c r="O133" t="s">
        <v>121</v>
      </c>
      <c r="P133" t="s">
        <v>121</v>
      </c>
      <c r="Q133">
        <v>1</v>
      </c>
      <c r="X133">
        <v>105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G133">
        <v>105</v>
      </c>
      <c r="AH133">
        <v>3</v>
      </c>
      <c r="AI133">
        <v>-1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ROW(Source!A79)</f>
        <v>79</v>
      </c>
      <c r="B134">
        <v>55455278</v>
      </c>
      <c r="C134">
        <v>55455274</v>
      </c>
      <c r="D134">
        <v>37822900</v>
      </c>
      <c r="E134">
        <v>1</v>
      </c>
      <c r="F134">
        <v>1</v>
      </c>
      <c r="G134">
        <v>1</v>
      </c>
      <c r="H134">
        <v>1</v>
      </c>
      <c r="I134" t="s">
        <v>359</v>
      </c>
      <c r="K134" t="s">
        <v>383</v>
      </c>
      <c r="L134">
        <v>1191</v>
      </c>
      <c r="N134">
        <v>1013</v>
      </c>
      <c r="O134" t="s">
        <v>313</v>
      </c>
      <c r="P134" t="s">
        <v>313</v>
      </c>
      <c r="Q134">
        <v>1</v>
      </c>
      <c r="X134">
        <v>16.64</v>
      </c>
      <c r="Y134">
        <v>0</v>
      </c>
      <c r="Z134">
        <v>0</v>
      </c>
      <c r="AA134">
        <v>0</v>
      </c>
      <c r="AB134">
        <v>8.74</v>
      </c>
      <c r="AC134">
        <v>0</v>
      </c>
      <c r="AD134">
        <v>1</v>
      </c>
      <c r="AE134">
        <v>1</v>
      </c>
      <c r="AF134" t="s">
        <v>74</v>
      </c>
      <c r="AG134">
        <v>19.136</v>
      </c>
      <c r="AH134">
        <v>2</v>
      </c>
      <c r="AI134">
        <v>55455275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ROW(Source!A79)</f>
        <v>79</v>
      </c>
      <c r="B135">
        <v>55455279</v>
      </c>
      <c r="C135">
        <v>55455274</v>
      </c>
      <c r="D135">
        <v>37831558</v>
      </c>
      <c r="E135">
        <v>1</v>
      </c>
      <c r="F135">
        <v>1</v>
      </c>
      <c r="G135">
        <v>1</v>
      </c>
      <c r="H135">
        <v>3</v>
      </c>
      <c r="I135" t="s">
        <v>384</v>
      </c>
      <c r="J135" t="s">
        <v>385</v>
      </c>
      <c r="K135" t="s">
        <v>386</v>
      </c>
      <c r="L135">
        <v>1355</v>
      </c>
      <c r="N135">
        <v>1010</v>
      </c>
      <c r="O135" t="s">
        <v>387</v>
      </c>
      <c r="P135" t="s">
        <v>387</v>
      </c>
      <c r="Q135">
        <v>100</v>
      </c>
      <c r="X135">
        <v>6.7</v>
      </c>
      <c r="Y135">
        <v>12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6.7</v>
      </c>
      <c r="AH135">
        <v>2</v>
      </c>
      <c r="AI135">
        <v>55455276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ROW(Source!A79)</f>
        <v>79</v>
      </c>
      <c r="B136">
        <v>55455280</v>
      </c>
      <c r="C136">
        <v>55455274</v>
      </c>
      <c r="D136">
        <v>37824380</v>
      </c>
      <c r="E136">
        <v>17</v>
      </c>
      <c r="F136">
        <v>1</v>
      </c>
      <c r="G136">
        <v>1</v>
      </c>
      <c r="H136">
        <v>3</v>
      </c>
      <c r="I136" t="s">
        <v>402</v>
      </c>
      <c r="K136" t="s">
        <v>403</v>
      </c>
      <c r="L136">
        <v>1301</v>
      </c>
      <c r="N136">
        <v>1003</v>
      </c>
      <c r="O136" t="s">
        <v>121</v>
      </c>
      <c r="P136" t="s">
        <v>121</v>
      </c>
      <c r="Q136">
        <v>1</v>
      </c>
      <c r="X136">
        <v>105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G136">
        <v>105</v>
      </c>
      <c r="AH136">
        <v>3</v>
      </c>
      <c r="AI136">
        <v>-1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ROW(Source!A117)</f>
        <v>117</v>
      </c>
      <c r="B137">
        <v>55455287</v>
      </c>
      <c r="C137">
        <v>55455282</v>
      </c>
      <c r="D137">
        <v>53630067</v>
      </c>
      <c r="E137">
        <v>70</v>
      </c>
      <c r="F137">
        <v>1</v>
      </c>
      <c r="G137">
        <v>1</v>
      </c>
      <c r="H137">
        <v>1</v>
      </c>
      <c r="I137" t="s">
        <v>345</v>
      </c>
      <c r="K137" t="s">
        <v>346</v>
      </c>
      <c r="L137">
        <v>1191</v>
      </c>
      <c r="N137">
        <v>1013</v>
      </c>
      <c r="O137" t="s">
        <v>313</v>
      </c>
      <c r="P137" t="s">
        <v>313</v>
      </c>
      <c r="Q137">
        <v>1</v>
      </c>
      <c r="X137">
        <v>3.45</v>
      </c>
      <c r="Y137">
        <v>0</v>
      </c>
      <c r="Z137">
        <v>0</v>
      </c>
      <c r="AA137">
        <v>0</v>
      </c>
      <c r="AB137">
        <v>8.53</v>
      </c>
      <c r="AC137">
        <v>0</v>
      </c>
      <c r="AD137">
        <v>1</v>
      </c>
      <c r="AE137">
        <v>1</v>
      </c>
      <c r="AF137" t="s">
        <v>74</v>
      </c>
      <c r="AG137">
        <v>3.9675</v>
      </c>
      <c r="AH137">
        <v>2</v>
      </c>
      <c r="AI137">
        <v>55455283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ROW(Source!A117)</f>
        <v>117</v>
      </c>
      <c r="B138">
        <v>55455288</v>
      </c>
      <c r="C138">
        <v>55455282</v>
      </c>
      <c r="D138">
        <v>53630257</v>
      </c>
      <c r="E138">
        <v>70</v>
      </c>
      <c r="F138">
        <v>1</v>
      </c>
      <c r="G138">
        <v>1</v>
      </c>
      <c r="H138">
        <v>1</v>
      </c>
      <c r="I138" t="s">
        <v>316</v>
      </c>
      <c r="K138" t="s">
        <v>317</v>
      </c>
      <c r="L138">
        <v>1191</v>
      </c>
      <c r="N138">
        <v>1013</v>
      </c>
      <c r="O138" t="s">
        <v>313</v>
      </c>
      <c r="P138" t="s">
        <v>313</v>
      </c>
      <c r="Q138">
        <v>1</v>
      </c>
      <c r="X138">
        <v>0.02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F138" t="s">
        <v>73</v>
      </c>
      <c r="AG138">
        <v>0.025</v>
      </c>
      <c r="AH138">
        <v>2</v>
      </c>
      <c r="AI138">
        <v>55455284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ROW(Source!A117)</f>
        <v>117</v>
      </c>
      <c r="B139">
        <v>55455289</v>
      </c>
      <c r="C139">
        <v>55455282</v>
      </c>
      <c r="D139">
        <v>53792927</v>
      </c>
      <c r="E139">
        <v>1</v>
      </c>
      <c r="F139">
        <v>1</v>
      </c>
      <c r="G139">
        <v>1</v>
      </c>
      <c r="H139">
        <v>2</v>
      </c>
      <c r="I139" t="s">
        <v>322</v>
      </c>
      <c r="J139" t="s">
        <v>323</v>
      </c>
      <c r="K139" t="s">
        <v>324</v>
      </c>
      <c r="L139">
        <v>1367</v>
      </c>
      <c r="N139">
        <v>1011</v>
      </c>
      <c r="O139" t="s">
        <v>321</v>
      </c>
      <c r="P139" t="s">
        <v>321</v>
      </c>
      <c r="Q139">
        <v>1</v>
      </c>
      <c r="X139">
        <v>0.02</v>
      </c>
      <c r="Y139">
        <v>0</v>
      </c>
      <c r="Z139">
        <v>65.71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73</v>
      </c>
      <c r="AG139">
        <v>0.025</v>
      </c>
      <c r="AH139">
        <v>2</v>
      </c>
      <c r="AI139">
        <v>55455285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ROW(Source!A117)</f>
        <v>117</v>
      </c>
      <c r="B140">
        <v>55455290</v>
      </c>
      <c r="C140">
        <v>55455282</v>
      </c>
      <c r="D140">
        <v>53643036</v>
      </c>
      <c r="E140">
        <v>1</v>
      </c>
      <c r="F140">
        <v>1</v>
      </c>
      <c r="G140">
        <v>1</v>
      </c>
      <c r="H140">
        <v>3</v>
      </c>
      <c r="I140" t="s">
        <v>388</v>
      </c>
      <c r="J140" t="s">
        <v>389</v>
      </c>
      <c r="K140" t="s">
        <v>390</v>
      </c>
      <c r="L140">
        <v>1327</v>
      </c>
      <c r="N140">
        <v>1005</v>
      </c>
      <c r="O140" t="s">
        <v>106</v>
      </c>
      <c r="P140" t="s">
        <v>106</v>
      </c>
      <c r="Q140">
        <v>1</v>
      </c>
      <c r="X140">
        <v>122.4</v>
      </c>
      <c r="Y140">
        <v>12.19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122.4</v>
      </c>
      <c r="AH140">
        <v>2</v>
      </c>
      <c r="AI140">
        <v>55455286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ROW(Source!A118)</f>
        <v>118</v>
      </c>
      <c r="B141">
        <v>55455287</v>
      </c>
      <c r="C141">
        <v>55455282</v>
      </c>
      <c r="D141">
        <v>53630067</v>
      </c>
      <c r="E141">
        <v>70</v>
      </c>
      <c r="F141">
        <v>1</v>
      </c>
      <c r="G141">
        <v>1</v>
      </c>
      <c r="H141">
        <v>1</v>
      </c>
      <c r="I141" t="s">
        <v>345</v>
      </c>
      <c r="K141" t="s">
        <v>346</v>
      </c>
      <c r="L141">
        <v>1191</v>
      </c>
      <c r="N141">
        <v>1013</v>
      </c>
      <c r="O141" t="s">
        <v>313</v>
      </c>
      <c r="P141" t="s">
        <v>313</v>
      </c>
      <c r="Q141">
        <v>1</v>
      </c>
      <c r="X141">
        <v>3.45</v>
      </c>
      <c r="Y141">
        <v>0</v>
      </c>
      <c r="Z141">
        <v>0</v>
      </c>
      <c r="AA141">
        <v>0</v>
      </c>
      <c r="AB141">
        <v>8.53</v>
      </c>
      <c r="AC141">
        <v>0</v>
      </c>
      <c r="AD141">
        <v>1</v>
      </c>
      <c r="AE141">
        <v>1</v>
      </c>
      <c r="AF141" t="s">
        <v>74</v>
      </c>
      <c r="AG141">
        <v>3.9675</v>
      </c>
      <c r="AH141">
        <v>2</v>
      </c>
      <c r="AI141">
        <v>55455283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ROW(Source!A118)</f>
        <v>118</v>
      </c>
      <c r="B142">
        <v>55455288</v>
      </c>
      <c r="C142">
        <v>55455282</v>
      </c>
      <c r="D142">
        <v>53630257</v>
      </c>
      <c r="E142">
        <v>70</v>
      </c>
      <c r="F142">
        <v>1</v>
      </c>
      <c r="G142">
        <v>1</v>
      </c>
      <c r="H142">
        <v>1</v>
      </c>
      <c r="I142" t="s">
        <v>316</v>
      </c>
      <c r="K142" t="s">
        <v>317</v>
      </c>
      <c r="L142">
        <v>1191</v>
      </c>
      <c r="N142">
        <v>1013</v>
      </c>
      <c r="O142" t="s">
        <v>313</v>
      </c>
      <c r="P142" t="s">
        <v>313</v>
      </c>
      <c r="Q142">
        <v>1</v>
      </c>
      <c r="X142">
        <v>0.02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2</v>
      </c>
      <c r="AF142" t="s">
        <v>73</v>
      </c>
      <c r="AG142">
        <v>0.025</v>
      </c>
      <c r="AH142">
        <v>2</v>
      </c>
      <c r="AI142">
        <v>55455284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ROW(Source!A118)</f>
        <v>118</v>
      </c>
      <c r="B143">
        <v>55455289</v>
      </c>
      <c r="C143">
        <v>55455282</v>
      </c>
      <c r="D143">
        <v>53792927</v>
      </c>
      <c r="E143">
        <v>1</v>
      </c>
      <c r="F143">
        <v>1</v>
      </c>
      <c r="G143">
        <v>1</v>
      </c>
      <c r="H143">
        <v>2</v>
      </c>
      <c r="I143" t="s">
        <v>322</v>
      </c>
      <c r="J143" t="s">
        <v>323</v>
      </c>
      <c r="K143" t="s">
        <v>324</v>
      </c>
      <c r="L143">
        <v>1367</v>
      </c>
      <c r="N143">
        <v>1011</v>
      </c>
      <c r="O143" t="s">
        <v>321</v>
      </c>
      <c r="P143" t="s">
        <v>321</v>
      </c>
      <c r="Q143">
        <v>1</v>
      </c>
      <c r="X143">
        <v>0.02</v>
      </c>
      <c r="Y143">
        <v>0</v>
      </c>
      <c r="Z143">
        <v>65.71</v>
      </c>
      <c r="AA143">
        <v>11.6</v>
      </c>
      <c r="AB143">
        <v>0</v>
      </c>
      <c r="AC143">
        <v>0</v>
      </c>
      <c r="AD143">
        <v>1</v>
      </c>
      <c r="AE143">
        <v>0</v>
      </c>
      <c r="AF143" t="s">
        <v>73</v>
      </c>
      <c r="AG143">
        <v>0.025</v>
      </c>
      <c r="AH143">
        <v>2</v>
      </c>
      <c r="AI143">
        <v>55455285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ROW(Source!A118)</f>
        <v>118</v>
      </c>
      <c r="B144">
        <v>55455290</v>
      </c>
      <c r="C144">
        <v>55455282</v>
      </c>
      <c r="D144">
        <v>53643036</v>
      </c>
      <c r="E144">
        <v>1</v>
      </c>
      <c r="F144">
        <v>1</v>
      </c>
      <c r="G144">
        <v>1</v>
      </c>
      <c r="H144">
        <v>3</v>
      </c>
      <c r="I144" t="s">
        <v>388</v>
      </c>
      <c r="J144" t="s">
        <v>389</v>
      </c>
      <c r="K144" t="s">
        <v>390</v>
      </c>
      <c r="L144">
        <v>1327</v>
      </c>
      <c r="N144">
        <v>1005</v>
      </c>
      <c r="O144" t="s">
        <v>106</v>
      </c>
      <c r="P144" t="s">
        <v>106</v>
      </c>
      <c r="Q144">
        <v>1</v>
      </c>
      <c r="X144">
        <v>122.4</v>
      </c>
      <c r="Y144">
        <v>12.19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122.4</v>
      </c>
      <c r="AH144">
        <v>2</v>
      </c>
      <c r="AI144">
        <v>55455286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ROW(Source!A119)</f>
        <v>119</v>
      </c>
      <c r="B145">
        <v>55455294</v>
      </c>
      <c r="C145">
        <v>55455291</v>
      </c>
      <c r="D145">
        <v>44800179</v>
      </c>
      <c r="E145">
        <v>54</v>
      </c>
      <c r="F145">
        <v>1</v>
      </c>
      <c r="G145">
        <v>1</v>
      </c>
      <c r="H145">
        <v>1</v>
      </c>
      <c r="I145" t="s">
        <v>391</v>
      </c>
      <c r="K145" t="s">
        <v>392</v>
      </c>
      <c r="L145">
        <v>1191</v>
      </c>
      <c r="N145">
        <v>1013</v>
      </c>
      <c r="O145" t="s">
        <v>313</v>
      </c>
      <c r="P145" t="s">
        <v>313</v>
      </c>
      <c r="Q145">
        <v>1</v>
      </c>
      <c r="X145">
        <v>188</v>
      </c>
      <c r="Y145">
        <v>0</v>
      </c>
      <c r="Z145">
        <v>0</v>
      </c>
      <c r="AA145">
        <v>0</v>
      </c>
      <c r="AB145">
        <v>7.25</v>
      </c>
      <c r="AC145">
        <v>0</v>
      </c>
      <c r="AD145">
        <v>1</v>
      </c>
      <c r="AE145">
        <v>1</v>
      </c>
      <c r="AG145">
        <v>188</v>
      </c>
      <c r="AH145">
        <v>2</v>
      </c>
      <c r="AI145">
        <v>55455292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ROW(Source!A119)</f>
        <v>119</v>
      </c>
      <c r="B146">
        <v>55455295</v>
      </c>
      <c r="C146">
        <v>55455291</v>
      </c>
      <c r="D146">
        <v>44805115</v>
      </c>
      <c r="E146">
        <v>54</v>
      </c>
      <c r="F146">
        <v>1</v>
      </c>
      <c r="G146">
        <v>1</v>
      </c>
      <c r="H146">
        <v>3</v>
      </c>
      <c r="I146" t="s">
        <v>32</v>
      </c>
      <c r="K146" t="s">
        <v>33</v>
      </c>
      <c r="L146">
        <v>1348</v>
      </c>
      <c r="N146">
        <v>1009</v>
      </c>
      <c r="O146" t="s">
        <v>34</v>
      </c>
      <c r="P146" t="s">
        <v>34</v>
      </c>
      <c r="Q146">
        <v>1000</v>
      </c>
      <c r="X146">
        <v>100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G146">
        <v>100</v>
      </c>
      <c r="AH146">
        <v>3</v>
      </c>
      <c r="AI146">
        <v>-1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ROW(Source!A120)</f>
        <v>120</v>
      </c>
      <c r="B147">
        <v>55455294</v>
      </c>
      <c r="C147">
        <v>55455291</v>
      </c>
      <c r="D147">
        <v>44800179</v>
      </c>
      <c r="E147">
        <v>54</v>
      </c>
      <c r="F147">
        <v>1</v>
      </c>
      <c r="G147">
        <v>1</v>
      </c>
      <c r="H147">
        <v>1</v>
      </c>
      <c r="I147" t="s">
        <v>391</v>
      </c>
      <c r="K147" t="s">
        <v>392</v>
      </c>
      <c r="L147">
        <v>1191</v>
      </c>
      <c r="N147">
        <v>1013</v>
      </c>
      <c r="O147" t="s">
        <v>313</v>
      </c>
      <c r="P147" t="s">
        <v>313</v>
      </c>
      <c r="Q147">
        <v>1</v>
      </c>
      <c r="X147">
        <v>188</v>
      </c>
      <c r="Y147">
        <v>0</v>
      </c>
      <c r="Z147">
        <v>0</v>
      </c>
      <c r="AA147">
        <v>0</v>
      </c>
      <c r="AB147">
        <v>7.25</v>
      </c>
      <c r="AC147">
        <v>0</v>
      </c>
      <c r="AD147">
        <v>1</v>
      </c>
      <c r="AE147">
        <v>1</v>
      </c>
      <c r="AG147">
        <v>188</v>
      </c>
      <c r="AH147">
        <v>2</v>
      </c>
      <c r="AI147">
        <v>55455292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ROW(Source!A120)</f>
        <v>120</v>
      </c>
      <c r="B148">
        <v>55455295</v>
      </c>
      <c r="C148">
        <v>55455291</v>
      </c>
      <c r="D148">
        <v>44805115</v>
      </c>
      <c r="E148">
        <v>54</v>
      </c>
      <c r="F148">
        <v>1</v>
      </c>
      <c r="G148">
        <v>1</v>
      </c>
      <c r="H148">
        <v>3</v>
      </c>
      <c r="I148" t="s">
        <v>32</v>
      </c>
      <c r="K148" t="s">
        <v>33</v>
      </c>
      <c r="L148">
        <v>1348</v>
      </c>
      <c r="N148">
        <v>1009</v>
      </c>
      <c r="O148" t="s">
        <v>34</v>
      </c>
      <c r="P148" t="s">
        <v>34</v>
      </c>
      <c r="Q148">
        <v>1000</v>
      </c>
      <c r="X148">
        <v>100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G148">
        <v>100</v>
      </c>
      <c r="AH148">
        <v>3</v>
      </c>
      <c r="AI148">
        <v>-1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ROW(Source!A123)</f>
        <v>123</v>
      </c>
      <c r="B149">
        <v>55455299</v>
      </c>
      <c r="C149">
        <v>55455297</v>
      </c>
      <c r="D149">
        <v>44800161</v>
      </c>
      <c r="E149">
        <v>54</v>
      </c>
      <c r="F149">
        <v>1</v>
      </c>
      <c r="G149">
        <v>1</v>
      </c>
      <c r="H149">
        <v>1</v>
      </c>
      <c r="I149" t="s">
        <v>393</v>
      </c>
      <c r="K149" t="s">
        <v>394</v>
      </c>
      <c r="L149">
        <v>1191</v>
      </c>
      <c r="N149">
        <v>1013</v>
      </c>
      <c r="O149" t="s">
        <v>313</v>
      </c>
      <c r="P149" t="s">
        <v>313</v>
      </c>
      <c r="Q149">
        <v>1</v>
      </c>
      <c r="X149">
        <v>1.03</v>
      </c>
      <c r="Y149">
        <v>0</v>
      </c>
      <c r="Z149">
        <v>0</v>
      </c>
      <c r="AA149">
        <v>0</v>
      </c>
      <c r="AB149">
        <v>7.19</v>
      </c>
      <c r="AC149">
        <v>0</v>
      </c>
      <c r="AD149">
        <v>1</v>
      </c>
      <c r="AE149">
        <v>1</v>
      </c>
      <c r="AG149">
        <v>1.03</v>
      </c>
      <c r="AH149">
        <v>2</v>
      </c>
      <c r="AI149">
        <v>55455298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ROW(Source!A123)</f>
        <v>123</v>
      </c>
      <c r="B150">
        <v>55455300</v>
      </c>
      <c r="C150">
        <v>55455297</v>
      </c>
      <c r="D150">
        <v>44816375</v>
      </c>
      <c r="E150">
        <v>1</v>
      </c>
      <c r="F150">
        <v>1</v>
      </c>
      <c r="G150">
        <v>1</v>
      </c>
      <c r="H150">
        <v>3</v>
      </c>
      <c r="I150" t="s">
        <v>404</v>
      </c>
      <c r="J150" t="s">
        <v>405</v>
      </c>
      <c r="K150" t="s">
        <v>406</v>
      </c>
      <c r="L150">
        <v>1425</v>
      </c>
      <c r="N150">
        <v>1013</v>
      </c>
      <c r="O150" t="s">
        <v>407</v>
      </c>
      <c r="P150" t="s">
        <v>407</v>
      </c>
      <c r="Q150">
        <v>1</v>
      </c>
      <c r="X150">
        <v>0.2</v>
      </c>
      <c r="Y150">
        <v>82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0.2</v>
      </c>
      <c r="AH150">
        <v>3</v>
      </c>
      <c r="AI150">
        <v>-1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ROW(Source!A124)</f>
        <v>124</v>
      </c>
      <c r="B151">
        <v>55455299</v>
      </c>
      <c r="C151">
        <v>55455297</v>
      </c>
      <c r="D151">
        <v>44800161</v>
      </c>
      <c r="E151">
        <v>54</v>
      </c>
      <c r="F151">
        <v>1</v>
      </c>
      <c r="G151">
        <v>1</v>
      </c>
      <c r="H151">
        <v>1</v>
      </c>
      <c r="I151" t="s">
        <v>393</v>
      </c>
      <c r="K151" t="s">
        <v>394</v>
      </c>
      <c r="L151">
        <v>1191</v>
      </c>
      <c r="N151">
        <v>1013</v>
      </c>
      <c r="O151" t="s">
        <v>313</v>
      </c>
      <c r="P151" t="s">
        <v>313</v>
      </c>
      <c r="Q151">
        <v>1</v>
      </c>
      <c r="X151">
        <v>1.03</v>
      </c>
      <c r="Y151">
        <v>0</v>
      </c>
      <c r="Z151">
        <v>0</v>
      </c>
      <c r="AA151">
        <v>0</v>
      </c>
      <c r="AB151">
        <v>7.19</v>
      </c>
      <c r="AC151">
        <v>0</v>
      </c>
      <c r="AD151">
        <v>1</v>
      </c>
      <c r="AE151">
        <v>1</v>
      </c>
      <c r="AG151">
        <v>1.03</v>
      </c>
      <c r="AH151">
        <v>2</v>
      </c>
      <c r="AI151">
        <v>55455298</v>
      </c>
      <c r="AJ151">
        <v>150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ROW(Source!A124)</f>
        <v>124</v>
      </c>
      <c r="B152">
        <v>55455300</v>
      </c>
      <c r="C152">
        <v>55455297</v>
      </c>
      <c r="D152">
        <v>44816375</v>
      </c>
      <c r="E152">
        <v>1</v>
      </c>
      <c r="F152">
        <v>1</v>
      </c>
      <c r="G152">
        <v>1</v>
      </c>
      <c r="H152">
        <v>3</v>
      </c>
      <c r="I152" t="s">
        <v>404</v>
      </c>
      <c r="J152" t="s">
        <v>405</v>
      </c>
      <c r="K152" t="s">
        <v>406</v>
      </c>
      <c r="L152">
        <v>1425</v>
      </c>
      <c r="N152">
        <v>1013</v>
      </c>
      <c r="O152" t="s">
        <v>407</v>
      </c>
      <c r="P152" t="s">
        <v>407</v>
      </c>
      <c r="Q152">
        <v>1</v>
      </c>
      <c r="X152">
        <v>0.2</v>
      </c>
      <c r="Y152">
        <v>82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0.2</v>
      </c>
      <c r="AH152">
        <v>3</v>
      </c>
      <c r="AI152">
        <v>-1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2023-04-26T14:54:23Z</cp:lastPrinted>
  <dcterms:created xsi:type="dcterms:W3CDTF">2023-04-24T13:56:28Z</dcterms:created>
  <dcterms:modified xsi:type="dcterms:W3CDTF">2023-05-31T13:44:27Z</dcterms:modified>
  <cp:category/>
  <cp:version/>
  <cp:contentType/>
  <cp:contentStatus/>
</cp:coreProperties>
</file>