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0" activeTab="0"/>
  </bookViews>
  <sheets>
    <sheet name="Смета для ТЕР МО 421пр (12" sheetId="1" r:id="rId1"/>
    <sheet name="Дефектная ведомость" sheetId="2" r:id="rId2"/>
    <sheet name="RV_DATA" sheetId="3" state="hidden" r:id="rId3"/>
    <sheet name="Расчет стоимости ресурсов" sheetId="4" r:id="rId4"/>
    <sheet name="Source" sheetId="5" r:id="rId5"/>
    <sheet name="SourceObSm" sheetId="6" r:id="rId6"/>
    <sheet name="SmtRes" sheetId="7" r:id="rId7"/>
    <sheet name="EtalonRes" sheetId="8" r:id="rId8"/>
  </sheets>
  <definedNames>
    <definedName name="_xlnm.Print_Titles" localSheetId="1">'Дефектная ведомость'!$18:$18</definedName>
    <definedName name="_xlnm.Print_Titles" localSheetId="3">'Расчет стоимости ресурсов'!$4:$7</definedName>
    <definedName name="_xlnm.Print_Titles" localSheetId="0">'Смета для ТЕР МО 421пр (12'!$41:$41</definedName>
    <definedName name="_xlnm.Print_Area" localSheetId="1">'Дефектная ведомость'!$A$1:$E$60</definedName>
    <definedName name="_xlnm.Print_Area" localSheetId="3">'Расчет стоимости ресурсов'!$A$1:$H$20</definedName>
    <definedName name="_xlnm.Print_Area" localSheetId="0">'Смета для ТЕР МО 421пр (12'!$A$1:$L$321</definedName>
  </definedNames>
  <calcPr fullCalcOnLoad="1"/>
</workbook>
</file>

<file path=xl/sharedStrings.xml><?xml version="1.0" encoding="utf-8"?>
<sst xmlns="http://schemas.openxmlformats.org/spreadsheetml/2006/main" count="6110" uniqueCount="547">
  <si>
    <t>Smeta.RU  (495) 974-1589</t>
  </si>
  <si>
    <t>_PS_</t>
  </si>
  <si>
    <t>Smeta.RU</t>
  </si>
  <si>
    <t/>
  </si>
  <si>
    <t>Выполнение работ по текущему ремонту кровли строения 2 (КОН)_3 млн</t>
  </si>
  <si>
    <t>Степанова А.М.</t>
  </si>
  <si>
    <t>Ведущий инженер РЕСО</t>
  </si>
  <si>
    <t>Покшин В.И.</t>
  </si>
  <si>
    <t>Заведующий РЕСО</t>
  </si>
  <si>
    <t>Муравьев К.В.</t>
  </si>
  <si>
    <t>Главный инженер</t>
  </si>
  <si>
    <t>ИПУ РАН</t>
  </si>
  <si>
    <t>Сметные нормы списания</t>
  </si>
  <si>
    <t>Коды ценников</t>
  </si>
  <si>
    <t>ФЕР-2020 И9 приказы НР № 812/пр, СП № 774/пр</t>
  </si>
  <si>
    <t>Версия 1.3.1 ГСН (ГЭСН, ФЕР) и ТЕР (Методики НР (812/пр и 636/пр) и СП (774/пр) с 22.10.2021 г.) шифры НР, СП и ПНР с версии Smeta.ru 11.4.1.0</t>
  </si>
  <si>
    <t>ФЕР-2020 - изменения И9</t>
  </si>
  <si>
    <t>Поправки для ГСН (ФЕР) 2020 от 10.01.2022 г И9 Строительство</t>
  </si>
  <si>
    <t>Новая локальная смета</t>
  </si>
  <si>
    <t>Новый раздел</t>
  </si>
  <si>
    <t>Демонтаж</t>
  </si>
  <si>
    <t>1</t>
  </si>
  <si>
    <t>46-04-008-02</t>
  </si>
  <si>
    <t>Разборка покрытий кровель: из листовой стали</t>
  </si>
  <si>
    <t>100 м2</t>
  </si>
  <si>
    <t>ФЕР-2001, 46-04-008-02, приказ Минстроя России № 876/пр от 26.12.2019</t>
  </si>
  <si>
    <t>Общестроительные работы</t>
  </si>
  <si>
    <t>Работы по реконструкции зданий и сооружений</t>
  </si>
  <si>
    <t>Работы по реконструкции зданий и сооружений: разборка отдельных конструктивных элементов здания (сооружения), а также зданий (сооружений) в целом</t>
  </si>
  <si>
    <t>ФЕР-46</t>
  </si>
  <si>
    <t>Пр/812-040.2-1</t>
  </si>
  <si>
    <t>Пр/774-040.2</t>
  </si>
  <si>
    <t>2</t>
  </si>
  <si>
    <t>46-04-008-01</t>
  </si>
  <si>
    <t>Разборка покрытий кровель: из рулонных материалов</t>
  </si>
  <si>
    <t>ФЕР-2001, 46-04-008-01, приказ Минстроя России № 876/пр от 26.12.2019</t>
  </si>
  <si>
    <t>Работы по реконструкции зданий и сооружений: усиление и замена существующих конструкций, возведение отдельных конструктивных элементов</t>
  </si>
  <si>
    <t>Пр/812-040.1-1</t>
  </si>
  <si>
    <t>Пр/774-040.1</t>
  </si>
  <si>
    <t>3</t>
  </si>
  <si>
    <t>11-01-011-01</t>
  </si>
  <si>
    <t>Разборка стяжек: цементных толщиной 20 мм (Применительно)</t>
  </si>
  <si>
    <t>ФЕР-2001 доп. 2, 11-01-011-01, приказ Минстроя России № 294/пр от 01.06.2020</t>
  </si>
  <si>
    <t>Поправка: МР 519/пр Табл.2, п.1  Наименование: При демонтаже (разборке) сборных бетонных и железобетонных конструкций</t>
  </si>
  <si>
    <t>)*0</t>
  </si>
  <si>
    <t>)*0,8</t>
  </si>
  <si>
    <t>Полы</t>
  </si>
  <si>
    <t>ФЕР-11</t>
  </si>
  <si>
    <t>Поправка: МР 519/пр Табл.2, п.1</t>
  </si>
  <si>
    <t>Пр/812-011.0-1</t>
  </si>
  <si>
    <t>Пр/774-011.0</t>
  </si>
  <si>
    <t>3,1</t>
  </si>
  <si>
    <t>01.7.03.01-0001</t>
  </si>
  <si>
    <t>Вода</t>
  </si>
  <si>
    <t>м3</t>
  </si>
  <si>
    <t>ФССЦ-2001, 01.7.03.01-0001, приказ Минстроя России № 876/пр от 26.12.2019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</si>
  <si>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</si>
  <si>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</si>
  <si>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</si>
  <si>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</si>
  <si>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</si>
  <si>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</si>
  <si>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</si>
  <si>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</si>
  <si>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</si>
  <si>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</si>
  <si>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</si>
  <si>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</si>
  <si>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</si>
  <si>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</si>
  <si>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</si>
  <si>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</si>
  <si>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</si>
  <si>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</si>
  <si>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</si>
  <si>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</si>
  <si>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</si>
  <si>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</si>
  <si>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</si>
  <si>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</si>
  <si>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</si>
  <si>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</si>
  <si>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</si>
  <si>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</si>
  <si>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</si>
  <si>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</si>
  <si>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</si>
  <si>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</si>
  <si>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</si>
  <si>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</si>
  <si>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</si>
  <si>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</si>
  <si>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</si>
  <si>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</si>
  <si>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</si>
  <si>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</si>
  <si>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</si>
  <si>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</si>
  <si>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</si>
  <si>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</si>
  <si>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</si>
  <si>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</si>
  <si>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Перевозка</t>
  </si>
  <si>
    <t>Перевозка грузов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</si>
  <si>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</si>
  <si>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</si>
  <si>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</si>
  <si>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</si>
  <si>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</si>
  <si>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</si>
  <si>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4</t>
  </si>
  <si>
    <t>12-01-017-01</t>
  </si>
  <si>
    <t>Устройство выравнивающих стяжек: цементно-песчаных толщиной 15 мм</t>
  </si>
  <si>
    <t>ФЕР-2001, 12-01-017-01, приказ Минстроя России № 876/пр от 26.12.2019</t>
  </si>
  <si>
    <t>Поправка: МР 519/пр п.6.7.1  Наименование: При выполнении работ в существующих зданиях и сооружениях, аналогичных процессам при новом строительстве (кроме работ по нормам сборника № 46 «Работы при реконструкции зданий и сооружений»)</t>
  </si>
  <si>
    <t>)*1,25</t>
  </si>
  <si>
    <t>)*1,15</t>
  </si>
  <si>
    <t>Кровли</t>
  </si>
  <si>
    <t>ФЕР-12</t>
  </si>
  <si>
    <t>Поправка: МР 519/пр п.6.7.1</t>
  </si>
  <si>
    <t>Пр/812-012.0-1</t>
  </si>
  <si>
    <t>Пр/774-012.0</t>
  </si>
  <si>
    <t>4,1</t>
  </si>
  <si>
    <t>04.3.02.11-0011</t>
  </si>
  <si>
    <t>Смеси сухие цементные (пескобетон), класс B22,5 (M300)</t>
  </si>
  <si>
    <t>т</t>
  </si>
  <si>
    <t>ФССЦ-2001, 04.3.02.11-0011, приказ Минстроя России № 876/пр от 26.12.2019</t>
  </si>
  <si>
    <t>5</t>
  </si>
  <si>
    <t>12-01-017-02</t>
  </si>
  <si>
    <t>Устройство выравнивающих стяжек: на каждый 1 мм изменения толщины добавлять или исключать к расценке 12-01-017-01 (К=5, до 20 мм)</t>
  </si>
  <si>
    <t>ФЕР-2001, 12-01-017-02, приказ Минстроя России № 876/пр от 26.12.2019</t>
  </si>
  <si>
    <t>)*5</t>
  </si>
  <si>
    <t>)*1,25)*5</t>
  </si>
  <si>
    <t>)*1,15)*5</t>
  </si>
  <si>
    <t>5,1</t>
  </si>
  <si>
    <t>6</t>
  </si>
  <si>
    <t>12-01-016-02</t>
  </si>
  <si>
    <t>Огрунтовка оснований из бетона или раствора под водоизоляционный кровельный ковер: готовой эмульсией битумной</t>
  </si>
  <si>
    <t>ФЕР-2001, 12-01-016-02, приказ Минстроя России № 876/пр от 26.12.2019</t>
  </si>
  <si>
    <t>)*0,9</t>
  </si>
  <si>
    <t>)*0,85</t>
  </si>
  <si>
    <t>Поправка: М-ка 421/пр 04.08.20 п.58 п.п. б)</t>
  </si>
  <si>
    <t>6,1</t>
  </si>
  <si>
    <t>01.2.03.07-0022</t>
  </si>
  <si>
    <t>Эмульсия битумная гидроизоляционная</t>
  </si>
  <si>
    <t>ФССЦ-2001, 01.2.03.07-0022, приказ Минстроя России № 876/пр от 26.12.2019</t>
  </si>
  <si>
    <t>6,2</t>
  </si>
  <si>
    <t>01.2.03.05-0010</t>
  </si>
  <si>
    <t>Праймер битумный производства «Техно-Николь»</t>
  </si>
  <si>
    <t>ФССЦ-2001, 01.2.03.05-0010, приказ Минстроя России № 876/пр от 26.12.2019</t>
  </si>
  <si>
    <t>7</t>
  </si>
  <si>
    <t>12-01-010-01</t>
  </si>
  <si>
    <t>Устройство мелких покрытий (брандмауэры, парапеты, свесы и т.п.) из листовой оцинкованной стали</t>
  </si>
  <si>
    <t>ФЕР-2001, 12-01-010-01, приказ Минстроя России № 876/пр от 26.12.2019</t>
  </si>
  <si>
    <t>7,1</t>
  </si>
  <si>
    <t>01.7.15.06-0146</t>
  </si>
  <si>
    <t>Гвозди толевые круглые, размер 3,0x40 мм</t>
  </si>
  <si>
    <t>ФССЦ-2001, 01.7.15.06-0146, приказ Минстроя России № 876/пр от 26.12.2019</t>
  </si>
  <si>
    <t>7,2</t>
  </si>
  <si>
    <t>08.3.03.05-0002</t>
  </si>
  <si>
    <t>Проволока канатная оцинкованная, диаметр 3 мм</t>
  </si>
  <si>
    <t>ФССЦ-2001, 08.3.03.05-0002, приказ Минстроя России № 876/пр от 26.12.2019</t>
  </si>
  <si>
    <t>7,3</t>
  </si>
  <si>
    <t>08.3.05.05-0051</t>
  </si>
  <si>
    <t>Сталь листовая оцинкованная, толщина 0,5 мм</t>
  </si>
  <si>
    <t>ФССЦ-2001, 08.3.05.05-0051, приказ Минстроя России № 876/пр от 26.12.2019</t>
  </si>
  <si>
    <t>8</t>
  </si>
  <si>
    <t>12-01-002-09</t>
  </si>
  <si>
    <t>Устройство кровель плоских из наплавляемых материалов в два слоя</t>
  </si>
  <si>
    <t>ФЕР-2001 доп.5, 12-01-002-09, приказ Минстроя России № 51/пр от 09.02.2021</t>
  </si>
  <si>
    <t>8,1</t>
  </si>
  <si>
    <t>12.1.02.08-0091</t>
  </si>
  <si>
    <t>Линокром: ТКП</t>
  </si>
  <si>
    <t>м2</t>
  </si>
  <si>
    <t>ФССЦ-2001, 12.1.02.08-0091, приказ Минстроя России № 876/пр от 26.12.2019</t>
  </si>
  <si>
    <t>8,2</t>
  </si>
  <si>
    <t>12.1.02.08-0095</t>
  </si>
  <si>
    <t>Линокром: ТПП</t>
  </si>
  <si>
    <t>ФССЦ-2001, 12.1.02.08-0095, приказ Минстроя России № 876/пр от 26.12.2019</t>
  </si>
  <si>
    <t>9</t>
  </si>
  <si>
    <t>Устройство кровель плоских из наплавляемых материалов в два слоя (услиление мест установки водоприемных воронок) (Применительно</t>
  </si>
  <si>
    <t>9,1</t>
  </si>
  <si>
    <t>9,2</t>
  </si>
  <si>
    <t>10</t>
  </si>
  <si>
    <t>12-01-004-04</t>
  </si>
  <si>
    <t>Устройство примыканий кровель из наплавляемых материалов к стенам и парапетам высотой: до 600 мм без фартуков</t>
  </si>
  <si>
    <t>100 м</t>
  </si>
  <si>
    <t>ФЕР-2001, 12-01-004-04, приказ Минстроя России № 876/пр от 26.12.2019</t>
  </si>
  <si>
    <t>10,1</t>
  </si>
  <si>
    <t>10,2</t>
  </si>
  <si>
    <t>10,3</t>
  </si>
  <si>
    <t>04.3.01.09-0014</t>
  </si>
  <si>
    <t>Раствор готовый кладочный, цементный, М100</t>
  </si>
  <si>
    <t>ФССЦ-2001, 04.3.01.09-0014, приказ Минстроя России № 876/пр от 26.12.2019</t>
  </si>
  <si>
    <t>11</t>
  </si>
  <si>
    <t>07-01-037-03</t>
  </si>
  <si>
    <t>Герметизация мастикой швов: горизонтальных</t>
  </si>
  <si>
    <t>ФЕР-2001, 07-01-037-03, приказ Минстроя России № 876/пр от 26.12.2019</t>
  </si>
  <si>
    <t>Бетонные и железобетонные сборные конструкции и работы в строительстве</t>
  </si>
  <si>
    <t>ФЕР-07</t>
  </si>
  <si>
    <t>Пр/812-007.0-1</t>
  </si>
  <si>
    <t>Пр/774-007.0</t>
  </si>
  <si>
    <t>11,1</t>
  </si>
  <si>
    <t>01.7.06.01-0012</t>
  </si>
  <si>
    <t>Лента герметизирующая самоклеящая Герлен-Д шириной: 100 мм толщиной 3 мм</t>
  </si>
  <si>
    <t>кг</t>
  </si>
  <si>
    <t>ФССЦ-2001, 01.7.06.01-0012, приказ Минстроя России № 876/пр от 26.12.2019</t>
  </si>
  <si>
    <t>11,2</t>
  </si>
  <si>
    <t>14.5.04.08-0012</t>
  </si>
  <si>
    <t>Мастика сланцевая уплотняющая неотверждающаяся для уплотнения и герметизации стеклянного ограждения теплиц и парников</t>
  </si>
  <si>
    <t>ФССЦ-2001, 14.5.04.08-0012, приказ Минстроя России № 876/пр от 26.12.2019</t>
  </si>
  <si>
    <t>12</t>
  </si>
  <si>
    <t>07-01-037-04</t>
  </si>
  <si>
    <t>Герметизация мастикой швов: вертикальных</t>
  </si>
  <si>
    <t>ФЕР-2001, 07-01-037-04, приказ Минстроя России № 876/пр от 26.12.2019</t>
  </si>
  <si>
    <t>12,1</t>
  </si>
  <si>
    <t>12,2</t>
  </si>
  <si>
    <t>Разные работы</t>
  </si>
  <si>
    <t>13</t>
  </si>
  <si>
    <t>69-15-1</t>
  </si>
  <si>
    <t>Затаривание строительного мусора в мешки</t>
  </si>
  <si>
    <t>ФЕРр-2001, 69-15-1, приказ Минстроя России № 876/пр от 26.12.2019</t>
  </si>
  <si>
    <t>Ремонтно-строительные работы</t>
  </si>
  <si>
    <t>Прочие ремонтно-строительные работы</t>
  </si>
  <si>
    <t>рФЕР-69</t>
  </si>
  <si>
    <t>Пр/812-103.0-1</t>
  </si>
  <si>
    <t>Пр/774-103.0</t>
  </si>
  <si>
    <t>14</t>
  </si>
  <si>
    <t>т01-01-01-041</t>
  </si>
  <si>
    <t>Погрузочные работы при автомобильных перевозках мусора строительного с погрузкой вручную</t>
  </si>
  <si>
    <t>1 Т ГРУЗА</t>
  </si>
  <si>
    <t>ФССЦпг-2001, т01-01-01-041, приказ Минстроя России №876/пр от 26.12.2019</t>
  </si>
  <si>
    <t>Погрузочно-разгрузочные работы</t>
  </si>
  <si>
    <t>ФССЦпр  пог. а/п (2011,изм. 4-6)</t>
  </si>
  <si>
    <t>15</t>
  </si>
  <si>
    <t>т03-01-01-050</t>
  </si>
  <si>
    <t>Перевозка грузов I класса автомобилями бортовыми грузоподъемностью до 15 т на расстояние: 50 км (Приказ от 06.11.2020 № МКЭ-ОД/20-68 прил. 2 по ЮЗАО - 50 км) Применительно</t>
  </si>
  <si>
    <t>ФССЦпг-2001, т03-01-01-050, приказ Минстроя России №876/пр от 26.12.2019</t>
  </si>
  <si>
    <t>Перевозка грузов авто/транспортом</t>
  </si>
  <si>
    <t>Перевозка строительных грузов автомобильным транспортом</t>
  </si>
  <si>
    <t>ФССЦпр , изм. 7</t>
  </si>
  <si>
    <t>НДС</t>
  </si>
  <si>
    <t>НДС 20%</t>
  </si>
  <si>
    <t>Итого</t>
  </si>
  <si>
    <t>Итого с НДС</t>
  </si>
  <si>
    <t>111</t>
  </si>
  <si>
    <t>Новая переменная</t>
  </si>
  <si>
    <t>Переменная_1</t>
  </si>
  <si>
    <t>Переменная_2</t>
  </si>
  <si>
    <t>СТР_РЕК</t>
  </si>
  <si>
    <t>СТРОИТЕЛЬСТВО и РЕКОНСТРУКЦИЯ  зданий и сооружений всех назначений</t>
  </si>
  <si>
    <t>Строительство и реконструкция</t>
  </si>
  <si>
    <t>РЕМ_ЖИЛ</t>
  </si>
  <si>
    <t>КАП. РЕМ. ЖИЛЫХ И ОБЩЕСТВЕННЫХ ЗДАНИЙ</t>
  </si>
  <si>
    <t>Капитальный ремонт жилых и общественных зданий</t>
  </si>
  <si>
    <t>РЕМ_ПР</t>
  </si>
  <si>
    <t>КАП. РЕМ. ПРОИЗВОДСТВЕННЫХ ЗД. и СООРУЖЕНИЙ,  НАРУЖНЫХ ИНЖЕНЕРНЫХ СЕТЕЙ, УЛИЦ И ДОРОГ МЕСТНОГО ЗНАЧЕНИЯ, ИНЖ,СООРУЖЕНИЙ ( ГИДРОТЕХ,СООРУЖ, МОСТОВ И ПУТЕПРОВОДОВ И Т.П.)</t>
  </si>
  <si>
    <t>Капитальный ремонт прозводственных зданий</t>
  </si>
  <si>
    <t>Территория</t>
  </si>
  <si>
    <t>для территории Российской Федерации, не относящейся к районам Крайнего Севера и приравненным к ним местностям</t>
  </si>
  <si>
    <t>МПРКС</t>
  </si>
  <si>
    <t>для территории Российской Федерации, относящейся к местностям, приравненным к районам Крайнего Севера</t>
  </si>
  <si>
    <t>РКС</t>
  </si>
  <si>
    <t>для территории Российской Федерации, относящейся к районам Крайнего Севера</t>
  </si>
  <si>
    <t>СЛЖ</t>
  </si>
  <si>
    <t>При определении сметной стоимости строительства объектов капитального строительства, относящихся к особо опасным и технически сложным. За исключением АЭС.</t>
  </si>
  <si>
    <t>Для сборников ФЕР ( при производстве работ на технически сложных объектах ):  ·  { СЛЖ } - (вкл.)    - работа на сложных объектах  (к=1,2 к НР)           ·  { СЛЖ } - (выкл.) - работа на обычных объектах</t>
  </si>
  <si>
    <t>Сложные объекты</t>
  </si>
  <si>
    <t>АЭС</t>
  </si>
  <si>
    <t>При определении сметной стоимости строительства объектов капитального строительства АЭС.</t>
  </si>
  <si>
    <t>Для сборника ФЕРм -39  и ФЕРМ-08  ( при работах по контролю сварных соединений) :    {мАЭС} - ( вкл.)  -     при выполнении работ по на АЭС  (HР=101%; СП= 68%;             {мАЭС} - (выкл.) -  при выполнении работ  на обычных объектах</t>
  </si>
  <si>
    <t>ОПТ/В</t>
  </si>
  <si>
    <t>{вкл}    - Прокладка  МЕЖДУГОРОДНЫХ  ВОЛОКОННО-ОПТИЧЕСКИХ ЛИНИЙ (для ФЕРм10, отд. 6 разд.3)  {выкл} - Прокладка  ГОРОДСКИХ               ВОЛОКОННО-ОПТИТЕСКИХ ЛИНИЙ  (для ФЕРм10, отд. 6 разд.3)</t>
  </si>
  <si>
    <t>Для сборников ФЕРм-10  ( волоконно-оптические линии связи ): ·  {М_ГОР_опт} -  ( вкл.)  - междугородные сети связи ( НР=120% , СП=70% )           ·  {М_ГОР_опт} - ( выкл.) - городские сети связи  ( НР=100%; СП=65%)</t>
  </si>
  <si>
    <t>Прокладка междугородных в/опт. кабелей</t>
  </si>
  <si>
    <t>АВИ</t>
  </si>
  <si>
    <t>(вкл)   -  При работах по ДИСПЕТЧЕРЕЗАЦИИ управления движением АВИАТРАНСПОРТОМ {вкл}  (монтажные работы )</t>
  </si>
  <si>
    <t>Для сборников ФЕРм 08;10;11 :    · {мАВИА} -  (вкл.)     -  производство монтажных  работы по диспетчеризации управления  движением авиатранспортном (НР=95%, СП=55%) ;    ·            {мАВИА} -  (выкл. ) -  при производстве работ на прочих объектах , кром</t>
  </si>
  <si>
    <t>Диспетчеризация авитранспорта</t>
  </si>
  <si>
    <t>ЗАКР</t>
  </si>
  <si>
    <t>{вкл}   -  Обслуживающие и сопутстующие работы в тоннелях при  производве работ ЗАКРЫТЫМ СПОСОБОМ   {выкл} - Обслуживающие и сопутстующие работы в тоннелях при  производве работ  ОТКРЫТЫМ</t>
  </si>
  <si>
    <t>Для сборника ФЕР -29 ( сопутствующие работы в тоннелях и метро. ): ·  {ЗАКР} - (вкл.)     -  при выполнении работ в тоннелях  и метро закрытым способом  (НР=145% , СП=75%); ·                {ЗАКР} - (выкл.) -   при выполнении работ в тоннелях и метро  отк</t>
  </si>
  <si>
    <t>Производство работ закрытым способом (обслуживающие процессы)</t>
  </si>
  <si>
    <t>ГОР</t>
  </si>
  <si>
    <t>(вкл) - ФЕРм-08, выполнение работ на горнорудных объектах  (выкл) - ФЕРм-08, выполнение работ на других объектах</t>
  </si>
  <si>
    <t>Выполнение работ на горнорудных объектах</t>
  </si>
  <si>
    <t>К_НР_РЕМ</t>
  </si>
  <si>
    <t>при ремонте жилых и общественных зданий если  ( если {РЕМ_ЖИЛ}= [вкл.]</t>
  </si>
  <si>
    <t>Для сборников  ФЕР и  ФЕРмр :  · Значение {_МДСрем_НР}= 0,90 -  при ремонте зданий жилого и гражданского назначений ( 0,90 к НР) ;  · Значение {_МДСрем_НР}= 1,00  - при строительстве  и реконструкции  объектов всех назначений</t>
  </si>
  <si>
    <t>п.25</t>
  </si>
  <si>
    <t>К_СП_РЕМ</t>
  </si>
  <si>
    <t>к нормам СП при капитальном ремонте зданий и сооружений всех назначений ( если или {РЕМ_ЖИЛ}=[вкл] , или (РЕМ_ПР}=[вкл] )</t>
  </si>
  <si>
    <t>Для сборников  ФЕР и  ФЕРмр :   · Значение {_МДСрем_СП} = 0.85  -  при ремонте зданий всех назначений ( 0,85 к СП);   · Значение {_МДСрем_СП} = 1,00 -  при строительстве  и реконструкции  объектов всех назначений</t>
  </si>
  <si>
    <t>п.16</t>
  </si>
  <si>
    <t>К_НР_СЛЖ</t>
  </si>
  <si>
    <t>При определении сметной стоимости строительства объектов капитального строительства, относящихся к особо опасным и технически сложным. За исключением объектов атомных электрических станций.  ( если {СЛЖ} = [вкл] )</t>
  </si>
  <si>
    <t>п.27 СЛОЖН</t>
  </si>
  <si>
    <t>К_НР_АЭС</t>
  </si>
  <si>
    <t>При определении сметной стоимости строительства объектов капитального строительства, относящихся к особо опасным и технически сложным. Для объектов атомных электрических станций.  ( если {АЭС} = [вкл] )</t>
  </si>
  <si>
    <t>п.27 АЭС</t>
  </si>
  <si>
    <t>Р_ОКР</t>
  </si>
  <si>
    <t>Разрядность округления результата расчета НР и СП  (с 05.04.2020 - до семи знаков после запятой)</t>
  </si>
  <si>
    <t>Лист_НРиСП</t>
  </si>
  <si>
    <t>Базовый уровень цен</t>
  </si>
  <si>
    <t>Новый уровень цен</t>
  </si>
  <si>
    <t>Сборник индексов</t>
  </si>
  <si>
    <t>Индексы к ФЕР-2020 (Стройинформресурс)</t>
  </si>
  <si>
    <t>_OBSM_</t>
  </si>
  <si>
    <t>ГСН</t>
  </si>
  <si>
    <t>1-100-20</t>
  </si>
  <si>
    <t>Затраты труда рабочих (Средний разряд - 2)</t>
  </si>
  <si>
    <t>чел.-ч.</t>
  </si>
  <si>
    <t>91.06.03-055</t>
  </si>
  <si>
    <t>ФСЭМ-2001, 91.06.03-055 , приказ Минстроя России № 876/пр от 26.12.2019</t>
  </si>
  <si>
    <t>Лебедки электрические тяговым усилием 19,62 кН (2 т)</t>
  </si>
  <si>
    <t>маш.-ч.</t>
  </si>
  <si>
    <t>Рабочий среднего разряда 2</t>
  </si>
  <si>
    <t>маш.-ч</t>
  </si>
  <si>
    <t>1-100-22</t>
  </si>
  <si>
    <t>Затраты труда рабочих (Средний разряд - 2,2)</t>
  </si>
  <si>
    <t>4-100-00</t>
  </si>
  <si>
    <t>Затраты труда машинистов</t>
  </si>
  <si>
    <t>91.06.06-048</t>
  </si>
  <si>
    <t>ФСЭМ-2001, 91.06.06-048 , приказ Минстроя России № 876/пр от 26.12.2019</t>
  </si>
  <si>
    <t>Подъемники одномачтовые, грузоподъемность до 500 кг, высота подъема 45 м</t>
  </si>
  <si>
    <t>91.07.04-002</t>
  </si>
  <si>
    <t>ФСЭМ-2001, 91.07.04-002 , приказ Минстроя России № 876/пр от 26.12.2019</t>
  </si>
  <si>
    <t>Вибраторы поверхностные</t>
  </si>
  <si>
    <t>1-100-31</t>
  </si>
  <si>
    <t>Рабочий среднего разряда 3.1</t>
  </si>
  <si>
    <t>4-100-0</t>
  </si>
  <si>
    <t>91.05.01-017</t>
  </si>
  <si>
    <t>ФСЭМ-2001, 91.05.01-017 , приказ Минстроя России № 876/пр от 26.12.2019</t>
  </si>
  <si>
    <t>Краны башенные, грузоподъемность 8 т</t>
  </si>
  <si>
    <t>91.06.05-011</t>
  </si>
  <si>
    <t>ФСЭМ-2001, 91.06.05-011 , приказ Минстроя России № 876/пр от 26.12.2019</t>
  </si>
  <si>
    <t>Погрузчики, грузоподъемность 5 т</t>
  </si>
  <si>
    <t>91.07.07-001</t>
  </si>
  <si>
    <t>ФСЭМ-2001, 91.07.07-001 , приказ Минстроя России № 876/пр от 26.12.2019</t>
  </si>
  <si>
    <t>Агрегаты электронасосные с регулированием подачи вручную для строительных растворов, подача до 4 м3/ч, напор 150 м</t>
  </si>
  <si>
    <t>12.1.02.06-0022</t>
  </si>
  <si>
    <t>ФССЦ-2001, 12.1.02.06-0022, приказ Минстроя России № 876/пр от 26.12.2019</t>
  </si>
  <si>
    <t>Рубероид кровельный РКП-350</t>
  </si>
  <si>
    <t>1-100-32</t>
  </si>
  <si>
    <t>Рабочий среднего разряда 3.2</t>
  </si>
  <si>
    <t>91.14.02-001</t>
  </si>
  <si>
    <t>ФСЭМ-2001, 91.14.02-001 , приказ Минстроя России № 876/пр от 26.12.2019</t>
  </si>
  <si>
    <t>Автомобили бортовые, грузоподъемность до 5 т</t>
  </si>
  <si>
    <t>1-100-30</t>
  </si>
  <si>
    <t>Затраты труда рабочих (Средний разряд - 3)</t>
  </si>
  <si>
    <t>1-100-38</t>
  </si>
  <si>
    <t>Рабочий среднего разряда 3.8</t>
  </si>
  <si>
    <t>91.05.05-015</t>
  </si>
  <si>
    <t>ФСЭМ-2001, 91.05.05-015 , приказ Минстроя России № 876/пр от 26.12.2019</t>
  </si>
  <si>
    <t>Краны на автомобильном ходу, грузоподъемность 16 т</t>
  </si>
  <si>
    <t>01.3.02.09-0022</t>
  </si>
  <si>
    <t>ФССЦ-2001, 01.3.02.09-0022, приказ Минстроя России № 876/пр от 26.12.2019</t>
  </si>
  <si>
    <t>Пропан-бутан смесь техническая</t>
  </si>
  <si>
    <t>1-100-36</t>
  </si>
  <si>
    <t>Рабочий среднего разряда 3.6</t>
  </si>
  <si>
    <t>1-100-35</t>
  </si>
  <si>
    <t>Затраты труда рабочих (Средний разряд - 3,5)</t>
  </si>
  <si>
    <t>91.06.09-011</t>
  </si>
  <si>
    <t>ФСЭМ-2001, 91.06.09-011 , приказ Минстроя России № 876/пр от 26.12.2019</t>
  </si>
  <si>
    <t>Люльки</t>
  </si>
  <si>
    <t>1-100-37</t>
  </si>
  <si>
    <t>Затраты труда рабочих (Средний разряд - 3,7)</t>
  </si>
  <si>
    <t>1-100-10</t>
  </si>
  <si>
    <t>Рабочий среднего разряда 1</t>
  </si>
  <si>
    <t>01.7.20.03-0003</t>
  </si>
  <si>
    <t>ФССЦ-2001, 01.7.20.03-0003, приказ Минстроя России № 876/пр от 26.12.2019</t>
  </si>
  <si>
    <t>Мешки полипропиленовые (50 кг)</t>
  </si>
  <si>
    <t>100 ШТ</t>
  </si>
  <si>
    <t>04.3.01.09</t>
  </si>
  <si>
    <t>Раствор готовый кладочный тяжелый цементный</t>
  </si>
  <si>
    <t>12.1.02.15</t>
  </si>
  <si>
    <t>Материалы рулонные кровельные для верхнего слоя</t>
  </si>
  <si>
    <t>Материалы рулонные кровельные для нижних слоев</t>
  </si>
  <si>
    <t>Материалы рулонные кровельные наплавляемые</t>
  </si>
  <si>
    <t>Поправка: М-ка 421/пр 04.08.20 п.58 п.п. б)  Наименование: При отсутствии необходимых норм (единичных расценок), включенных в сборники ГЭСНр (ФЕРр, ТЕРр), сметные затраты на работы по капитальному ремонту и реконструкции объектов капитального строительства могут быть определены по сметным нормам, включенным в ГЭСН (ФЕР, ТЕР), аналогичным технологическим процессам в новом строительстве, в том числе по возведению новых конструктивных элементов</t>
  </si>
  <si>
    <t>ГОСУДАРСТВЕННЫЕ СМЕТНЫЕ НОРМАТИВЫ (ФЕР-2020), утвержденные приказами Минстроя России от 26 декабря 2019 г.   № 876/пр (в редакции приказов Минстроя РФ от 30 марта 2020 г. № 172/пр, от 1 июня 2020 г. № 294/пр, от 30 июня 2020 г. № 352/пр,   от 20 октября 2020 г. № 636/пр, от 9 февраля 2021 г. № 51/пр, от 24 мая 2021 г. № 321/пр, от 24 июня 2021 г. № 408/пр,  от 14 октября 2021 № 746/пр, от 20 декабря 2021 № 962/пр)</t>
  </si>
  <si>
    <t>"СОГЛАСОВАНО"</t>
  </si>
  <si>
    <t>"УТВЕРЖДАЮ"</t>
  </si>
  <si>
    <t>"_____"________________ 2022 г.</t>
  </si>
  <si>
    <t>Главный инженер ИПУ РАН</t>
  </si>
  <si>
    <t>(наименование стройки)</t>
  </si>
  <si>
    <t>(наименование объекта капитального строительства)</t>
  </si>
  <si>
    <t>(наименование конструктивного решения)</t>
  </si>
  <si>
    <t>Составлен</t>
  </si>
  <si>
    <t>метод</t>
  </si>
  <si>
    <t>Основание</t>
  </si>
  <si>
    <t>(проектная и (или) иная техническая документация)</t>
  </si>
  <si>
    <t>Сметная стоимость</t>
  </si>
  <si>
    <t>тыс. руб.</t>
  </si>
  <si>
    <t>Средства на оплату труда</t>
  </si>
  <si>
    <t>в том числе:</t>
  </si>
  <si>
    <t>рабочих</t>
  </si>
  <si>
    <t xml:space="preserve"> </t>
  </si>
  <si>
    <t>строительных работ</t>
  </si>
  <si>
    <t xml:space="preserve">Нормативные затраты труда рабочих </t>
  </si>
  <si>
    <t xml:space="preserve">монтажных работ    </t>
  </si>
  <si>
    <t xml:space="preserve">Нормативные затраты труда машинистов </t>
  </si>
  <si>
    <t xml:space="preserve">оборудования         </t>
  </si>
  <si>
    <t>Расчетный измеритель</t>
  </si>
  <si>
    <t xml:space="preserve">прочих затрат       </t>
  </si>
  <si>
    <t>конструктивного решения</t>
  </si>
  <si>
    <t>№ п/п</t>
  </si>
  <si>
    <t>Обоснование</t>
  </si>
  <si>
    <t>Наименование работ и затрат</t>
  </si>
  <si>
    <t>Единица измерения</t>
  </si>
  <si>
    <t>Количество</t>
  </si>
  <si>
    <t>Сметная стоимость в базисном уровне цен (в текущем уровне цен (гр.8) для ресурсов, отсутствующих в СНБ), руб.</t>
  </si>
  <si>
    <t>Индексы</t>
  </si>
  <si>
    <t>Сметная стоимость в текущем уровне цен, руб.</t>
  </si>
  <si>
    <t>на единицу</t>
  </si>
  <si>
    <t>коэффициенты</t>
  </si>
  <si>
    <r>
      <t>всего с учетом коэффицие</t>
    </r>
    <r>
      <rPr>
        <sz val="10"/>
        <color indexed="8"/>
        <rFont val="Arial"/>
        <family val="2"/>
      </rPr>
      <t>нтов</t>
    </r>
  </si>
  <si>
    <t>всего</t>
  </si>
  <si>
    <t>Наименование редакции сметных нормативов: ТСНБ-2001 МО в редакции 2014 г. версия 15.0, утвержденная приказом Минстроя России от 21.09.2015 № 675/пр, включая изменения и дополнения (версии 16.0 - 17.0), утвержденные Приказами Минстроя России от 28.02.2017 № №253/пр - 264/пр Индексы к ФЕР-2020 (Стройинформресурс) март 2022 года</t>
  </si>
  <si>
    <t>Наименование программного продукта: Программа для ЭВМ «Программа: «SmetaRu» версия 11»</t>
  </si>
  <si>
    <t>Базисно-индексный</t>
  </si>
  <si>
    <t>Составлена в ценах март 2022 года (1.01.2000)</t>
  </si>
  <si>
    <t>Раздел: Демонтаж</t>
  </si>
  <si>
    <t>ОТ</t>
  </si>
  <si>
    <t>ЭМ</t>
  </si>
  <si>
    <t>ЗТ</t>
  </si>
  <si>
    <t>чел-ч</t>
  </si>
  <si>
    <t>Итого по расценке</t>
  </si>
  <si>
    <t>ФОТ</t>
  </si>
  <si>
    <t>НР Работы по реконструкции зданий и сооружений: разборка отдельных конструктивных элементов здания (сооружения), а также зданий (сооружений) в целом</t>
  </si>
  <si>
    <t>%</t>
  </si>
  <si>
    <t>СП Работы по реконструкции зданий и сооружений: разборка отдельных конструктивных элементов здания (сооружения), а также зданий (сооружений) в целом</t>
  </si>
  <si>
    <t>Всего по позиции</t>
  </si>
  <si>
    <t>НР Работы по реконструкции зданий и сооружений: усиление и замена существующих конструкций, возведение отдельных конструктивных элементов</t>
  </si>
  <si>
    <t>СП Работы по реконструкции зданий и сооружений: усиление и замена существующих конструкций, возведение отдельных конструктивных элементов</t>
  </si>
  <si>
    <r>
      <t>Разборка стяжек: цементных толщиной 20 мм (Применительно)</t>
    </r>
    <r>
      <rPr>
        <i/>
        <sz val="10"/>
        <rFont val="Arial"/>
        <family val="2"/>
      </rPr>
      <t xml:space="preserve">
Поправки к: 
М )*0;   
ЭМ )*0,8;   
ОТм )*0,8;   
ОТ )*0,8;   
ЗТ )*0,8;   
ЗТм )*0,8</t>
    </r>
  </si>
  <si>
    <t>в т.ч. ОТм</t>
  </si>
  <si>
    <t>ЗТм</t>
  </si>
  <si>
    <t>НР Полы</t>
  </si>
  <si>
    <t>СП Полы</t>
  </si>
  <si>
    <t>Итого прямые затраты по разделу (в базисном и текущем уровнях цен)</t>
  </si>
  <si>
    <t>в том числе</t>
  </si>
  <si>
    <t xml:space="preserve">   оплата труда</t>
  </si>
  <si>
    <t xml:space="preserve">   эксплуатация машин и механизмов</t>
  </si>
  <si>
    <t xml:space="preserve">   материальные ресурсы</t>
  </si>
  <si>
    <t xml:space="preserve">   перевозка</t>
  </si>
  <si>
    <t>Итого ФОТ (в базисном и текущем уровне цен)(справочно)</t>
  </si>
  <si>
    <t>Итого накладные расходы (в базисном и текущем уровне цен)</t>
  </si>
  <si>
    <t>Итого сметная прибыль (в базисном и текущем уровне цен)</t>
  </si>
  <si>
    <t>Итого оборудование (в базисном и текущем уровне цен)</t>
  </si>
  <si>
    <t>Итого прочие затраты (в базисном и текущем уровне цен)</t>
  </si>
  <si>
    <t>Итого по разделу (в базисном и текущем уровне цен)</t>
  </si>
  <si>
    <t>справочно</t>
  </si>
  <si>
    <t xml:space="preserve">   материальные ресурсы, отсутствующие в СНБ (в текущем уровне цен)</t>
  </si>
  <si>
    <t xml:space="preserve">   оборудование, отсутствующие в СНБ (в текущем уровне цен)</t>
  </si>
  <si>
    <t>Раздел: Монтаж</t>
  </si>
  <si>
    <r>
      <t>Устройство выравнивающих стяжек: цементно-песчаных толщиной 15 мм</t>
    </r>
    <r>
      <rPr>
        <i/>
        <sz val="10"/>
        <rFont val="Arial"/>
        <family val="2"/>
      </rPr>
      <t xml:space="preserve">
Поправки к: 
ЭМ )*1,25;   
ОТм )*1,25;   
ОТ )*1,15;   
ЗТ )*1,15;   
ЗТм )*1,25</t>
    </r>
  </si>
  <si>
    <t>М</t>
  </si>
  <si>
    <t>НР Кровли</t>
  </si>
  <si>
    <t>СП Кровли</t>
  </si>
  <si>
    <r>
      <t>Устройство выравнивающих стяжек: на каждый 1 мм изменения толщины добавлять или исключать к расценке 12-01-017-01 (К=5, до 20 мм)</t>
    </r>
    <r>
      <rPr>
        <i/>
        <sz val="10"/>
        <rFont val="Arial"/>
        <family val="2"/>
      </rPr>
      <t xml:space="preserve">
Поправки к: 
М )*5;   
ЭМ )*1,25)*5;   
ОТм )*1,25)*5;   
ОТ )*1,15)*5;   
ЗТ )*1,15)*5;   
ЗТм )*1,25)*5</t>
    </r>
  </si>
  <si>
    <r>
      <t>Огрунтовка оснований из бетона или раствора под водоизоляционный кровельный ковер: готовой эмульсией битумной</t>
    </r>
    <r>
      <rPr>
        <i/>
        <sz val="10"/>
        <rFont val="Arial"/>
        <family val="2"/>
      </rPr>
      <t xml:space="preserve">
Поправки к: 
ЭМ )*1,25;   
ОТм )*1,25;   
ОТ )*1,15;   
ЗТ )*1,15;   
ЗТм )*1,25;   
НР )*0,9;   
СП )*0,85</t>
    </r>
  </si>
  <si>
    <t>Пр/812-012.0-1;
п.25</t>
  </si>
  <si>
    <t>Пр/774-012.0;
п.16</t>
  </si>
  <si>
    <r>
      <t>Устройство мелких покрытий (брандмауэры, парапеты, свесы и т.п.) из листовой оцинкованной стали</t>
    </r>
    <r>
      <rPr>
        <i/>
        <sz val="10"/>
        <rFont val="Arial"/>
        <family val="2"/>
      </rPr>
      <t xml:space="preserve">
Поправки к: 
ЭМ )*1,25;   
ОТм )*1,25;   
ОТ )*1,15;   
ЗТ )*1,15;   
ЗТм )*1,25</t>
    </r>
  </si>
  <si>
    <r>
      <t>Устройство кровель плоских из наплавляемых материалов в два слоя</t>
    </r>
    <r>
      <rPr>
        <i/>
        <sz val="10"/>
        <rFont val="Arial"/>
        <family val="2"/>
      </rPr>
      <t xml:space="preserve">
Поправки к: 
ЭМ )*1,25;   
ОТм )*1,25;   
ОТ )*1,15;   
ЗТ )*1,15;   
ЗТм )*1,25</t>
    </r>
  </si>
  <si>
    <r>
      <t>Устройство кровель плоских из наплавляемых материалов в два слоя (услиление мест установки водоприемных воронок) (Применительно</t>
    </r>
    <r>
      <rPr>
        <i/>
        <sz val="10"/>
        <rFont val="Arial"/>
        <family val="2"/>
      </rPr>
      <t xml:space="preserve">
Поправки к: 
ЭМ )*1,25;   
ОТм )*1,25;   
ОТ )*1,15;   
ЗТ )*1,15;   
ЗТм )*1,25</t>
    </r>
  </si>
  <si>
    <r>
      <t>Устройство примыканий кровель из наплавляемых материалов к стенам и парапетам высотой: до 600 мм без фартуков</t>
    </r>
    <r>
      <rPr>
        <i/>
        <sz val="10"/>
        <rFont val="Arial"/>
        <family val="2"/>
      </rPr>
      <t xml:space="preserve">
Поправки к: 
ЭМ )*1,25;   
ОТм )*1,25;   
ОТ )*1,15;   
ЗТ )*1,15;   
ЗТм )*1,25</t>
    </r>
  </si>
  <si>
    <r>
      <t>Герметизация мастикой швов: горизонтальных</t>
    </r>
    <r>
      <rPr>
        <i/>
        <sz val="10"/>
        <rFont val="Arial"/>
        <family val="2"/>
      </rPr>
      <t xml:space="preserve">
Поправки к: 
ЭМ )*1,25;   
ОТм )*1,25;   
ОТ )*1,15;   
ЗТ )*1,15;   
ЗТм )*1,25</t>
    </r>
  </si>
  <si>
    <t>НР Бетонные и железобетонные сборные конструкции и работы в строительстве</t>
  </si>
  <si>
    <t>СП Бетонные и железобетонные сборные конструкции и работы в строительстве</t>
  </si>
  <si>
    <r>
      <t>Герметизация мастикой швов: вертикальных</t>
    </r>
    <r>
      <rPr>
        <i/>
        <sz val="10"/>
        <rFont val="Arial"/>
        <family val="2"/>
      </rPr>
      <t xml:space="preserve">
Поправки к: 
ЭМ )*1,25;   
ОТм )*1,25;   
ОТ )*1,15;   
ЗТ )*1,15;   
ЗТм )*1,25</t>
    </r>
  </si>
  <si>
    <t>Раздел: Разные работы</t>
  </si>
  <si>
    <t>НР Прочие ремонтно-строительные работы</t>
  </si>
  <si>
    <t>СП Прочие ремонтно-строительные работы</t>
  </si>
  <si>
    <t>ВСЕГО по смете (в базисном и текущем уровнях цен)</t>
  </si>
  <si>
    <t>ВСЕГО прямые затраты по смете</t>
  </si>
  <si>
    <t>Всего ФОТ (справочно)</t>
  </si>
  <si>
    <t>Всего накладные расходы</t>
  </si>
  <si>
    <t>Всего сметная прибыль</t>
  </si>
  <si>
    <t>Всего оборудование</t>
  </si>
  <si>
    <t>Всего прочие затраты</t>
  </si>
  <si>
    <t>ВСЕГО с НДС</t>
  </si>
  <si>
    <t xml:space="preserve">Составил   </t>
  </si>
  <si>
    <t>[должность,подпись(инициалы,фамилия)]</t>
  </si>
  <si>
    <t xml:space="preserve">Проверил   </t>
  </si>
  <si>
    <t>___________________________</t>
  </si>
  <si>
    <t>" ___ " ___________ 20 ___ г.</t>
  </si>
  <si>
    <t xml:space="preserve">Мы, нижеподписавшиеся, произвели осмотр объекта </t>
  </si>
  <si>
    <t xml:space="preserve">и постановили произвести ремонт объекта в </t>
  </si>
  <si>
    <t>следующем объеме:</t>
  </si>
  <si>
    <t>Примечание</t>
  </si>
  <si>
    <t>Заказчик _________________</t>
  </si>
  <si>
    <t>Подрядчик _________________</t>
  </si>
  <si>
    <t>TYPE</t>
  </si>
  <si>
    <t>SOURCE_LINK</t>
  </si>
  <si>
    <t>RABMAT_EX</t>
  </si>
  <si>
    <t>TIP_RAB</t>
  </si>
  <si>
    <t>TYPE_TRUD</t>
  </si>
  <si>
    <t>TAB</t>
  </si>
  <si>
    <t>NAME</t>
  </si>
  <si>
    <t>EDIZM</t>
  </si>
  <si>
    <t>KOLL</t>
  </si>
  <si>
    <t>UCH</t>
  </si>
  <si>
    <t>PRICE_B</t>
  </si>
  <si>
    <t>PRICE_ED</t>
  </si>
  <si>
    <t>STOIM_B</t>
  </si>
  <si>
    <t>PRICE_C</t>
  </si>
  <si>
    <t>STOIM_C</t>
  </si>
  <si>
    <t>ZPM_B</t>
  </si>
  <si>
    <t>ZPM_ED</t>
  </si>
  <si>
    <t>STOIM_ZPM_B</t>
  </si>
  <si>
    <t>ZPM_C</t>
  </si>
  <si>
    <t>STOIM_ZPM_C</t>
  </si>
  <si>
    <t>CRC_GR_RES</t>
  </si>
  <si>
    <t>CRC_B</t>
  </si>
  <si>
    <t>CRC_C</t>
  </si>
  <si>
    <t>RABMAT</t>
  </si>
  <si>
    <t>WBS</t>
  </si>
  <si>
    <t>CBSI</t>
  </si>
  <si>
    <t>CBSII</t>
  </si>
  <si>
    <t>BuildingFinished</t>
  </si>
  <si>
    <t>Trud</t>
  </si>
  <si>
    <t>Mash</t>
  </si>
  <si>
    <t>Mat</t>
  </si>
  <si>
    <t>MatZak</t>
  </si>
  <si>
    <t>Oborud</t>
  </si>
  <si>
    <t>OborudZak</t>
  </si>
  <si>
    <t>ZeroStoim</t>
  </si>
  <si>
    <t>NegativeKoll</t>
  </si>
  <si>
    <t>ReUnionKollResurcy</t>
  </si>
  <si>
    <t>UnionOneUchRes</t>
  </si>
  <si>
    <t>IdLevel</t>
  </si>
  <si>
    <t>ViewCodes</t>
  </si>
  <si>
    <t>UnionCodes</t>
  </si>
  <si>
    <t>Ресурсная ведомость на</t>
  </si>
  <si>
    <t>Объект: Выполнение работ по текущему ремонту кровли строения 2 (КОН)_3 млн</t>
  </si>
  <si>
    <t>Наименование</t>
  </si>
  <si>
    <t>Объем</t>
  </si>
  <si>
    <t>Базовая</t>
  </si>
  <si>
    <t>цена</t>
  </si>
  <si>
    <t>стоимость</t>
  </si>
  <si>
    <t>Текущая</t>
  </si>
  <si>
    <t xml:space="preserve">Материальные ресурсы </t>
  </si>
  <si>
    <t xml:space="preserve">Итого материальные ресурсы </t>
  </si>
  <si>
    <t>Выполнение работ по текущему ремонту кровли корпуса общего назначения ИПУ РАН</t>
  </si>
  <si>
    <t>Локальный сметный расчет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</si>
</sst>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\ #,##0.00"/>
    <numFmt numFmtId="165" formatCode="#,##0;[Red]\-\ #,##0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12"/>
      <name val="Arial"/>
      <family val="0"/>
    </font>
    <font>
      <sz val="10"/>
      <color indexed="18"/>
      <name val="Arial"/>
      <family val="0"/>
    </font>
    <font>
      <b/>
      <sz val="10"/>
      <color indexed="16"/>
      <name val="Arial"/>
      <family val="0"/>
    </font>
    <font>
      <b/>
      <sz val="10"/>
      <color indexed="20"/>
      <name val="Arial"/>
      <family val="0"/>
    </font>
    <font>
      <b/>
      <sz val="10"/>
      <color indexed="17"/>
      <name val="Arial"/>
      <family val="0"/>
    </font>
    <font>
      <b/>
      <sz val="10"/>
      <color indexed="14"/>
      <name val="Arial"/>
      <family val="0"/>
    </font>
    <font>
      <sz val="10"/>
      <color indexed="17"/>
      <name val="Arial"/>
      <family val="0"/>
    </font>
    <font>
      <sz val="10"/>
      <color indexed="12"/>
      <name val="Arial"/>
      <family val="0"/>
    </font>
    <font>
      <sz val="10"/>
      <color indexed="14"/>
      <name val="Arial"/>
      <family val="0"/>
    </font>
    <font>
      <sz val="10"/>
      <color indexed="16"/>
      <name val="Arial"/>
      <family val="0"/>
    </font>
    <font>
      <sz val="9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3"/>
      <name val="Arial"/>
      <family val="2"/>
    </font>
    <font>
      <i/>
      <sz val="11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 wrapText="1"/>
    </xf>
    <xf numFmtId="0" fontId="17" fillId="0" borderId="0" xfId="0" applyFont="1" applyAlignment="1">
      <alignment vertical="center" wrapText="1"/>
    </xf>
    <xf numFmtId="0" fontId="17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16" fillId="0" borderId="0" xfId="0" applyFont="1" applyBorder="1" applyAlignment="1">
      <alignment vertical="top" wrapText="1"/>
    </xf>
    <xf numFmtId="0" fontId="18" fillId="0" borderId="0" xfId="0" applyFont="1" applyAlignment="1">
      <alignment/>
    </xf>
    <xf numFmtId="14" fontId="15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9" fillId="0" borderId="0" xfId="0" applyFont="1" applyAlignment="1">
      <alignment/>
    </xf>
    <xf numFmtId="164" fontId="0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164" fontId="15" fillId="0" borderId="0" xfId="0" applyNumberFormat="1" applyFont="1" applyAlignment="1">
      <alignment/>
    </xf>
    <xf numFmtId="0" fontId="0" fillId="0" borderId="0" xfId="0" applyFont="1" applyAlignment="1">
      <alignment vertical="top" wrapText="1"/>
    </xf>
    <xf numFmtId="0" fontId="15" fillId="0" borderId="10" xfId="0" applyFont="1" applyBorder="1" applyAlignment="1">
      <alignment/>
    </xf>
    <xf numFmtId="165" fontId="0" fillId="0" borderId="0" xfId="0" applyNumberFormat="1" applyAlignment="1">
      <alignment/>
    </xf>
    <xf numFmtId="0" fontId="19" fillId="0" borderId="0" xfId="0" applyFont="1" applyAlignment="1">
      <alignment vertical="top" wrapText="1"/>
    </xf>
    <xf numFmtId="0" fontId="0" fillId="0" borderId="10" xfId="0" applyBorder="1" applyAlignment="1">
      <alignment/>
    </xf>
    <xf numFmtId="164" fontId="0" fillId="0" borderId="0" xfId="0" applyNumberFormat="1" applyFont="1" applyAlignment="1">
      <alignment horizontal="right"/>
    </xf>
    <xf numFmtId="164" fontId="15" fillId="0" borderId="0" xfId="0" applyNumberFormat="1" applyFont="1" applyFill="1" applyAlignment="1">
      <alignment/>
    </xf>
    <xf numFmtId="164" fontId="0" fillId="0" borderId="0" xfId="0" applyNumberFormat="1" applyFont="1" applyFill="1" applyBorder="1" applyAlignment="1">
      <alignment horizontal="right"/>
    </xf>
    <xf numFmtId="0" fontId="17" fillId="0" borderId="0" xfId="0" applyFont="1" applyAlignment="1">
      <alignment/>
    </xf>
    <xf numFmtId="0" fontId="22" fillId="0" borderId="0" xfId="0" applyFont="1" applyAlignment="1">
      <alignment horizontal="right" wrapText="1"/>
    </xf>
    <xf numFmtId="0" fontId="15" fillId="0" borderId="0" xfId="0" applyFont="1" applyAlignment="1">
      <alignment horizontal="right"/>
    </xf>
    <xf numFmtId="164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 wrapText="1"/>
    </xf>
    <xf numFmtId="165" fontId="15" fillId="0" borderId="0" xfId="0" applyNumberFormat="1" applyFont="1" applyAlignment="1">
      <alignment horizontal="right"/>
    </xf>
    <xf numFmtId="0" fontId="22" fillId="0" borderId="10" xfId="0" applyFont="1" applyBorder="1" applyAlignment="1">
      <alignment horizontal="right" wrapText="1"/>
    </xf>
    <xf numFmtId="0" fontId="15" fillId="0" borderId="10" xfId="0" applyFont="1" applyBorder="1" applyAlignment="1">
      <alignment horizontal="right"/>
    </xf>
    <xf numFmtId="164" fontId="15" fillId="0" borderId="10" xfId="0" applyNumberFormat="1" applyFont="1" applyBorder="1" applyAlignment="1">
      <alignment horizontal="right"/>
    </xf>
    <xf numFmtId="0" fontId="15" fillId="0" borderId="10" xfId="0" applyFont="1" applyBorder="1" applyAlignment="1">
      <alignment horizontal="right" wrapText="1"/>
    </xf>
    <xf numFmtId="165" fontId="15" fillId="0" borderId="10" xfId="0" applyNumberFormat="1" applyFont="1" applyBorder="1" applyAlignment="1">
      <alignment horizontal="right"/>
    </xf>
    <xf numFmtId="165" fontId="22" fillId="0" borderId="0" xfId="0" applyNumberFormat="1" applyFont="1" applyAlignment="1">
      <alignment horizontal="right"/>
    </xf>
    <xf numFmtId="0" fontId="17" fillId="0" borderId="0" xfId="0" applyFont="1" applyAlignment="1">
      <alignment horizontal="right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left" vertical="center" wrapText="1"/>
    </xf>
    <xf numFmtId="0" fontId="17" fillId="0" borderId="0" xfId="0" applyFont="1" applyAlignment="1">
      <alignment horizontal="right" vertical="center"/>
    </xf>
    <xf numFmtId="165" fontId="17" fillId="0" borderId="0" xfId="0" applyNumberFormat="1" applyFont="1" applyAlignment="1">
      <alignment horizontal="right" vertical="center"/>
    </xf>
    <xf numFmtId="164" fontId="17" fillId="0" borderId="0" xfId="0" applyNumberFormat="1" applyFont="1" applyAlignment="1">
      <alignment horizontal="right" vertical="center"/>
    </xf>
    <xf numFmtId="0" fontId="15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15" fillId="0" borderId="0" xfId="0" applyFont="1" applyAlignment="1">
      <alignment horizontal="right" vertical="center"/>
    </xf>
    <xf numFmtId="165" fontId="15" fillId="0" borderId="0" xfId="0" applyNumberFormat="1" applyFont="1" applyAlignment="1">
      <alignment horizontal="right" vertical="center"/>
    </xf>
    <xf numFmtId="164" fontId="15" fillId="0" borderId="0" xfId="0" applyNumberFormat="1" applyFont="1" applyAlignment="1">
      <alignment horizontal="right" vertical="center"/>
    </xf>
    <xf numFmtId="9" fontId="15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right" vertical="top" wrapText="1"/>
    </xf>
    <xf numFmtId="0" fontId="15" fillId="0" borderId="10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Border="1" applyAlignment="1">
      <alignment horizontal="right"/>
    </xf>
    <xf numFmtId="0" fontId="17" fillId="0" borderId="0" xfId="0" applyFont="1" applyAlignment="1">
      <alignment horizontal="left" vertical="top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5" fillId="0" borderId="13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12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left" wrapText="1"/>
    </xf>
    <xf numFmtId="0" fontId="15" fillId="0" borderId="12" xfId="0" applyFont="1" applyBorder="1" applyAlignment="1">
      <alignment horizontal="right" wrapText="1"/>
    </xf>
    <xf numFmtId="0" fontId="15" fillId="0" borderId="12" xfId="0" applyFont="1" applyBorder="1" applyAlignment="1">
      <alignment horizontal="right"/>
    </xf>
    <xf numFmtId="0" fontId="15" fillId="0" borderId="13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wrapText="1"/>
    </xf>
    <xf numFmtId="0" fontId="15" fillId="0" borderId="13" xfId="0" applyFont="1" applyBorder="1" applyAlignment="1">
      <alignment horizontal="right" wrapText="1"/>
    </xf>
    <xf numFmtId="0" fontId="15" fillId="0" borderId="13" xfId="0" applyFont="1" applyBorder="1" applyAlignment="1">
      <alignment horizontal="right"/>
    </xf>
    <xf numFmtId="0" fontId="13" fillId="0" borderId="12" xfId="0" applyFont="1" applyBorder="1" applyAlignment="1" quotePrefix="1">
      <alignment horizontal="center" vertical="center" wrapText="1"/>
    </xf>
    <xf numFmtId="49" fontId="15" fillId="0" borderId="12" xfId="0" applyNumberFormat="1" applyFont="1" applyBorder="1" applyAlignment="1">
      <alignment horizontal="left" vertical="top" wrapText="1"/>
    </xf>
    <xf numFmtId="164" fontId="15" fillId="0" borderId="12" xfId="0" applyNumberFormat="1" applyFont="1" applyBorder="1" applyAlignment="1">
      <alignment horizontal="right" wrapText="1"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5" fillId="0" borderId="0" xfId="0" applyNumberFormat="1" applyFont="1" applyBorder="1" applyAlignment="1">
      <alignment horizontal="left"/>
    </xf>
    <xf numFmtId="4" fontId="0" fillId="0" borderId="0" xfId="0" applyNumberFormat="1" applyBorder="1" applyAlignment="1">
      <alignment/>
    </xf>
    <xf numFmtId="4" fontId="15" fillId="0" borderId="0" xfId="0" applyNumberFormat="1" applyFont="1" applyAlignment="1">
      <alignment/>
    </xf>
    <xf numFmtId="4" fontId="17" fillId="0" borderId="0" xfId="0" applyNumberFormat="1" applyFont="1" applyBorder="1" applyAlignment="1">
      <alignment horizontal="center" wrapText="1"/>
    </xf>
    <xf numFmtId="4" fontId="15" fillId="0" borderId="0" xfId="0" applyNumberFormat="1" applyFont="1" applyBorder="1" applyAlignment="1">
      <alignment/>
    </xf>
    <xf numFmtId="4" fontId="15" fillId="0" borderId="0" xfId="0" applyNumberFormat="1" applyFont="1" applyFill="1" applyAlignment="1">
      <alignment/>
    </xf>
    <xf numFmtId="4" fontId="0" fillId="0" borderId="11" xfId="0" applyNumberFormat="1" applyFont="1" applyBorder="1" applyAlignment="1">
      <alignment horizontal="center" vertical="center" wrapText="1"/>
    </xf>
    <xf numFmtId="4" fontId="15" fillId="0" borderId="0" xfId="0" applyNumberFormat="1" applyFont="1" applyAlignment="1">
      <alignment horizontal="right"/>
    </xf>
    <xf numFmtId="4" fontId="15" fillId="0" borderId="10" xfId="0" applyNumberFormat="1" applyFont="1" applyBorder="1" applyAlignment="1">
      <alignment horizontal="right"/>
    </xf>
    <xf numFmtId="4" fontId="0" fillId="0" borderId="10" xfId="0" applyNumberFormat="1" applyBorder="1" applyAlignment="1">
      <alignment/>
    </xf>
    <xf numFmtId="4" fontId="15" fillId="0" borderId="10" xfId="0" applyNumberFormat="1" applyFont="1" applyBorder="1" applyAlignment="1">
      <alignment/>
    </xf>
    <xf numFmtId="4" fontId="15" fillId="0" borderId="0" xfId="0" applyNumberFormat="1" applyFont="1" applyAlignment="1">
      <alignment wrapText="1"/>
    </xf>
    <xf numFmtId="4" fontId="0" fillId="0" borderId="0" xfId="0" applyNumberFormat="1" applyFont="1" applyFill="1" applyAlignment="1">
      <alignment/>
    </xf>
    <xf numFmtId="3" fontId="15" fillId="0" borderId="0" xfId="0" applyNumberFormat="1" applyFont="1" applyAlignment="1">
      <alignment/>
    </xf>
    <xf numFmtId="3" fontId="0" fillId="0" borderId="11" xfId="0" applyNumberFormat="1" applyFont="1" applyBorder="1" applyAlignment="1">
      <alignment horizontal="center"/>
    </xf>
    <xf numFmtId="0" fontId="17" fillId="0" borderId="0" xfId="0" applyFont="1" applyAlignment="1">
      <alignment horizontal="left" vertical="center" wrapText="1"/>
    </xf>
    <xf numFmtId="4" fontId="17" fillId="0" borderId="0" xfId="0" applyNumberFormat="1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4" fontId="15" fillId="0" borderId="0" xfId="0" applyNumberFormat="1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165" fontId="17" fillId="0" borderId="14" xfId="0" applyNumberFormat="1" applyFont="1" applyBorder="1" applyAlignment="1">
      <alignment horizontal="right"/>
    </xf>
    <xf numFmtId="4" fontId="17" fillId="0" borderId="14" xfId="0" applyNumberFormat="1" applyFont="1" applyBorder="1" applyAlignment="1">
      <alignment horizontal="right"/>
    </xf>
    <xf numFmtId="0" fontId="13" fillId="0" borderId="0" xfId="0" applyFont="1" applyAlignment="1">
      <alignment horizontal="center" wrapText="1"/>
    </xf>
    <xf numFmtId="4" fontId="13" fillId="0" borderId="0" xfId="0" applyNumberFormat="1" applyFont="1" applyAlignment="1">
      <alignment horizontal="center" wrapText="1"/>
    </xf>
    <xf numFmtId="0" fontId="12" fillId="0" borderId="14" xfId="0" applyFont="1" applyBorder="1" applyAlignment="1">
      <alignment horizontal="center"/>
    </xf>
    <xf numFmtId="4" fontId="12" fillId="0" borderId="14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left"/>
    </xf>
    <xf numFmtId="4" fontId="0" fillId="0" borderId="17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" fontId="0" fillId="0" borderId="18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center" vertical="center" wrapText="1"/>
    </xf>
    <xf numFmtId="4" fontId="0" fillId="0" borderId="2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0" fillId="0" borderId="22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top" wrapText="1"/>
    </xf>
    <xf numFmtId="4" fontId="16" fillId="0" borderId="0" xfId="0" applyNumberFormat="1" applyFont="1" applyBorder="1" applyAlignment="1">
      <alignment horizontal="center" vertical="top" wrapText="1"/>
    </xf>
    <xf numFmtId="164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 horizontal="right"/>
    </xf>
    <xf numFmtId="0" fontId="14" fillId="0" borderId="10" xfId="0" applyFont="1" applyBorder="1" applyAlignment="1">
      <alignment horizontal="center" wrapText="1"/>
    </xf>
    <xf numFmtId="4" fontId="14" fillId="0" borderId="10" xfId="0" applyNumberFormat="1" applyFont="1" applyBorder="1" applyAlignment="1">
      <alignment horizontal="center" wrapText="1"/>
    </xf>
    <xf numFmtId="0" fontId="16" fillId="0" borderId="14" xfId="0" applyFont="1" applyBorder="1" applyAlignment="1">
      <alignment horizontal="center" vertical="top" wrapText="1"/>
    </xf>
    <xf numFmtId="4" fontId="16" fillId="0" borderId="14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wrapText="1"/>
    </xf>
    <xf numFmtId="4" fontId="14" fillId="0" borderId="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left"/>
    </xf>
    <xf numFmtId="4" fontId="0" fillId="0" borderId="10" xfId="0" applyNumberFormat="1" applyFont="1" applyBorder="1" applyAlignment="1">
      <alignment horizontal="left"/>
    </xf>
    <xf numFmtId="0" fontId="15" fillId="0" borderId="0" xfId="0" applyFont="1" applyBorder="1" applyAlignment="1">
      <alignment horizontal="left" wrapText="1"/>
    </xf>
    <xf numFmtId="4" fontId="15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 horizontal="left" vertical="top" wrapText="1"/>
    </xf>
    <xf numFmtId="4" fontId="0" fillId="0" borderId="0" xfId="0" applyNumberFormat="1" applyFont="1" applyAlignment="1">
      <alignment horizontal="left" vertical="top" wrapText="1"/>
    </xf>
    <xf numFmtId="0" fontId="14" fillId="0" borderId="0" xfId="0" applyFont="1" applyAlignment="1">
      <alignment horizontal="left"/>
    </xf>
    <xf numFmtId="4" fontId="14" fillId="0" borderId="0" xfId="0" applyNumberFormat="1" applyFont="1" applyAlignment="1">
      <alignment horizontal="left"/>
    </xf>
    <xf numFmtId="4" fontId="15" fillId="0" borderId="0" xfId="0" applyNumberFormat="1" applyFont="1" applyAlignment="1">
      <alignment horizontal="left"/>
    </xf>
    <xf numFmtId="0" fontId="13" fillId="0" borderId="13" xfId="0" applyFont="1" applyBorder="1" applyAlignment="1">
      <alignment horizontal="center" wrapText="1"/>
    </xf>
    <xf numFmtId="0" fontId="17" fillId="0" borderId="0" xfId="0" applyFont="1" applyBorder="1" applyAlignment="1">
      <alignment horizontal="right"/>
    </xf>
    <xf numFmtId="0" fontId="14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13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right"/>
    </xf>
    <xf numFmtId="164" fontId="17" fillId="0" borderId="12" xfId="0" applyNumberFormat="1" applyFont="1" applyBorder="1" applyAlignment="1">
      <alignment horizontal="right"/>
    </xf>
    <xf numFmtId="0" fontId="15" fillId="0" borderId="13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320"/>
  <sheetViews>
    <sheetView tabSelected="1" zoomScalePageLayoutView="0" workbookViewId="0" topLeftCell="A1">
      <selection activeCell="H19" sqref="H19"/>
    </sheetView>
  </sheetViews>
  <sheetFormatPr defaultColWidth="9.140625" defaultRowHeight="12.75"/>
  <cols>
    <col min="1" max="1" width="5.7109375" style="0" customWidth="1"/>
    <col min="2" max="2" width="20.7109375" style="0" customWidth="1"/>
    <col min="3" max="3" width="40.7109375" style="0" customWidth="1"/>
    <col min="4" max="4" width="10.7109375" style="0" customWidth="1"/>
    <col min="5" max="5" width="14.7109375" style="98" customWidth="1"/>
    <col min="6" max="6" width="14.7109375" style="0" customWidth="1"/>
    <col min="7" max="7" width="14.7109375" style="98" customWidth="1"/>
    <col min="8" max="12" width="14.7109375" style="0" customWidth="1"/>
    <col min="15" max="93" width="0" style="0" hidden="1" customWidth="1"/>
    <col min="94" max="94" width="190.7109375" style="0" hidden="1" customWidth="1"/>
    <col min="95" max="95" width="109.7109375" style="0" hidden="1" customWidth="1"/>
    <col min="96" max="99" width="0" style="0" hidden="1" customWidth="1"/>
  </cols>
  <sheetData>
    <row r="1" ht="12.75">
      <c r="A1" s="12" t="str">
        <f>Source!B1</f>
        <v>Smeta.RU  (495) 974-1589</v>
      </c>
    </row>
    <row r="2" spans="1:12" ht="16.5">
      <c r="A2" s="13"/>
      <c r="B2" s="161" t="s">
        <v>381</v>
      </c>
      <c r="C2" s="161"/>
      <c r="D2" s="161"/>
      <c r="E2" s="162"/>
      <c r="F2" s="14"/>
      <c r="G2" s="101"/>
      <c r="H2" s="161" t="s">
        <v>382</v>
      </c>
      <c r="I2" s="161"/>
      <c r="J2" s="161"/>
      <c r="K2" s="161"/>
      <c r="L2" s="161"/>
    </row>
    <row r="3" spans="1:12" ht="14.25">
      <c r="A3" s="14"/>
      <c r="B3" s="129"/>
      <c r="C3" s="129"/>
      <c r="D3" s="129"/>
      <c r="E3" s="163"/>
      <c r="F3" s="14"/>
      <c r="G3" s="101"/>
      <c r="H3" s="129" t="s">
        <v>384</v>
      </c>
      <c r="I3" s="129"/>
      <c r="J3" s="129"/>
      <c r="K3" s="129"/>
      <c r="L3" s="129"/>
    </row>
    <row r="4" spans="1:12" ht="14.25">
      <c r="A4" s="15"/>
      <c r="B4" s="15"/>
      <c r="C4" s="16"/>
      <c r="D4" s="16"/>
      <c r="E4" s="99"/>
      <c r="F4" s="14"/>
      <c r="G4" s="101"/>
      <c r="H4" s="17"/>
      <c r="I4" s="16"/>
      <c r="J4" s="16"/>
      <c r="K4" s="16"/>
      <c r="L4" s="17"/>
    </row>
    <row r="5" spans="1:12" ht="14.25">
      <c r="A5" s="17"/>
      <c r="B5" s="129" t="str">
        <f>CONCATENATE("______________________ ",IF(Source!AL12&lt;&gt;"",Source!AL12,""))</f>
        <v>______________________ </v>
      </c>
      <c r="C5" s="129"/>
      <c r="D5" s="129"/>
      <c r="E5" s="163"/>
      <c r="F5" s="14"/>
      <c r="G5" s="101"/>
      <c r="H5" s="129" t="str">
        <f>CONCATENATE("______________________ ",IF(Source!AH12&lt;&gt;"",Source!AH12,""))</f>
        <v>______________________ Муравьев К.В.</v>
      </c>
      <c r="I5" s="129"/>
      <c r="J5" s="129"/>
      <c r="K5" s="129"/>
      <c r="L5" s="129"/>
    </row>
    <row r="6" spans="1:12" ht="14.25">
      <c r="A6" s="18"/>
      <c r="B6" s="157" t="s">
        <v>383</v>
      </c>
      <c r="C6" s="157"/>
      <c r="D6" s="157"/>
      <c r="E6" s="158"/>
      <c r="F6" s="14"/>
      <c r="G6" s="101"/>
      <c r="H6" s="157" t="s">
        <v>383</v>
      </c>
      <c r="I6" s="157"/>
      <c r="J6" s="157"/>
      <c r="K6" s="157"/>
      <c r="L6" s="157"/>
    </row>
    <row r="9" spans="1:94" ht="25.5">
      <c r="A9" s="159" t="s">
        <v>418</v>
      </c>
      <c r="B9" s="159"/>
      <c r="C9" s="159"/>
      <c r="D9" s="159"/>
      <c r="E9" s="160"/>
      <c r="F9" s="159"/>
      <c r="G9" s="160"/>
      <c r="H9" s="159"/>
      <c r="I9" s="159"/>
      <c r="J9" s="159"/>
      <c r="K9" s="159"/>
      <c r="L9" s="159"/>
      <c r="CP9" s="77" t="s">
        <v>418</v>
      </c>
    </row>
    <row r="10" spans="1:11" ht="12.75">
      <c r="A10" s="11"/>
      <c r="B10" s="11"/>
      <c r="D10" s="19"/>
      <c r="E10" s="100"/>
      <c r="F10" s="19"/>
      <c r="G10" s="100"/>
      <c r="H10" s="19"/>
      <c r="I10" s="19"/>
      <c r="J10" s="19"/>
      <c r="K10" s="19"/>
    </row>
    <row r="11" spans="1:11" ht="12.75">
      <c r="A11" s="159" t="s">
        <v>419</v>
      </c>
      <c r="B11" s="159"/>
      <c r="C11" s="159"/>
      <c r="D11" s="159"/>
      <c r="E11" s="160"/>
      <c r="F11" s="159"/>
      <c r="G11" s="160"/>
      <c r="H11" s="159"/>
      <c r="I11" s="159"/>
      <c r="J11" s="159"/>
      <c r="K11" s="159"/>
    </row>
    <row r="13" spans="1:12" ht="14.25">
      <c r="A13" s="20"/>
      <c r="B13" s="151" t="s">
        <v>385</v>
      </c>
      <c r="C13" s="151"/>
      <c r="D13" s="151"/>
      <c r="E13" s="152"/>
      <c r="F13" s="151"/>
      <c r="G13" s="152"/>
      <c r="H13" s="151"/>
      <c r="I13" s="151"/>
      <c r="J13" s="151"/>
      <c r="K13" s="151"/>
      <c r="L13" s="18"/>
    </row>
    <row r="14" spans="1:12" ht="14.25">
      <c r="A14" s="14"/>
      <c r="B14" s="14"/>
      <c r="C14" s="14"/>
      <c r="D14" s="14"/>
      <c r="E14" s="101"/>
      <c r="F14" s="14"/>
      <c r="G14" s="101"/>
      <c r="H14" s="14"/>
      <c r="I14" s="14"/>
      <c r="J14" s="14"/>
      <c r="K14" s="14"/>
      <c r="L14" s="14"/>
    </row>
    <row r="15" spans="1:12" ht="15.75">
      <c r="A15" s="14"/>
      <c r="B15" s="149" t="s">
        <v>545</v>
      </c>
      <c r="C15" s="149"/>
      <c r="D15" s="149"/>
      <c r="E15" s="150"/>
      <c r="F15" s="149"/>
      <c r="G15" s="150"/>
      <c r="H15" s="149"/>
      <c r="I15" s="149"/>
      <c r="J15" s="149"/>
      <c r="K15" s="149"/>
      <c r="L15" s="14"/>
    </row>
    <row r="16" spans="1:12" ht="14.25">
      <c r="A16" s="14"/>
      <c r="B16" s="151" t="s">
        <v>386</v>
      </c>
      <c r="C16" s="151"/>
      <c r="D16" s="151"/>
      <c r="E16" s="152"/>
      <c r="F16" s="151"/>
      <c r="G16" s="152"/>
      <c r="H16" s="151"/>
      <c r="I16" s="151"/>
      <c r="J16" s="151"/>
      <c r="K16" s="151"/>
      <c r="L16" s="14"/>
    </row>
    <row r="17" spans="1:12" ht="14.25">
      <c r="A17" s="14"/>
      <c r="B17" s="14"/>
      <c r="C17" s="14"/>
      <c r="D17" s="14"/>
      <c r="E17" s="101"/>
      <c r="F17" s="21"/>
      <c r="G17" s="110"/>
      <c r="H17" s="21" t="s">
        <v>3</v>
      </c>
      <c r="I17" s="21"/>
      <c r="J17" s="21"/>
      <c r="K17" s="21"/>
      <c r="L17" s="21"/>
    </row>
    <row r="18" spans="1:12" ht="15.75">
      <c r="A18" s="22"/>
      <c r="B18" s="153" t="s">
        <v>546</v>
      </c>
      <c r="C18" s="153"/>
      <c r="D18" s="153"/>
      <c r="E18" s="154"/>
      <c r="F18" s="153"/>
      <c r="G18" s="154"/>
      <c r="H18" s="153"/>
      <c r="I18" s="153"/>
      <c r="J18" s="153"/>
      <c r="K18" s="153"/>
      <c r="L18" s="22"/>
    </row>
    <row r="19" spans="1:12" ht="15">
      <c r="A19" s="22"/>
      <c r="B19" s="23"/>
      <c r="C19" s="23"/>
      <c r="D19" s="23"/>
      <c r="E19" s="102"/>
      <c r="F19" s="23"/>
      <c r="G19" s="102"/>
      <c r="H19" s="23"/>
      <c r="I19" s="23"/>
      <c r="J19" s="23"/>
      <c r="K19" s="23"/>
      <c r="L19" s="22"/>
    </row>
    <row r="20" spans="1:12" ht="14.25">
      <c r="A20" s="14"/>
      <c r="B20" s="151" t="s">
        <v>387</v>
      </c>
      <c r="C20" s="151"/>
      <c r="D20" s="151"/>
      <c r="E20" s="152"/>
      <c r="F20" s="151"/>
      <c r="G20" s="152"/>
      <c r="H20" s="151"/>
      <c r="I20" s="151"/>
      <c r="J20" s="151"/>
      <c r="K20" s="151"/>
      <c r="L20" s="18"/>
    </row>
    <row r="21" spans="1:12" ht="14.25">
      <c r="A21" s="14"/>
      <c r="B21" s="14"/>
      <c r="C21" s="14"/>
      <c r="D21" s="14"/>
      <c r="E21" s="101"/>
      <c r="F21" s="14"/>
      <c r="G21" s="101"/>
      <c r="H21" s="14"/>
      <c r="I21" s="14"/>
      <c r="J21" s="14"/>
      <c r="K21" s="14"/>
      <c r="L21" s="14"/>
    </row>
    <row r="22" spans="1:12" ht="12.75">
      <c r="A22" s="11" t="s">
        <v>388</v>
      </c>
      <c r="B22" s="11"/>
      <c r="C22" s="24" t="s">
        <v>420</v>
      </c>
      <c r="D22" s="11" t="s">
        <v>389</v>
      </c>
      <c r="E22" s="97"/>
      <c r="F22" s="11"/>
      <c r="G22" s="97"/>
      <c r="H22" s="11"/>
      <c r="I22" s="11"/>
      <c r="J22" s="11"/>
      <c r="K22" s="11"/>
      <c r="L22" s="11"/>
    </row>
    <row r="23" spans="1:12" ht="12.75">
      <c r="A23" s="11"/>
      <c r="B23" s="11"/>
      <c r="C23" s="11"/>
      <c r="D23" s="11"/>
      <c r="E23" s="97"/>
      <c r="F23" s="11"/>
      <c r="G23" s="97"/>
      <c r="H23" s="11"/>
      <c r="I23" s="11"/>
      <c r="J23" s="11"/>
      <c r="K23" s="11"/>
      <c r="L23" s="11"/>
    </row>
    <row r="24" spans="1:12" ht="12.75">
      <c r="A24" s="11" t="s">
        <v>390</v>
      </c>
      <c r="B24" s="11"/>
      <c r="C24" s="155"/>
      <c r="D24" s="155"/>
      <c r="E24" s="156"/>
      <c r="F24" s="155"/>
      <c r="G24" s="156"/>
      <c r="H24" s="11"/>
      <c r="I24" s="11"/>
      <c r="J24" s="11"/>
      <c r="K24" s="97"/>
      <c r="L24" s="25"/>
    </row>
    <row r="25" spans="1:12" ht="12.75">
      <c r="A25" s="26"/>
      <c r="B25" s="27"/>
      <c r="C25" s="145" t="s">
        <v>391</v>
      </c>
      <c r="D25" s="145"/>
      <c r="E25" s="146"/>
      <c r="F25" s="145"/>
      <c r="G25" s="146"/>
      <c r="H25" s="28"/>
      <c r="I25" s="28"/>
      <c r="J25" s="28"/>
      <c r="K25" s="28"/>
      <c r="L25" s="28"/>
    </row>
    <row r="26" spans="1:12" ht="14.25">
      <c r="A26" s="14"/>
      <c r="B26" s="14"/>
      <c r="C26" s="14"/>
      <c r="D26" s="14"/>
      <c r="E26" s="101"/>
      <c r="F26" s="14"/>
      <c r="G26" s="101"/>
      <c r="H26" s="14"/>
      <c r="I26" s="14"/>
      <c r="J26" s="14"/>
      <c r="K26" s="14"/>
      <c r="L26" s="14"/>
    </row>
    <row r="27" spans="1:12" ht="14.25">
      <c r="A27" s="29" t="s">
        <v>421</v>
      </c>
      <c r="B27" s="14"/>
      <c r="C27" s="14"/>
      <c r="D27" s="30"/>
      <c r="E27" s="103"/>
      <c r="F27" s="14"/>
      <c r="G27" s="101"/>
      <c r="H27" s="14"/>
      <c r="I27" s="112"/>
      <c r="J27" s="14"/>
      <c r="K27" s="14"/>
      <c r="L27" s="14"/>
    </row>
    <row r="28" spans="1:12" ht="14.25">
      <c r="A28" s="14"/>
      <c r="B28" s="14"/>
      <c r="C28" s="14"/>
      <c r="D28" s="14"/>
      <c r="E28" s="101"/>
      <c r="F28" s="14"/>
      <c r="G28" s="101"/>
      <c r="H28" s="14"/>
      <c r="I28" s="14"/>
      <c r="J28" s="14"/>
      <c r="K28" s="14"/>
      <c r="L28" s="14"/>
    </row>
    <row r="29" spans="1:12" ht="14.25">
      <c r="A29" s="29" t="s">
        <v>392</v>
      </c>
      <c r="B29" s="14"/>
      <c r="C29" s="47">
        <f>C32+C33+C34+C35</f>
        <v>2496.12</v>
      </c>
      <c r="D29" s="147">
        <f>ROUND((SUM(O42:O313))/1000,2)</f>
        <v>234.65</v>
      </c>
      <c r="E29" s="148"/>
      <c r="F29" s="31" t="s">
        <v>393</v>
      </c>
      <c r="G29" s="104"/>
      <c r="H29" s="32"/>
      <c r="I29" s="32"/>
      <c r="J29" s="32"/>
      <c r="K29" s="14"/>
      <c r="L29" s="14"/>
    </row>
    <row r="30" spans="1:12" ht="14.25">
      <c r="A30" s="14"/>
      <c r="B30" s="14"/>
      <c r="C30" s="41"/>
      <c r="D30" s="48"/>
      <c r="E30" s="104"/>
      <c r="F30" s="31"/>
      <c r="G30" s="111" t="s">
        <v>394</v>
      </c>
      <c r="H30" s="32"/>
      <c r="I30" s="32"/>
      <c r="J30" s="32"/>
      <c r="K30" s="14"/>
      <c r="L30" s="14"/>
    </row>
    <row r="31" spans="1:12" ht="14.25">
      <c r="A31" s="14"/>
      <c r="B31" s="33" t="s">
        <v>395</v>
      </c>
      <c r="C31" s="41"/>
      <c r="D31" s="48"/>
      <c r="E31" s="104"/>
      <c r="F31" s="31"/>
      <c r="G31" s="111" t="s">
        <v>396</v>
      </c>
      <c r="H31" s="32" t="s">
        <v>397</v>
      </c>
      <c r="I31" s="34">
        <f>(SUM(U42:U313))/1000</f>
        <v>517.754</v>
      </c>
      <c r="J31" s="34">
        <f>ROUND((SUM(Q42:Q313))/1000,2)</f>
        <v>14.37</v>
      </c>
      <c r="K31" s="11" t="s">
        <v>393</v>
      </c>
      <c r="L31" s="14"/>
    </row>
    <row r="32" spans="1:12" ht="14.25">
      <c r="A32" s="14"/>
      <c r="B32" s="29" t="s">
        <v>398</v>
      </c>
      <c r="C32" s="47">
        <f>ROUND((Source!P214)/1000,2)</f>
        <v>2496.12</v>
      </c>
      <c r="D32" s="147">
        <f>ROUND((SUM(AN42:AN313)+SUM(AR42:AR313))/1000,2)</f>
        <v>234.65</v>
      </c>
      <c r="E32" s="148"/>
      <c r="F32" s="31" t="s">
        <v>393</v>
      </c>
      <c r="G32" s="111" t="s">
        <v>399</v>
      </c>
      <c r="H32" s="32"/>
      <c r="I32" s="31"/>
      <c r="J32" s="49">
        <f>Source!P219</f>
        <v>1694.79254</v>
      </c>
      <c r="K32" s="11" t="s">
        <v>311</v>
      </c>
      <c r="L32" s="14"/>
    </row>
    <row r="33" spans="1:12" ht="14.25">
      <c r="A33" s="14"/>
      <c r="B33" s="29" t="s">
        <v>400</v>
      </c>
      <c r="C33" s="47">
        <f>ROUND((Source!P215)/1000,2)</f>
        <v>0</v>
      </c>
      <c r="D33" s="147">
        <f>ROUND((SUM(AX42:AX313)+SUM(BB42:BB313))/1000,2)</f>
        <v>0</v>
      </c>
      <c r="E33" s="148"/>
      <c r="F33" s="31" t="s">
        <v>393</v>
      </c>
      <c r="G33" s="111" t="s">
        <v>401</v>
      </c>
      <c r="H33" s="32"/>
      <c r="I33" s="31"/>
      <c r="J33" s="49">
        <f>Source!P220</f>
        <v>50.097474999999996</v>
      </c>
      <c r="K33" s="11" t="s">
        <v>311</v>
      </c>
      <c r="L33" s="14"/>
    </row>
    <row r="34" spans="1:12" ht="14.25">
      <c r="A34" s="14"/>
      <c r="B34" s="29" t="s">
        <v>402</v>
      </c>
      <c r="C34" s="47">
        <f>ROUND((Source!P206)/1000,2)</f>
        <v>0</v>
      </c>
      <c r="D34" s="147">
        <f>ROUND((SUM(BH42:BH313)+SUM(BI42:BI313))/1000,2)</f>
        <v>0</v>
      </c>
      <c r="E34" s="148"/>
      <c r="F34" s="31" t="s">
        <v>393</v>
      </c>
      <c r="G34" s="111" t="s">
        <v>403</v>
      </c>
      <c r="H34" s="32"/>
      <c r="I34" s="31"/>
      <c r="J34" s="35"/>
      <c r="K34" s="14"/>
      <c r="L34" s="14"/>
    </row>
    <row r="35" spans="1:12" ht="14.25">
      <c r="A35" s="14"/>
      <c r="B35" s="29" t="s">
        <v>404</v>
      </c>
      <c r="C35" s="47">
        <f>ROUND((Source!P216+Source!P217)/1000,2)</f>
        <v>0</v>
      </c>
      <c r="D35" s="147">
        <f>ROUND((SUM(BM42:BM313)+SUM(BN42:BN313)+SUM(BO42:BO313)+SUM(BP42:BP313))/1000,2)</f>
        <v>0</v>
      </c>
      <c r="E35" s="148"/>
      <c r="F35" s="31" t="s">
        <v>393</v>
      </c>
      <c r="G35" s="111" t="s">
        <v>405</v>
      </c>
      <c r="H35" s="32"/>
      <c r="I35" s="31">
        <f>Source!I20</f>
        <v>0</v>
      </c>
      <c r="J35" s="36">
        <f>Source!H20</f>
      </c>
      <c r="K35" s="14"/>
      <c r="L35" s="14"/>
    </row>
    <row r="36" spans="1:12" ht="14.25">
      <c r="A36" s="14"/>
      <c r="B36" s="14"/>
      <c r="C36" s="14"/>
      <c r="D36" s="32"/>
      <c r="E36" s="104"/>
      <c r="F36" s="32"/>
      <c r="G36" s="104"/>
      <c r="H36" s="32"/>
      <c r="I36" s="32"/>
      <c r="J36" s="32"/>
      <c r="K36" s="14"/>
      <c r="L36" s="14"/>
    </row>
    <row r="37" spans="1:12" ht="12.75">
      <c r="A37" s="125" t="s">
        <v>406</v>
      </c>
      <c r="B37" s="125" t="s">
        <v>407</v>
      </c>
      <c r="C37" s="125" t="s">
        <v>408</v>
      </c>
      <c r="D37" s="125" t="s">
        <v>409</v>
      </c>
      <c r="E37" s="130" t="s">
        <v>410</v>
      </c>
      <c r="F37" s="131"/>
      <c r="G37" s="132"/>
      <c r="H37" s="139" t="s">
        <v>411</v>
      </c>
      <c r="I37" s="131"/>
      <c r="J37" s="140"/>
      <c r="K37" s="125" t="s">
        <v>412</v>
      </c>
      <c r="L37" s="125" t="s">
        <v>413</v>
      </c>
    </row>
    <row r="38" spans="1:12" ht="12.75">
      <c r="A38" s="126"/>
      <c r="B38" s="126"/>
      <c r="C38" s="126"/>
      <c r="D38" s="126"/>
      <c r="E38" s="133"/>
      <c r="F38" s="134"/>
      <c r="G38" s="135"/>
      <c r="H38" s="141"/>
      <c r="I38" s="134"/>
      <c r="J38" s="142"/>
      <c r="K38" s="126"/>
      <c r="L38" s="126"/>
    </row>
    <row r="39" spans="1:12" ht="12.75">
      <c r="A39" s="126"/>
      <c r="B39" s="126"/>
      <c r="C39" s="126"/>
      <c r="D39" s="126"/>
      <c r="E39" s="136"/>
      <c r="F39" s="137"/>
      <c r="G39" s="138"/>
      <c r="H39" s="143"/>
      <c r="I39" s="137"/>
      <c r="J39" s="144"/>
      <c r="K39" s="126"/>
      <c r="L39" s="126"/>
    </row>
    <row r="40" spans="1:12" ht="25.5">
      <c r="A40" s="127"/>
      <c r="B40" s="127"/>
      <c r="C40" s="127"/>
      <c r="D40" s="127"/>
      <c r="E40" s="105" t="s">
        <v>414</v>
      </c>
      <c r="F40" s="37" t="s">
        <v>415</v>
      </c>
      <c r="G40" s="105" t="s">
        <v>416</v>
      </c>
      <c r="H40" s="37" t="s">
        <v>414</v>
      </c>
      <c r="I40" s="37" t="s">
        <v>415</v>
      </c>
      <c r="J40" s="37" t="s">
        <v>417</v>
      </c>
      <c r="K40" s="127"/>
      <c r="L40" s="127"/>
    </row>
    <row r="41" spans="1:12" ht="14.25">
      <c r="A41" s="38">
        <v>1</v>
      </c>
      <c r="B41" s="38">
        <v>2</v>
      </c>
      <c r="C41" s="38">
        <v>3</v>
      </c>
      <c r="D41" s="38">
        <v>4</v>
      </c>
      <c r="E41" s="113">
        <v>5</v>
      </c>
      <c r="F41" s="38">
        <v>6</v>
      </c>
      <c r="G41" s="113">
        <v>7</v>
      </c>
      <c r="H41" s="38">
        <v>8</v>
      </c>
      <c r="I41" s="38">
        <v>9</v>
      </c>
      <c r="J41" s="38">
        <v>10</v>
      </c>
      <c r="K41" s="39">
        <v>11</v>
      </c>
      <c r="L41" s="40">
        <v>12</v>
      </c>
    </row>
    <row r="43" spans="1:12" ht="16.5">
      <c r="A43" s="121" t="s">
        <v>422</v>
      </c>
      <c r="B43" s="121"/>
      <c r="C43" s="121"/>
      <c r="D43" s="121"/>
      <c r="E43" s="122"/>
      <c r="F43" s="121"/>
      <c r="G43" s="122"/>
      <c r="H43" s="121"/>
      <c r="I43" s="121"/>
      <c r="J43" s="121"/>
      <c r="K43" s="121"/>
      <c r="L43" s="121"/>
    </row>
    <row r="44" spans="1:56" ht="28.5">
      <c r="A44" s="74">
        <v>1</v>
      </c>
      <c r="B44" s="74" t="str">
        <f>Source!F29</f>
        <v>46-04-008-02</v>
      </c>
      <c r="C44" s="74" t="str">
        <f>Source!G29</f>
        <v>Разборка покрытий кровель: из листовой стали</v>
      </c>
      <c r="D44" s="51" t="str">
        <f>Source!DW29</f>
        <v>100 м2</v>
      </c>
      <c r="E44" s="106">
        <f>Source!K29</f>
        <v>1.35</v>
      </c>
      <c r="F44" s="52"/>
      <c r="G44" s="106">
        <f>Source!I29</f>
        <v>1.35</v>
      </c>
      <c r="H44" s="53"/>
      <c r="I44" s="54"/>
      <c r="J44" s="55"/>
      <c r="K44" s="54"/>
      <c r="L44" s="55"/>
      <c r="AG44">
        <f>ROUND((Source!AT29/100)*((ROUND(Source!AF29*Source!I29,0)+ROUND(Source!AE29*Source!I29,0))),0)</f>
        <v>82</v>
      </c>
      <c r="AH44">
        <f>Source!X29</f>
        <v>2962</v>
      </c>
      <c r="AI44">
        <f>ROUND((Source!AU29/100)*((ROUND(Source!AF29*Source!I29,0)+ROUND(Source!AE29*Source!I29,0))),0)</f>
        <v>47</v>
      </c>
      <c r="AJ44">
        <f>Source!Y29</f>
        <v>1693</v>
      </c>
      <c r="AS44">
        <f>IF(Source!BI29&lt;=1,AH44,0)</f>
        <v>2962</v>
      </c>
      <c r="AT44">
        <f>IF(Source!BI29&lt;=1,AJ44,0)</f>
        <v>1693</v>
      </c>
      <c r="BC44">
        <f>IF(Source!BI29=2,AH44,0)</f>
        <v>0</v>
      </c>
      <c r="BD44">
        <f>IF(Source!BI29=2,AJ44,0)</f>
        <v>0</v>
      </c>
    </row>
    <row r="46" ht="12.75">
      <c r="C46" s="42" t="str">
        <f>"Объем: "&amp;Source!K29&amp;"=135/"&amp;"100"</f>
        <v>Объем: 1,35=135/100</v>
      </c>
    </row>
    <row r="47" spans="1:12" ht="14.25">
      <c r="A47" s="74"/>
      <c r="B47" s="75">
        <v>1</v>
      </c>
      <c r="C47" s="74" t="s">
        <v>423</v>
      </c>
      <c r="D47" s="51"/>
      <c r="E47" s="106"/>
      <c r="F47" s="52"/>
      <c r="G47" s="106"/>
      <c r="H47" s="53">
        <f>Source!AO29</f>
        <v>66.92</v>
      </c>
      <c r="I47" s="54"/>
      <c r="J47" s="55">
        <f>ROUND(Source!AF29*Source!I29,0)</f>
        <v>90</v>
      </c>
      <c r="K47" s="54">
        <f>IF(Source!BA29&lt;&gt;0,Source!BA29,1)</f>
        <v>36.03</v>
      </c>
      <c r="L47" s="55">
        <f>Source!S29</f>
        <v>3255</v>
      </c>
    </row>
    <row r="48" spans="1:12" ht="14.25">
      <c r="A48" s="74"/>
      <c r="B48" s="75">
        <v>3</v>
      </c>
      <c r="C48" s="74" t="s">
        <v>424</v>
      </c>
      <c r="D48" s="51"/>
      <c r="E48" s="106"/>
      <c r="F48" s="52"/>
      <c r="G48" s="106"/>
      <c r="H48" s="53">
        <f>Source!AM29</f>
        <v>12.52</v>
      </c>
      <c r="I48" s="54"/>
      <c r="J48" s="55">
        <f>ROUND(Source!AD29*Source!I29,0)</f>
        <v>17</v>
      </c>
      <c r="K48" s="54">
        <f>IF(Source!BB29&lt;&gt;0,Source!BB29,1)</f>
        <v>5.35</v>
      </c>
      <c r="L48" s="55">
        <f>Source!Q29</f>
        <v>90</v>
      </c>
    </row>
    <row r="49" spans="1:12" ht="14.25">
      <c r="A49" s="74"/>
      <c r="B49" s="74"/>
      <c r="C49" s="76" t="s">
        <v>425</v>
      </c>
      <c r="D49" s="56" t="s">
        <v>426</v>
      </c>
      <c r="E49" s="107">
        <f>Source!AQ29</f>
        <v>8.58</v>
      </c>
      <c r="F49" s="57"/>
      <c r="G49" s="107">
        <f>ROUND(Source!U29,7)</f>
        <v>11.583</v>
      </c>
      <c r="H49" s="58"/>
      <c r="I49" s="59"/>
      <c r="J49" s="60"/>
      <c r="K49" s="59"/>
      <c r="L49" s="60"/>
    </row>
    <row r="50" spans="1:12" ht="14.25">
      <c r="A50" s="74"/>
      <c r="B50" s="74"/>
      <c r="C50" s="74" t="s">
        <v>427</v>
      </c>
      <c r="D50" s="51"/>
      <c r="E50" s="106"/>
      <c r="F50" s="52"/>
      <c r="G50" s="106"/>
      <c r="H50" s="53">
        <f>H47+H48</f>
        <v>79.44</v>
      </c>
      <c r="I50" s="54"/>
      <c r="J50" s="55">
        <f>J47+J48</f>
        <v>107</v>
      </c>
      <c r="K50" s="54"/>
      <c r="L50" s="55">
        <f>L47+L48</f>
        <v>3345</v>
      </c>
    </row>
    <row r="51" spans="1:12" ht="14.25">
      <c r="A51" s="74"/>
      <c r="B51" s="74"/>
      <c r="C51" s="74" t="s">
        <v>428</v>
      </c>
      <c r="D51" s="51"/>
      <c r="E51" s="106"/>
      <c r="F51" s="52"/>
      <c r="G51" s="106"/>
      <c r="H51" s="53"/>
      <c r="I51" s="54"/>
      <c r="J51" s="55">
        <f>SUM(Q44:Q54)+SUM(V44:V54)+SUM(X44:X54)+SUM(Y44:Y54)</f>
        <v>90</v>
      </c>
      <c r="K51" s="54"/>
      <c r="L51" s="55">
        <f>SUM(U44:U54)+SUM(W44:W54)+SUM(Z44:Z54)+SUM(AA44:AA54)</f>
        <v>3255</v>
      </c>
    </row>
    <row r="52" spans="1:12" ht="71.25">
      <c r="A52" s="74"/>
      <c r="B52" s="74" t="s">
        <v>30</v>
      </c>
      <c r="C52" s="74" t="s">
        <v>429</v>
      </c>
      <c r="D52" s="51" t="s">
        <v>430</v>
      </c>
      <c r="E52" s="106">
        <f>Source!BZ29</f>
        <v>91</v>
      </c>
      <c r="F52" s="52"/>
      <c r="G52" s="106">
        <f>Source!AT29</f>
        <v>91</v>
      </c>
      <c r="H52" s="53"/>
      <c r="I52" s="54"/>
      <c r="J52" s="55">
        <f>SUM(AG44:AG54)</f>
        <v>82</v>
      </c>
      <c r="K52" s="54"/>
      <c r="L52" s="55">
        <f>SUM(AH44:AH54)</f>
        <v>2962</v>
      </c>
    </row>
    <row r="53" spans="1:12" ht="71.25">
      <c r="A53" s="76"/>
      <c r="B53" s="76" t="s">
        <v>31</v>
      </c>
      <c r="C53" s="76" t="s">
        <v>431</v>
      </c>
      <c r="D53" s="56" t="s">
        <v>430</v>
      </c>
      <c r="E53" s="107">
        <f>Source!CA29</f>
        <v>52</v>
      </c>
      <c r="F53" s="57"/>
      <c r="G53" s="107">
        <f>Source!AU29</f>
        <v>52</v>
      </c>
      <c r="H53" s="58"/>
      <c r="I53" s="59"/>
      <c r="J53" s="60">
        <f>SUM(AI44:AI54)</f>
        <v>47</v>
      </c>
      <c r="K53" s="59"/>
      <c r="L53" s="60">
        <f>SUM(AJ44:AJ54)</f>
        <v>1693</v>
      </c>
    </row>
    <row r="54" spans="3:53" ht="15">
      <c r="C54" s="119" t="s">
        <v>432</v>
      </c>
      <c r="D54" s="119"/>
      <c r="E54" s="120"/>
      <c r="F54" s="119"/>
      <c r="G54" s="120"/>
      <c r="H54" s="119"/>
      <c r="I54" s="119">
        <f>J47+J48+J52+J53</f>
        <v>236</v>
      </c>
      <c r="J54" s="119"/>
      <c r="K54" s="119">
        <f>L47+L48+L52+L53</f>
        <v>8000</v>
      </c>
      <c r="L54" s="119"/>
      <c r="O54" s="44">
        <f>I54</f>
        <v>236</v>
      </c>
      <c r="P54" s="44">
        <f>K54</f>
        <v>8000</v>
      </c>
      <c r="Q54" s="44">
        <f>J47</f>
        <v>90</v>
      </c>
      <c r="R54" s="44">
        <f>J47</f>
        <v>90</v>
      </c>
      <c r="U54" s="44">
        <f>L47</f>
        <v>3255</v>
      </c>
      <c r="X54">
        <f>0</f>
        <v>0</v>
      </c>
      <c r="Z54">
        <f>0</f>
        <v>0</v>
      </c>
      <c r="AB54" s="44">
        <f>J48</f>
        <v>17</v>
      </c>
      <c r="AD54" s="44">
        <f>L48</f>
        <v>90</v>
      </c>
      <c r="AF54">
        <f>0</f>
        <v>0</v>
      </c>
      <c r="AN54">
        <f>IF(Source!BI29&lt;=1,J47+J48+J52+J53,0)</f>
        <v>236</v>
      </c>
      <c r="AO54">
        <f>IF(Source!BI29&lt;=1,0,0)</f>
        <v>0</v>
      </c>
      <c r="AP54">
        <f>IF(Source!BI29&lt;=1,J48,0)</f>
        <v>17</v>
      </c>
      <c r="AQ54">
        <f>IF(Source!BI29&lt;=1,J47,0)</f>
        <v>90</v>
      </c>
      <c r="AX54">
        <f>IF(Source!BI29=2,J47+J48+J52+J53,0)</f>
        <v>0</v>
      </c>
      <c r="AY54">
        <f>IF(Source!BI29=2,0,0)</f>
        <v>0</v>
      </c>
      <c r="AZ54">
        <f>IF(Source!BI29=2,J48,0)</f>
        <v>0</v>
      </c>
      <c r="BA54">
        <f>IF(Source!BI29=2,J47,0)</f>
        <v>0</v>
      </c>
    </row>
    <row r="55" spans="1:56" ht="28.5">
      <c r="A55" s="74">
        <v>2</v>
      </c>
      <c r="B55" s="74" t="str">
        <f>Source!F31</f>
        <v>46-04-008-01</v>
      </c>
      <c r="C55" s="74" t="str">
        <f>Source!G31</f>
        <v>Разборка покрытий кровель: из рулонных материалов</v>
      </c>
      <c r="D55" s="51" t="str">
        <f>Source!DW31</f>
        <v>100 м2</v>
      </c>
      <c r="E55" s="106">
        <f>Source!K31</f>
        <v>21.2</v>
      </c>
      <c r="F55" s="52"/>
      <c r="G55" s="106">
        <f>Source!I31</f>
        <v>21.2</v>
      </c>
      <c r="H55" s="53"/>
      <c r="I55" s="54"/>
      <c r="J55" s="55"/>
      <c r="K55" s="54"/>
      <c r="L55" s="55"/>
      <c r="AG55">
        <f>ROUND((Source!AT31/100)*((ROUND(Source!AF31*Source!I31,0)+ROUND(Source!AE31*Source!I31,0))),0)</f>
        <v>2449</v>
      </c>
      <c r="AH55">
        <f>Source!X31</f>
        <v>88242</v>
      </c>
      <c r="AI55">
        <f>ROUND((Source!AU31/100)*((ROUND(Source!AF31*Source!I31,0)+ROUND(Source!AE31*Source!I31,0))),0)</f>
        <v>1403</v>
      </c>
      <c r="AJ55">
        <f>Source!Y31</f>
        <v>50546</v>
      </c>
      <c r="AS55">
        <f>IF(Source!BI31&lt;=1,AH55,0)</f>
        <v>88242</v>
      </c>
      <c r="AT55">
        <f>IF(Source!BI31&lt;=1,AJ55,0)</f>
        <v>50546</v>
      </c>
      <c r="BC55">
        <f>IF(Source!BI31=2,AH55,0)</f>
        <v>0</v>
      </c>
      <c r="BD55">
        <f>IF(Source!BI31=2,AJ55,0)</f>
        <v>0</v>
      </c>
    </row>
    <row r="57" ht="12.75">
      <c r="C57" s="42" t="str">
        <f>"Объем: "&amp;Source!K31&amp;"=2120/"&amp;"100"</f>
        <v>Объем: 21,2=2120/100</v>
      </c>
    </row>
    <row r="58" spans="1:12" ht="14.25">
      <c r="A58" s="74"/>
      <c r="B58" s="75">
        <v>1</v>
      </c>
      <c r="C58" s="74" t="s">
        <v>423</v>
      </c>
      <c r="D58" s="51"/>
      <c r="E58" s="106"/>
      <c r="F58" s="52"/>
      <c r="G58" s="106"/>
      <c r="H58" s="53">
        <f>Source!AO31</f>
        <v>112.16</v>
      </c>
      <c r="I58" s="54"/>
      <c r="J58" s="55">
        <f>ROUND(Source!AF31*Source!I31,0)</f>
        <v>2378</v>
      </c>
      <c r="K58" s="54">
        <f>IF(Source!BA31&lt;&gt;0,Source!BA31,1)</f>
        <v>36.03</v>
      </c>
      <c r="L58" s="55">
        <f>Source!S31</f>
        <v>85672</v>
      </c>
    </row>
    <row r="59" spans="1:12" ht="14.25">
      <c r="A59" s="74"/>
      <c r="B59" s="75">
        <v>3</v>
      </c>
      <c r="C59" s="74" t="s">
        <v>424</v>
      </c>
      <c r="D59" s="51"/>
      <c r="E59" s="106"/>
      <c r="F59" s="52"/>
      <c r="G59" s="106"/>
      <c r="H59" s="53">
        <f>Source!AM31</f>
        <v>41.43</v>
      </c>
      <c r="I59" s="54"/>
      <c r="J59" s="55">
        <f>ROUND(Source!AD31*Source!I31,0)</f>
        <v>878</v>
      </c>
      <c r="K59" s="54">
        <f>IF(Source!BB31&lt;&gt;0,Source!BB31,1)</f>
        <v>5.35</v>
      </c>
      <c r="L59" s="55">
        <f>Source!Q31</f>
        <v>4699</v>
      </c>
    </row>
    <row r="60" spans="1:12" ht="14.25">
      <c r="A60" s="74"/>
      <c r="B60" s="74"/>
      <c r="C60" s="76" t="s">
        <v>425</v>
      </c>
      <c r="D60" s="56" t="s">
        <v>426</v>
      </c>
      <c r="E60" s="107">
        <f>Source!AQ31</f>
        <v>14.38</v>
      </c>
      <c r="F60" s="57"/>
      <c r="G60" s="107">
        <f>ROUND(Source!U31,7)</f>
        <v>304.856</v>
      </c>
      <c r="H60" s="58"/>
      <c r="I60" s="59"/>
      <c r="J60" s="60"/>
      <c r="K60" s="59"/>
      <c r="L60" s="60"/>
    </row>
    <row r="61" spans="1:12" ht="14.25">
      <c r="A61" s="74"/>
      <c r="B61" s="74"/>
      <c r="C61" s="74" t="s">
        <v>427</v>
      </c>
      <c r="D61" s="51"/>
      <c r="E61" s="106"/>
      <c r="F61" s="52"/>
      <c r="G61" s="106"/>
      <c r="H61" s="53">
        <f>H58+H59</f>
        <v>153.59</v>
      </c>
      <c r="I61" s="54"/>
      <c r="J61" s="55">
        <f>J58+J59</f>
        <v>3256</v>
      </c>
      <c r="K61" s="54"/>
      <c r="L61" s="55">
        <f>L58+L59</f>
        <v>90371</v>
      </c>
    </row>
    <row r="62" spans="1:12" ht="14.25">
      <c r="A62" s="74"/>
      <c r="B62" s="74"/>
      <c r="C62" s="74" t="s">
        <v>428</v>
      </c>
      <c r="D62" s="51"/>
      <c r="E62" s="106"/>
      <c r="F62" s="52"/>
      <c r="G62" s="106"/>
      <c r="H62" s="53"/>
      <c r="I62" s="54"/>
      <c r="J62" s="55">
        <f>SUM(Q55:Q65)+SUM(V55:V65)+SUM(X55:X65)+SUM(Y55:Y65)</f>
        <v>2378</v>
      </c>
      <c r="K62" s="54"/>
      <c r="L62" s="55">
        <f>SUM(U55:U65)+SUM(W55:W65)+SUM(Z55:Z65)+SUM(AA55:AA65)</f>
        <v>85672</v>
      </c>
    </row>
    <row r="63" spans="1:12" ht="71.25">
      <c r="A63" s="74"/>
      <c r="B63" s="74" t="s">
        <v>37</v>
      </c>
      <c r="C63" s="74" t="s">
        <v>433</v>
      </c>
      <c r="D63" s="51" t="s">
        <v>430</v>
      </c>
      <c r="E63" s="106">
        <f>Source!BZ31</f>
        <v>103</v>
      </c>
      <c r="F63" s="52"/>
      <c r="G63" s="106">
        <f>Source!AT31</f>
        <v>103</v>
      </c>
      <c r="H63" s="53"/>
      <c r="I63" s="54"/>
      <c r="J63" s="55">
        <f>SUM(AG55:AG65)</f>
        <v>2449</v>
      </c>
      <c r="K63" s="54"/>
      <c r="L63" s="55">
        <f>SUM(AH55:AH65)</f>
        <v>88242</v>
      </c>
    </row>
    <row r="64" spans="1:12" ht="71.25">
      <c r="A64" s="76"/>
      <c r="B64" s="76" t="s">
        <v>38</v>
      </c>
      <c r="C64" s="76" t="s">
        <v>434</v>
      </c>
      <c r="D64" s="56" t="s">
        <v>430</v>
      </c>
      <c r="E64" s="107">
        <f>Source!CA31</f>
        <v>59</v>
      </c>
      <c r="F64" s="57"/>
      <c r="G64" s="107">
        <f>Source!AU31</f>
        <v>59</v>
      </c>
      <c r="H64" s="58"/>
      <c r="I64" s="59"/>
      <c r="J64" s="60">
        <f>SUM(AI55:AI65)</f>
        <v>1403</v>
      </c>
      <c r="K64" s="59"/>
      <c r="L64" s="60">
        <f>SUM(AJ55:AJ65)</f>
        <v>50546</v>
      </c>
    </row>
    <row r="65" spans="3:53" ht="15">
      <c r="C65" s="119" t="s">
        <v>432</v>
      </c>
      <c r="D65" s="119"/>
      <c r="E65" s="120"/>
      <c r="F65" s="119"/>
      <c r="G65" s="120"/>
      <c r="H65" s="119"/>
      <c r="I65" s="119">
        <f>J58+J59+J63+J64</f>
        <v>7108</v>
      </c>
      <c r="J65" s="119"/>
      <c r="K65" s="119">
        <f>L58+L59+L63+L64</f>
        <v>229159</v>
      </c>
      <c r="L65" s="119"/>
      <c r="O65" s="44">
        <f>I65</f>
        <v>7108</v>
      </c>
      <c r="P65" s="44">
        <f>K65</f>
        <v>229159</v>
      </c>
      <c r="Q65" s="44">
        <f>J58</f>
        <v>2378</v>
      </c>
      <c r="R65" s="44">
        <f>J58</f>
        <v>2378</v>
      </c>
      <c r="U65" s="44">
        <f>L58</f>
        <v>85672</v>
      </c>
      <c r="X65">
        <f>0</f>
        <v>0</v>
      </c>
      <c r="Z65">
        <f>0</f>
        <v>0</v>
      </c>
      <c r="AB65" s="44">
        <f>J59</f>
        <v>878</v>
      </c>
      <c r="AD65" s="44">
        <f>L59</f>
        <v>4699</v>
      </c>
      <c r="AF65">
        <f>0</f>
        <v>0</v>
      </c>
      <c r="AN65">
        <f>IF(Source!BI31&lt;=1,J58+J59+J63+J64,0)</f>
        <v>7108</v>
      </c>
      <c r="AO65">
        <f>IF(Source!BI31&lt;=1,0,0)</f>
        <v>0</v>
      </c>
      <c r="AP65">
        <f>IF(Source!BI31&lt;=1,J59,0)</f>
        <v>878</v>
      </c>
      <c r="AQ65">
        <f>IF(Source!BI31&lt;=1,J58,0)</f>
        <v>2378</v>
      </c>
      <c r="AX65">
        <f>IF(Source!BI31=2,J58+J59+J63+J64,0)</f>
        <v>0</v>
      </c>
      <c r="AY65">
        <f>IF(Source!BI31=2,0,0)</f>
        <v>0</v>
      </c>
      <c r="AZ65">
        <f>IF(Source!BI31=2,J59,0)</f>
        <v>0</v>
      </c>
      <c r="BA65">
        <f>IF(Source!BI31=2,J58,0)</f>
        <v>0</v>
      </c>
    </row>
    <row r="66" spans="1:56" ht="117.75">
      <c r="A66" s="74">
        <v>3</v>
      </c>
      <c r="B66" s="74" t="str">
        <f>Source!F33</f>
        <v>11-01-011-01</v>
      </c>
      <c r="C66" s="74" t="s">
        <v>435</v>
      </c>
      <c r="D66" s="51" t="str">
        <f>Source!DW33</f>
        <v>100 м2</v>
      </c>
      <c r="E66" s="106">
        <f>Source!K33</f>
        <v>11.1</v>
      </c>
      <c r="F66" s="52"/>
      <c r="G66" s="106">
        <f>Source!I33</f>
        <v>11.1</v>
      </c>
      <c r="H66" s="53"/>
      <c r="I66" s="54"/>
      <c r="J66" s="55"/>
      <c r="K66" s="54"/>
      <c r="L66" s="55"/>
      <c r="AG66">
        <f>ROUND((Source!AT33/100)*((ROUND(Source!AF33*Source!I33,0)+ROUND(Source!AE33*Source!I33,0))),0)</f>
        <v>2981</v>
      </c>
      <c r="AH66">
        <f>Source!X33</f>
        <v>107435</v>
      </c>
      <c r="AI66">
        <f>ROUND((Source!AU33/100)*((ROUND(Source!AF33*Source!I33,0)+ROUND(Source!AE33*Source!I33,0))),0)</f>
        <v>1730</v>
      </c>
      <c r="AJ66">
        <f>Source!Y33</f>
        <v>62351</v>
      </c>
      <c r="AS66">
        <f>IF(Source!BI33&lt;=1,AH66,0)</f>
        <v>107435</v>
      </c>
      <c r="AT66">
        <f>IF(Source!BI33&lt;=1,AJ66,0)</f>
        <v>62351</v>
      </c>
      <c r="BC66">
        <f>IF(Source!BI33=2,AH66,0)</f>
        <v>0</v>
      </c>
      <c r="BD66">
        <f>IF(Source!BI33=2,AJ66,0)</f>
        <v>0</v>
      </c>
    </row>
    <row r="67" ht="25.5">
      <c r="B67" s="45" t="str">
        <f>Source!EO33</f>
        <v>Поправка: МР 519/пр Табл.2, п.1</v>
      </c>
    </row>
    <row r="68" ht="12.75">
      <c r="C68" s="42" t="str">
        <f>"Объем: "&amp;Source!K33&amp;"=1110/"&amp;"100"</f>
        <v>Объем: 11,1=1110/100</v>
      </c>
    </row>
    <row r="69" spans="1:12" ht="14.25">
      <c r="A69" s="74"/>
      <c r="B69" s="75">
        <v>1</v>
      </c>
      <c r="C69" s="74" t="s">
        <v>423</v>
      </c>
      <c r="D69" s="51"/>
      <c r="E69" s="106"/>
      <c r="F69" s="52"/>
      <c r="G69" s="106"/>
      <c r="H69" s="53">
        <f>Source!AO33</f>
        <v>282.66</v>
      </c>
      <c r="I69" s="54">
        <f>ROUND(0.8,7)</f>
        <v>0.8</v>
      </c>
      <c r="J69" s="55">
        <f>ROUND(Source!AF33*Source!I33,0)</f>
        <v>2510</v>
      </c>
      <c r="K69" s="54">
        <f>IF(Source!BA33&lt;&gt;0,Source!BA33,1)</f>
        <v>36.03</v>
      </c>
      <c r="L69" s="55">
        <f>Source!S33</f>
        <v>90437</v>
      </c>
    </row>
    <row r="70" spans="1:12" ht="14.25">
      <c r="A70" s="74"/>
      <c r="B70" s="75">
        <v>3</v>
      </c>
      <c r="C70" s="74" t="s">
        <v>424</v>
      </c>
      <c r="D70" s="51"/>
      <c r="E70" s="106"/>
      <c r="F70" s="52"/>
      <c r="G70" s="106"/>
      <c r="H70" s="53">
        <f>Source!AM33</f>
        <v>43.61</v>
      </c>
      <c r="I70" s="54">
        <f>ROUND(0.8,7)</f>
        <v>0.8</v>
      </c>
      <c r="J70" s="55">
        <f>ROUND(Source!AD33*Source!I33,0)</f>
        <v>387</v>
      </c>
      <c r="K70" s="54">
        <f>IF(Source!BB33&lt;&gt;0,Source!BB33,1)</f>
        <v>16.08</v>
      </c>
      <c r="L70" s="55">
        <f>Source!Q33</f>
        <v>6227</v>
      </c>
    </row>
    <row r="71" spans="1:12" ht="14.25">
      <c r="A71" s="74"/>
      <c r="B71" s="75">
        <v>2</v>
      </c>
      <c r="C71" s="74" t="s">
        <v>436</v>
      </c>
      <c r="D71" s="51"/>
      <c r="E71" s="106"/>
      <c r="F71" s="52"/>
      <c r="G71" s="106"/>
      <c r="H71" s="53">
        <f>Source!AN33</f>
        <v>17.15</v>
      </c>
      <c r="I71" s="54">
        <f>ROUND(0.8,7)</f>
        <v>0.8</v>
      </c>
      <c r="J71" s="61">
        <f>ROUND(Source!AE33*Source!I33,0)</f>
        <v>152</v>
      </c>
      <c r="K71" s="54">
        <f>IF(Source!BS33&lt;&gt;0,Source!BS33,1)</f>
        <v>36.03</v>
      </c>
      <c r="L71" s="61">
        <f>Source!R33</f>
        <v>5487</v>
      </c>
    </row>
    <row r="72" spans="1:12" ht="28.5">
      <c r="A72" s="74"/>
      <c r="B72" s="74" t="str">
        <f>EtalonRes!I20</f>
        <v>04.3.01.09</v>
      </c>
      <c r="C72" s="74" t="str">
        <f>EtalonRes!K20</f>
        <v>Раствор готовый кладочный тяжелый цементный</v>
      </c>
      <c r="D72" s="51" t="str">
        <f>EtalonRes!P20</f>
        <v>м3</v>
      </c>
      <c r="E72" s="106">
        <f>EtalonRes!X20</f>
        <v>2.04</v>
      </c>
      <c r="F72" s="52">
        <f>ROUND(0,7)</f>
        <v>0</v>
      </c>
      <c r="G72" s="106">
        <f>ROUND(EtalonRes!AG20*Source!I33,7)</f>
        <v>0</v>
      </c>
      <c r="H72" s="53"/>
      <c r="I72" s="54"/>
      <c r="J72" s="55"/>
      <c r="K72" s="54"/>
      <c r="L72" s="55"/>
    </row>
    <row r="73" spans="1:12" ht="14.25">
      <c r="A73" s="74"/>
      <c r="B73" s="74"/>
      <c r="C73" s="74" t="s">
        <v>425</v>
      </c>
      <c r="D73" s="51" t="s">
        <v>426</v>
      </c>
      <c r="E73" s="106">
        <f>Source!AQ33</f>
        <v>35.6</v>
      </c>
      <c r="F73" s="52">
        <f>ROUND(0.8,7)</f>
        <v>0.8</v>
      </c>
      <c r="G73" s="106">
        <f>ROUND(Source!U33,7)</f>
        <v>316.128</v>
      </c>
      <c r="H73" s="53"/>
      <c r="I73" s="54"/>
      <c r="J73" s="55"/>
      <c r="K73" s="54"/>
      <c r="L73" s="55"/>
    </row>
    <row r="74" spans="1:12" ht="14.25">
      <c r="A74" s="74"/>
      <c r="B74" s="74"/>
      <c r="C74" s="76" t="s">
        <v>437</v>
      </c>
      <c r="D74" s="56" t="s">
        <v>426</v>
      </c>
      <c r="E74" s="107">
        <f>Source!AR33</f>
        <v>1.27</v>
      </c>
      <c r="F74" s="57">
        <f>ROUND(0.8,7)</f>
        <v>0.8</v>
      </c>
      <c r="G74" s="107">
        <f>ROUND(Source!V33,7)</f>
        <v>11.2776</v>
      </c>
      <c r="H74" s="58"/>
      <c r="I74" s="59"/>
      <c r="J74" s="60"/>
      <c r="K74" s="59"/>
      <c r="L74" s="60"/>
    </row>
    <row r="75" spans="1:12" ht="14.25">
      <c r="A75" s="74"/>
      <c r="B75" s="74"/>
      <c r="C75" s="74" t="s">
        <v>427</v>
      </c>
      <c r="D75" s="51"/>
      <c r="E75" s="106"/>
      <c r="F75" s="52"/>
      <c r="G75" s="106"/>
      <c r="H75" s="53">
        <f>H69+H70</f>
        <v>326.27000000000004</v>
      </c>
      <c r="I75" s="54"/>
      <c r="J75" s="55">
        <f>J69+J70</f>
        <v>2897</v>
      </c>
      <c r="K75" s="54"/>
      <c r="L75" s="55">
        <f>L69+L70</f>
        <v>96664</v>
      </c>
    </row>
    <row r="76" spans="1:56" ht="14.25">
      <c r="A76" s="74" t="s">
        <v>51</v>
      </c>
      <c r="B76" s="74" t="str">
        <f>Source!F35</f>
        <v>01.7.03.01-0001</v>
      </c>
      <c r="C76" s="74" t="str">
        <f>Source!G35</f>
        <v>Вода</v>
      </c>
      <c r="D76" s="51" t="str">
        <f>Source!DW35</f>
        <v>м3</v>
      </c>
      <c r="E76" s="106">
        <f>SmtRes!AT18</f>
        <v>-3.5</v>
      </c>
      <c r="F76" s="52">
        <f>ROUND(0,7)</f>
        <v>0</v>
      </c>
      <c r="G76" s="106">
        <f>Source!I35</f>
        <v>0</v>
      </c>
      <c r="H76" s="53">
        <f>Source!AL35+Source!AO35+Source!AM35</f>
        <v>2.44</v>
      </c>
      <c r="I76" s="54"/>
      <c r="J76" s="55">
        <f>ROUND(Source!AC35*Source!I35,0)+ROUND(Source!AD35*Source!I35,0)+ROUND(Source!AF35*Source!I35,0)</f>
        <v>0</v>
      </c>
      <c r="K76" s="54">
        <f>IF(Source!BC35&lt;&gt;0,Source!BC35,1)</f>
        <v>14.7</v>
      </c>
      <c r="L76" s="55">
        <f>Source!O35</f>
        <v>0</v>
      </c>
      <c r="AF76" s="44">
        <f>J76</f>
        <v>0</v>
      </c>
      <c r="AG76">
        <f>ROUND((Source!AT35/100)*((ROUND(Source!AF35*Source!I35,0)+ROUND(Source!AE35*Source!I35,0))),0)</f>
        <v>0</v>
      </c>
      <c r="AH76">
        <f>Source!X35</f>
        <v>0</v>
      </c>
      <c r="AI76">
        <f>ROUND((Source!AU35/100)*((ROUND(Source!AF35*Source!I35,0)+ROUND(Source!AE35*Source!I35,0))),0)</f>
        <v>0</v>
      </c>
      <c r="AJ76">
        <f>Source!Y35</f>
        <v>0</v>
      </c>
      <c r="AN76">
        <f>IF(Source!BI35&lt;=1,J76,0)</f>
        <v>0</v>
      </c>
      <c r="AO76">
        <f>IF(Source!BI35&lt;=1,J76,0)</f>
        <v>0</v>
      </c>
      <c r="AS76">
        <f>IF(Source!BI35&lt;=1,AH76,0)</f>
        <v>0</v>
      </c>
      <c r="AT76">
        <f>IF(Source!BI35&lt;=1,AJ76,0)</f>
        <v>0</v>
      </c>
      <c r="AX76">
        <f>IF(Source!BI35=2,J76,0)</f>
        <v>0</v>
      </c>
      <c r="AY76">
        <f>IF(Source!BI35=2,J76,0)</f>
        <v>0</v>
      </c>
      <c r="BC76">
        <f>IF(Source!BI35=2,AH76,0)</f>
        <v>0</v>
      </c>
      <c r="BD76">
        <f>IF(Source!BI35=2,AJ76,0)</f>
        <v>0</v>
      </c>
    </row>
    <row r="77" spans="1:12" ht="14.25">
      <c r="A77" s="74"/>
      <c r="B77" s="74"/>
      <c r="C77" s="74" t="s">
        <v>428</v>
      </c>
      <c r="D77" s="51"/>
      <c r="E77" s="106"/>
      <c r="F77" s="52"/>
      <c r="G77" s="106"/>
      <c r="H77" s="53"/>
      <c r="I77" s="54"/>
      <c r="J77" s="55">
        <f>SUM(Q66:Q80)+SUM(V66:V80)+SUM(X66:X80)+SUM(Y66:Y80)</f>
        <v>2662</v>
      </c>
      <c r="K77" s="54"/>
      <c r="L77" s="55">
        <f>SUM(U66:U80)+SUM(W66:W80)+SUM(Z66:Z80)+SUM(AA66:AA80)</f>
        <v>95924</v>
      </c>
    </row>
    <row r="78" spans="1:12" ht="14.25">
      <c r="A78" s="74"/>
      <c r="B78" s="74" t="s">
        <v>49</v>
      </c>
      <c r="C78" s="74" t="s">
        <v>438</v>
      </c>
      <c r="D78" s="51" t="s">
        <v>430</v>
      </c>
      <c r="E78" s="106">
        <f>Source!BZ33</f>
        <v>112</v>
      </c>
      <c r="F78" s="52"/>
      <c r="G78" s="106">
        <f>Source!AT33</f>
        <v>112</v>
      </c>
      <c r="H78" s="53"/>
      <c r="I78" s="54"/>
      <c r="J78" s="55">
        <f>SUM(AG66:AG80)</f>
        <v>2981</v>
      </c>
      <c r="K78" s="54"/>
      <c r="L78" s="55">
        <f>SUM(AH66:AH80)</f>
        <v>107435</v>
      </c>
    </row>
    <row r="79" spans="1:12" ht="14.25">
      <c r="A79" s="76"/>
      <c r="B79" s="76" t="s">
        <v>50</v>
      </c>
      <c r="C79" s="76" t="s">
        <v>439</v>
      </c>
      <c r="D79" s="56" t="s">
        <v>430</v>
      </c>
      <c r="E79" s="107">
        <f>Source!CA33</f>
        <v>65</v>
      </c>
      <c r="F79" s="57"/>
      <c r="G79" s="107">
        <f>Source!AU33</f>
        <v>65</v>
      </c>
      <c r="H79" s="58"/>
      <c r="I79" s="59"/>
      <c r="J79" s="60">
        <f>SUM(AI66:AI80)</f>
        <v>1730</v>
      </c>
      <c r="K79" s="59"/>
      <c r="L79" s="60">
        <f>SUM(AJ66:AJ80)</f>
        <v>62351</v>
      </c>
    </row>
    <row r="80" spans="3:53" ht="15">
      <c r="C80" s="119" t="s">
        <v>432</v>
      </c>
      <c r="D80" s="119"/>
      <c r="E80" s="120"/>
      <c r="F80" s="119"/>
      <c r="G80" s="120"/>
      <c r="H80" s="119"/>
      <c r="I80" s="119">
        <f>J69+J70+J78+J79+SUM(J76:J76)</f>
        <v>7608</v>
      </c>
      <c r="J80" s="119"/>
      <c r="K80" s="119">
        <f>L69+L70+L78+L79+SUM(L76:L76)</f>
        <v>266450</v>
      </c>
      <c r="L80" s="119"/>
      <c r="O80" s="44">
        <f>I80</f>
        <v>7608</v>
      </c>
      <c r="P80" s="44">
        <f>K80</f>
        <v>266450</v>
      </c>
      <c r="Q80" s="44">
        <f>J69</f>
        <v>2510</v>
      </c>
      <c r="R80" s="44">
        <f>J69</f>
        <v>2510</v>
      </c>
      <c r="U80" s="44">
        <f>L69</f>
        <v>90437</v>
      </c>
      <c r="X80" s="44">
        <f>J71</f>
        <v>152</v>
      </c>
      <c r="Z80" s="44">
        <f>L71</f>
        <v>5487</v>
      </c>
      <c r="AB80" s="44">
        <f>J70</f>
        <v>387</v>
      </c>
      <c r="AD80" s="44">
        <f>L70</f>
        <v>6227</v>
      </c>
      <c r="AF80">
        <f>0</f>
        <v>0</v>
      </c>
      <c r="AN80">
        <f>IF(Source!BI33&lt;=1,J69+J70+J78+J79,0)</f>
        <v>7608</v>
      </c>
      <c r="AO80">
        <f>IF(Source!BI33&lt;=1,0,0)</f>
        <v>0</v>
      </c>
      <c r="AP80">
        <f>IF(Source!BI33&lt;=1,J70,0)</f>
        <v>387</v>
      </c>
      <c r="AQ80">
        <f>IF(Source!BI33&lt;=1,J69,0)</f>
        <v>2510</v>
      </c>
      <c r="AX80">
        <f>IF(Source!BI33=2,J69+J70+J78+J79,0)</f>
        <v>0</v>
      </c>
      <c r="AY80">
        <f>IF(Source!BI33=2,0,0)</f>
        <v>0</v>
      </c>
      <c r="AZ80">
        <f>IF(Source!BI33=2,J70,0)</f>
        <v>0</v>
      </c>
      <c r="BA80">
        <f>IF(Source!BI33=2,J69,0)</f>
        <v>0</v>
      </c>
    </row>
    <row r="82" spans="1:95" ht="15">
      <c r="A82" s="63"/>
      <c r="B82" s="64"/>
      <c r="C82" s="114" t="s">
        <v>440</v>
      </c>
      <c r="D82" s="114"/>
      <c r="E82" s="115"/>
      <c r="F82" s="114"/>
      <c r="G82" s="115"/>
      <c r="H82" s="114"/>
      <c r="I82" s="65"/>
      <c r="J82" s="66">
        <f>J84+J85+J86+J87</f>
        <v>6260</v>
      </c>
      <c r="K82" s="67"/>
      <c r="L82" s="66">
        <f>L84+L85+L86+L87</f>
        <v>190380</v>
      </c>
      <c r="CQ82" s="78" t="s">
        <v>440</v>
      </c>
    </row>
    <row r="83" spans="1:12" ht="14.25">
      <c r="A83" s="68"/>
      <c r="B83" s="69"/>
      <c r="C83" s="118" t="s">
        <v>441</v>
      </c>
      <c r="D83" s="116"/>
      <c r="E83" s="117"/>
      <c r="F83" s="116"/>
      <c r="G83" s="117"/>
      <c r="H83" s="116"/>
      <c r="I83" s="70"/>
      <c r="J83" s="71"/>
      <c r="K83" s="72"/>
      <c r="L83" s="71"/>
    </row>
    <row r="84" spans="1:12" ht="14.25">
      <c r="A84" s="68"/>
      <c r="B84" s="69"/>
      <c r="C84" s="116" t="s">
        <v>442</v>
      </c>
      <c r="D84" s="116"/>
      <c r="E84" s="117"/>
      <c r="F84" s="116"/>
      <c r="G84" s="117"/>
      <c r="H84" s="116"/>
      <c r="I84" s="70"/>
      <c r="J84" s="71">
        <f>SUM(Q43:Q80)</f>
        <v>4978</v>
      </c>
      <c r="K84" s="72"/>
      <c r="L84" s="71">
        <f>SUM(U43:U80)</f>
        <v>179364</v>
      </c>
    </row>
    <row r="85" spans="1:12" ht="14.25">
      <c r="A85" s="68"/>
      <c r="B85" s="69"/>
      <c r="C85" s="116" t="s">
        <v>443</v>
      </c>
      <c r="D85" s="116"/>
      <c r="E85" s="117"/>
      <c r="F85" s="116"/>
      <c r="G85" s="117"/>
      <c r="H85" s="116"/>
      <c r="I85" s="70"/>
      <c r="J85" s="71">
        <f>SUM(AB43:AB80)</f>
        <v>1282</v>
      </c>
      <c r="K85" s="72"/>
      <c r="L85" s="71">
        <f>SUM(AD43:AD80)</f>
        <v>11016</v>
      </c>
    </row>
    <row r="86" spans="1:12" ht="13.5" customHeight="1" hidden="1">
      <c r="A86" s="68"/>
      <c r="B86" s="69"/>
      <c r="C86" s="116" t="s">
        <v>444</v>
      </c>
      <c r="D86" s="116"/>
      <c r="E86" s="117"/>
      <c r="F86" s="116"/>
      <c r="G86" s="117"/>
      <c r="H86" s="116"/>
      <c r="I86" s="70"/>
      <c r="J86" s="71">
        <f>SUM(AF43:AF80)-J91</f>
        <v>0</v>
      </c>
      <c r="K86" s="72"/>
      <c r="L86" s="71">
        <f>Source!P40-L91</f>
        <v>0</v>
      </c>
    </row>
    <row r="87" spans="1:12" ht="13.5" customHeight="1" hidden="1">
      <c r="A87" s="68"/>
      <c r="B87" s="69"/>
      <c r="C87" s="116" t="s">
        <v>445</v>
      </c>
      <c r="D87" s="116"/>
      <c r="E87" s="117"/>
      <c r="F87" s="116"/>
      <c r="G87" s="117"/>
      <c r="H87" s="116"/>
      <c r="I87" s="70"/>
      <c r="J87" s="71">
        <f>SUM(AR43:AR80)+SUM(BB43:BB80)+SUM(BI43:BI80)+SUM(BP43:BP80)</f>
        <v>0</v>
      </c>
      <c r="K87" s="72"/>
      <c r="L87" s="71">
        <f>Source!P62</f>
        <v>0</v>
      </c>
    </row>
    <row r="88" spans="1:12" ht="14.25">
      <c r="A88" s="68"/>
      <c r="B88" s="69"/>
      <c r="C88" s="116" t="s">
        <v>446</v>
      </c>
      <c r="D88" s="116"/>
      <c r="E88" s="117"/>
      <c r="F88" s="116"/>
      <c r="G88" s="117"/>
      <c r="H88" s="116"/>
      <c r="I88" s="70"/>
      <c r="J88" s="71">
        <f>SUM(Q43:Q80)+SUM(X43:X80)</f>
        <v>5130</v>
      </c>
      <c r="K88" s="72"/>
      <c r="L88" s="71">
        <f>SUM(U43:U80)+SUM(Z43:Z80)</f>
        <v>184851</v>
      </c>
    </row>
    <row r="89" spans="1:12" ht="14.25">
      <c r="A89" s="68"/>
      <c r="B89" s="69"/>
      <c r="C89" s="116" t="s">
        <v>447</v>
      </c>
      <c r="D89" s="116"/>
      <c r="E89" s="117"/>
      <c r="F89" s="116"/>
      <c r="G89" s="117"/>
      <c r="H89" s="116"/>
      <c r="I89" s="70"/>
      <c r="J89" s="71">
        <f>SUM(AG43:AG80)</f>
        <v>5512</v>
      </c>
      <c r="K89" s="72"/>
      <c r="L89" s="71">
        <f>Source!P63</f>
        <v>198639</v>
      </c>
    </row>
    <row r="90" spans="1:12" ht="14.25">
      <c r="A90" s="68"/>
      <c r="B90" s="69"/>
      <c r="C90" s="116" t="s">
        <v>448</v>
      </c>
      <c r="D90" s="116"/>
      <c r="E90" s="117"/>
      <c r="F90" s="116"/>
      <c r="G90" s="117"/>
      <c r="H90" s="116"/>
      <c r="I90" s="70"/>
      <c r="J90" s="71">
        <f>SUM(AI43:AI80)</f>
        <v>3180</v>
      </c>
      <c r="K90" s="72"/>
      <c r="L90" s="71">
        <f>Source!P64</f>
        <v>114590</v>
      </c>
    </row>
    <row r="91" spans="1:12" ht="13.5" customHeight="1" hidden="1">
      <c r="A91" s="68"/>
      <c r="B91" s="69"/>
      <c r="C91" s="116" t="s">
        <v>449</v>
      </c>
      <c r="D91" s="116"/>
      <c r="E91" s="117"/>
      <c r="F91" s="116"/>
      <c r="G91" s="117"/>
      <c r="H91" s="116"/>
      <c r="I91" s="70"/>
      <c r="J91" s="71">
        <f>SUM(BH43:BH80)</f>
        <v>0</v>
      </c>
      <c r="K91" s="72"/>
      <c r="L91" s="71">
        <f>Source!P46</f>
        <v>0</v>
      </c>
    </row>
    <row r="92" spans="1:12" ht="13.5" customHeight="1" hidden="1">
      <c r="A92" s="68"/>
      <c r="B92" s="69"/>
      <c r="C92" s="116" t="s">
        <v>450</v>
      </c>
      <c r="D92" s="116"/>
      <c r="E92" s="117"/>
      <c r="F92" s="116"/>
      <c r="G92" s="117"/>
      <c r="H92" s="116"/>
      <c r="I92" s="70"/>
      <c r="J92" s="71">
        <f>SUM(BM43:BM80)+SUM(BN43:BN80)+SUM(BO43:BO80)+SUM(BP43:BP80)</f>
        <v>0</v>
      </c>
      <c r="K92" s="72"/>
      <c r="L92" s="71">
        <f>Source!P56</f>
        <v>0</v>
      </c>
    </row>
    <row r="93" spans="1:12" ht="15">
      <c r="A93" s="63"/>
      <c r="B93" s="64"/>
      <c r="C93" s="114" t="s">
        <v>451</v>
      </c>
      <c r="D93" s="114"/>
      <c r="E93" s="115"/>
      <c r="F93" s="114"/>
      <c r="G93" s="115"/>
      <c r="H93" s="114"/>
      <c r="I93" s="65"/>
      <c r="J93" s="66">
        <f>J82+J89+J90+J91</f>
        <v>14952</v>
      </c>
      <c r="K93" s="67"/>
      <c r="L93" s="66">
        <f>Source!P65</f>
        <v>503609</v>
      </c>
    </row>
    <row r="94" spans="1:12" ht="13.5" customHeight="1" hidden="1">
      <c r="A94" s="68"/>
      <c r="B94" s="69"/>
      <c r="C94" s="118" t="s">
        <v>452</v>
      </c>
      <c r="D94" s="116"/>
      <c r="E94" s="117"/>
      <c r="F94" s="116"/>
      <c r="G94" s="117"/>
      <c r="H94" s="116"/>
      <c r="I94" s="70"/>
      <c r="J94" s="71"/>
      <c r="K94" s="72"/>
      <c r="L94" s="71"/>
    </row>
    <row r="95" spans="1:12" ht="13.5" customHeight="1" hidden="1">
      <c r="A95" s="68"/>
      <c r="B95" s="69"/>
      <c r="C95" s="116" t="s">
        <v>453</v>
      </c>
      <c r="D95" s="116"/>
      <c r="E95" s="117"/>
      <c r="F95" s="116"/>
      <c r="G95" s="117"/>
      <c r="H95" s="116"/>
      <c r="I95" s="70"/>
      <c r="J95" s="71"/>
      <c r="K95" s="72"/>
      <c r="L95" s="71">
        <f>SUM(BS43:BS80)</f>
        <v>0</v>
      </c>
    </row>
    <row r="96" spans="1:12" ht="13.5" customHeight="1" hidden="1">
      <c r="A96" s="68"/>
      <c r="B96" s="69"/>
      <c r="C96" s="116" t="s">
        <v>454</v>
      </c>
      <c r="D96" s="116"/>
      <c r="E96" s="117"/>
      <c r="F96" s="116"/>
      <c r="G96" s="117"/>
      <c r="H96" s="116"/>
      <c r="I96" s="70"/>
      <c r="J96" s="71"/>
      <c r="K96" s="72"/>
      <c r="L96" s="71">
        <f>SUM(BT43:BT80)</f>
        <v>0</v>
      </c>
    </row>
    <row r="98" spans="1:12" ht="16.5">
      <c r="A98" s="121" t="s">
        <v>455</v>
      </c>
      <c r="B98" s="121"/>
      <c r="C98" s="121"/>
      <c r="D98" s="121"/>
      <c r="E98" s="122"/>
      <c r="F98" s="121"/>
      <c r="G98" s="122"/>
      <c r="H98" s="121"/>
      <c r="I98" s="121"/>
      <c r="J98" s="121"/>
      <c r="K98" s="121"/>
      <c r="L98" s="121"/>
    </row>
    <row r="99" spans="1:56" ht="105">
      <c r="A99" s="74">
        <v>4</v>
      </c>
      <c r="B99" s="74" t="str">
        <f>Source!F72</f>
        <v>12-01-017-01</v>
      </c>
      <c r="C99" s="74" t="s">
        <v>456</v>
      </c>
      <c r="D99" s="51" t="str">
        <f>Source!DW72</f>
        <v>100 м2</v>
      </c>
      <c r="E99" s="106">
        <f>Source!K72</f>
        <v>11.1</v>
      </c>
      <c r="F99" s="52"/>
      <c r="G99" s="106">
        <f>Source!I72</f>
        <v>11.1</v>
      </c>
      <c r="H99" s="53"/>
      <c r="I99" s="54"/>
      <c r="J99" s="55"/>
      <c r="K99" s="54"/>
      <c r="L99" s="55"/>
      <c r="AG99">
        <f>ROUND((Source!AT72/100)*((ROUND(Source!AF72*Source!I72,0)+ROUND(Source!AE72*Source!I72,0))),0)</f>
        <v>3251</v>
      </c>
      <c r="AH99">
        <f>Source!X72</f>
        <v>117164</v>
      </c>
      <c r="AI99">
        <f>ROUND((Source!AU72/100)*((ROUND(Source!AF72*Source!I72,0)+ROUND(Source!AE72*Source!I72,0))),0)</f>
        <v>1700</v>
      </c>
      <c r="AJ99">
        <f>Source!Y72</f>
        <v>61269</v>
      </c>
      <c r="AS99">
        <f>IF(Source!BI72&lt;=1,AH99,0)</f>
        <v>117164</v>
      </c>
      <c r="AT99">
        <f>IF(Source!BI72&lt;=1,AJ99,0)</f>
        <v>61269</v>
      </c>
      <c r="BC99">
        <f>IF(Source!BI72=2,AH99,0)</f>
        <v>0</v>
      </c>
      <c r="BD99">
        <f>IF(Source!BI72=2,AJ99,0)</f>
        <v>0</v>
      </c>
    </row>
    <row r="100" ht="25.5">
      <c r="B100" s="45" t="str">
        <f>Source!EO72</f>
        <v>Поправка: МР 519/пр п.6.7.1</v>
      </c>
    </row>
    <row r="101" ht="12.75">
      <c r="C101" s="42" t="str">
        <f>"Объем: "&amp;Source!K72&amp;"=1110/"&amp;"100"</f>
        <v>Объем: 11,1=1110/100</v>
      </c>
    </row>
    <row r="102" spans="1:12" ht="14.25">
      <c r="A102" s="74"/>
      <c r="B102" s="75">
        <v>1</v>
      </c>
      <c r="C102" s="74" t="s">
        <v>423</v>
      </c>
      <c r="D102" s="51"/>
      <c r="E102" s="106"/>
      <c r="F102" s="52"/>
      <c r="G102" s="106"/>
      <c r="H102" s="53">
        <f>Source!AO72</f>
        <v>209.95</v>
      </c>
      <c r="I102" s="54">
        <f>ROUND(1.15,7)</f>
        <v>1.15</v>
      </c>
      <c r="J102" s="55">
        <f>ROUND(Source!AF72*Source!I72,0)</f>
        <v>2680</v>
      </c>
      <c r="K102" s="54">
        <f>IF(Source!BA72&lt;&gt;0,Source!BA72,1)</f>
        <v>36.03</v>
      </c>
      <c r="L102" s="55">
        <f>Source!S72</f>
        <v>96560</v>
      </c>
    </row>
    <row r="103" spans="1:12" ht="14.25">
      <c r="A103" s="74"/>
      <c r="B103" s="75">
        <v>3</v>
      </c>
      <c r="C103" s="74" t="s">
        <v>424</v>
      </c>
      <c r="D103" s="51"/>
      <c r="E103" s="106"/>
      <c r="F103" s="52"/>
      <c r="G103" s="106"/>
      <c r="H103" s="53">
        <f>Source!AM72</f>
        <v>189.93</v>
      </c>
      <c r="I103" s="54">
        <f>ROUND(1.25,7)</f>
        <v>1.25</v>
      </c>
      <c r="J103" s="55">
        <f>ROUND(Source!AD72*Source!I72,0)</f>
        <v>2635</v>
      </c>
      <c r="K103" s="54">
        <f>IF(Source!BB72&lt;&gt;0,Source!BB72,1)</f>
        <v>8.74</v>
      </c>
      <c r="L103" s="55">
        <f>Source!Q72</f>
        <v>23033</v>
      </c>
    </row>
    <row r="104" spans="1:12" ht="14.25">
      <c r="A104" s="74"/>
      <c r="B104" s="75">
        <v>2</v>
      </c>
      <c r="C104" s="74" t="s">
        <v>436</v>
      </c>
      <c r="D104" s="51"/>
      <c r="E104" s="106"/>
      <c r="F104" s="52"/>
      <c r="G104" s="106"/>
      <c r="H104" s="53">
        <f>Source!AN72</f>
        <v>21.86</v>
      </c>
      <c r="I104" s="54">
        <f>ROUND(1.25,7)</f>
        <v>1.25</v>
      </c>
      <c r="J104" s="61">
        <f>ROUND(Source!AE72*Source!I72,0)</f>
        <v>303</v>
      </c>
      <c r="K104" s="54">
        <f>IF(Source!BS72&lt;&gt;0,Source!BS72,1)</f>
        <v>36.03</v>
      </c>
      <c r="L104" s="61">
        <f>Source!R72</f>
        <v>10930</v>
      </c>
    </row>
    <row r="105" spans="1:12" ht="14.25">
      <c r="A105" s="74"/>
      <c r="B105" s="75">
        <v>4</v>
      </c>
      <c r="C105" s="74" t="s">
        <v>457</v>
      </c>
      <c r="D105" s="51"/>
      <c r="E105" s="106"/>
      <c r="F105" s="52"/>
      <c r="G105" s="106"/>
      <c r="H105" s="53">
        <f>Source!AL72</f>
        <v>36.67</v>
      </c>
      <c r="I105" s="54"/>
      <c r="J105" s="55">
        <f>ROUND(Source!AC72*Source!I72,0)</f>
        <v>407</v>
      </c>
      <c r="K105" s="54">
        <f>IF(Source!BC72&lt;&gt;0,Source!BC72,1)</f>
        <v>10.31</v>
      </c>
      <c r="L105" s="55">
        <f>Source!P72</f>
        <v>4197</v>
      </c>
    </row>
    <row r="106" spans="1:12" ht="28.5">
      <c r="A106" s="74"/>
      <c r="B106" s="74" t="str">
        <f>EtalonRes!I35</f>
        <v>04.3.01.09</v>
      </c>
      <c r="C106" s="74" t="str">
        <f>EtalonRes!K35</f>
        <v>Раствор готовый кладочный тяжелый цементный</v>
      </c>
      <c r="D106" s="51" t="str">
        <f>EtalonRes!P35</f>
        <v>м3</v>
      </c>
      <c r="E106" s="106">
        <f>EtalonRes!X35</f>
        <v>1.53</v>
      </c>
      <c r="F106" s="52"/>
      <c r="G106" s="106">
        <f>ROUND(EtalonRes!AG35*Source!I72,7)</f>
        <v>16.983</v>
      </c>
      <c r="H106" s="53"/>
      <c r="I106" s="54"/>
      <c r="J106" s="55"/>
      <c r="K106" s="54"/>
      <c r="L106" s="55"/>
    </row>
    <row r="107" spans="1:12" ht="14.25">
      <c r="A107" s="74"/>
      <c r="B107" s="74"/>
      <c r="C107" s="74" t="s">
        <v>425</v>
      </c>
      <c r="D107" s="51" t="s">
        <v>426</v>
      </c>
      <c r="E107" s="106">
        <f>Source!AQ72</f>
        <v>24.3</v>
      </c>
      <c r="F107" s="52">
        <f>ROUND(1.15,7)</f>
        <v>1.15</v>
      </c>
      <c r="G107" s="106">
        <f>ROUND(Source!U72,7)</f>
        <v>310.1895</v>
      </c>
      <c r="H107" s="53"/>
      <c r="I107" s="54"/>
      <c r="J107" s="55"/>
      <c r="K107" s="54"/>
      <c r="L107" s="55"/>
    </row>
    <row r="108" spans="1:12" ht="14.25">
      <c r="A108" s="74"/>
      <c r="B108" s="74"/>
      <c r="C108" s="76" t="s">
        <v>437</v>
      </c>
      <c r="D108" s="56" t="s">
        <v>426</v>
      </c>
      <c r="E108" s="107">
        <f>Source!AR72</f>
        <v>1.94</v>
      </c>
      <c r="F108" s="57">
        <f>ROUND(1.25,7)</f>
        <v>1.25</v>
      </c>
      <c r="G108" s="107">
        <f>ROUND(Source!V72,7)</f>
        <v>26.9175</v>
      </c>
      <c r="H108" s="58"/>
      <c r="I108" s="59"/>
      <c r="J108" s="60"/>
      <c r="K108" s="59"/>
      <c r="L108" s="60"/>
    </row>
    <row r="109" spans="1:12" ht="14.25">
      <c r="A109" s="74"/>
      <c r="B109" s="74"/>
      <c r="C109" s="74" t="s">
        <v>427</v>
      </c>
      <c r="D109" s="51"/>
      <c r="E109" s="106"/>
      <c r="F109" s="52"/>
      <c r="G109" s="106"/>
      <c r="H109" s="53">
        <f>H102+H103+H105</f>
        <v>436.55</v>
      </c>
      <c r="I109" s="54"/>
      <c r="J109" s="55">
        <f>J102+J103+J105</f>
        <v>5722</v>
      </c>
      <c r="K109" s="54"/>
      <c r="L109" s="55">
        <f>L102+L103+L105</f>
        <v>123790</v>
      </c>
    </row>
    <row r="110" spans="1:56" ht="28.5">
      <c r="A110" s="74" t="s">
        <v>122</v>
      </c>
      <c r="B110" s="74" t="str">
        <f>Source!F74</f>
        <v>04.3.02.11-0011</v>
      </c>
      <c r="C110" s="74" t="str">
        <f>Source!G74</f>
        <v>Смеси сухие цементные (пескобетон), класс B22,5 (M300)</v>
      </c>
      <c r="D110" s="51" t="str">
        <f>Source!DW74</f>
        <v>т</v>
      </c>
      <c r="E110" s="106">
        <f>SmtRes!AT33</f>
        <v>2.707965</v>
      </c>
      <c r="F110" s="52"/>
      <c r="G110" s="106">
        <f>Source!I74</f>
        <v>30.058412</v>
      </c>
      <c r="H110" s="53">
        <f>Source!AL74+Source!AO74+Source!AM74</f>
        <v>1243.05</v>
      </c>
      <c r="I110" s="54"/>
      <c r="J110" s="55">
        <f>ROUND(Source!AC74*Source!I74,0)+ROUND(Source!AD74*Source!I74,0)+ROUND(Source!AF74*Source!I74,0)</f>
        <v>37364</v>
      </c>
      <c r="K110" s="54">
        <f>IF(Source!BC74&lt;&gt;0,Source!BC74,1)</f>
        <v>4.54</v>
      </c>
      <c r="L110" s="55">
        <f>Source!O74</f>
        <v>169633</v>
      </c>
      <c r="AF110" s="44">
        <f>J110</f>
        <v>37364</v>
      </c>
      <c r="AG110">
        <f>ROUND((Source!AT74/100)*((ROUND(Source!AF74*Source!I74,0)+ROUND(Source!AE74*Source!I74,0))),0)</f>
        <v>0</v>
      </c>
      <c r="AH110">
        <f>Source!X74</f>
        <v>0</v>
      </c>
      <c r="AI110">
        <f>ROUND((Source!AU74/100)*((ROUND(Source!AF74*Source!I74,0)+ROUND(Source!AE74*Source!I74,0))),0)</f>
        <v>0</v>
      </c>
      <c r="AJ110">
        <f>Source!Y74</f>
        <v>0</v>
      </c>
      <c r="AN110">
        <f>IF(Source!BI74&lt;=1,J110,0)</f>
        <v>37364</v>
      </c>
      <c r="AO110">
        <f>IF(Source!BI74&lt;=1,J110,0)</f>
        <v>37364</v>
      </c>
      <c r="AS110">
        <f>IF(Source!BI74&lt;=1,AH110,0)</f>
        <v>0</v>
      </c>
      <c r="AT110">
        <f>IF(Source!BI74&lt;=1,AJ110,0)</f>
        <v>0</v>
      </c>
      <c r="AX110">
        <f>IF(Source!BI74=2,J110,0)</f>
        <v>0</v>
      </c>
      <c r="AY110">
        <f>IF(Source!BI74=2,J110,0)</f>
        <v>0</v>
      </c>
      <c r="BC110">
        <f>IF(Source!BI74=2,AH110,0)</f>
        <v>0</v>
      </c>
      <c r="BD110">
        <f>IF(Source!BI74=2,AJ110,0)</f>
        <v>0</v>
      </c>
    </row>
    <row r="111" spans="1:12" ht="14.25">
      <c r="A111" s="74"/>
      <c r="B111" s="74"/>
      <c r="C111" s="74" t="s">
        <v>428</v>
      </c>
      <c r="D111" s="51"/>
      <c r="E111" s="106"/>
      <c r="F111" s="52"/>
      <c r="G111" s="106"/>
      <c r="H111" s="53"/>
      <c r="I111" s="54"/>
      <c r="J111" s="55">
        <f>SUM(Q99:Q114)+SUM(V99:V114)+SUM(X99:X114)+SUM(Y99:Y114)</f>
        <v>2983</v>
      </c>
      <c r="K111" s="54"/>
      <c r="L111" s="55">
        <f>SUM(U99:U114)+SUM(W99:W114)+SUM(Z99:Z114)+SUM(AA99:AA114)</f>
        <v>107490</v>
      </c>
    </row>
    <row r="112" spans="1:12" ht="14.25">
      <c r="A112" s="74"/>
      <c r="B112" s="74" t="s">
        <v>120</v>
      </c>
      <c r="C112" s="74" t="s">
        <v>458</v>
      </c>
      <c r="D112" s="51" t="s">
        <v>430</v>
      </c>
      <c r="E112" s="106">
        <f>Source!BZ72</f>
        <v>109</v>
      </c>
      <c r="F112" s="52"/>
      <c r="G112" s="106">
        <f>Source!AT72</f>
        <v>109</v>
      </c>
      <c r="H112" s="53"/>
      <c r="I112" s="54"/>
      <c r="J112" s="55">
        <f>SUM(AG99:AG114)</f>
        <v>3251</v>
      </c>
      <c r="K112" s="54"/>
      <c r="L112" s="55">
        <f>SUM(AH99:AH114)</f>
        <v>117164</v>
      </c>
    </row>
    <row r="113" spans="1:12" ht="14.25">
      <c r="A113" s="76"/>
      <c r="B113" s="76" t="s">
        <v>121</v>
      </c>
      <c r="C113" s="76" t="s">
        <v>459</v>
      </c>
      <c r="D113" s="56" t="s">
        <v>430</v>
      </c>
      <c r="E113" s="107">
        <f>Source!CA72</f>
        <v>57</v>
      </c>
      <c r="F113" s="57"/>
      <c r="G113" s="107">
        <f>Source!AU72</f>
        <v>57</v>
      </c>
      <c r="H113" s="58"/>
      <c r="I113" s="59"/>
      <c r="J113" s="60">
        <f>SUM(AI99:AI114)</f>
        <v>1700</v>
      </c>
      <c r="K113" s="59"/>
      <c r="L113" s="60">
        <f>SUM(AJ99:AJ114)</f>
        <v>61269</v>
      </c>
    </row>
    <row r="114" spans="3:53" ht="15">
      <c r="C114" s="119" t="s">
        <v>432</v>
      </c>
      <c r="D114" s="119"/>
      <c r="E114" s="120"/>
      <c r="F114" s="119"/>
      <c r="G114" s="120"/>
      <c r="H114" s="119"/>
      <c r="I114" s="119">
        <f>J102+J103+J105+J112+J113+SUM(J110:J110)</f>
        <v>48037</v>
      </c>
      <c r="J114" s="119"/>
      <c r="K114" s="119">
        <f>L102+L103+L105+L112+L113+SUM(L110:L110)</f>
        <v>471856</v>
      </c>
      <c r="L114" s="119"/>
      <c r="O114" s="44">
        <f>I114</f>
        <v>48037</v>
      </c>
      <c r="P114" s="44">
        <f>K114</f>
        <v>471856</v>
      </c>
      <c r="Q114" s="44">
        <f>J102</f>
        <v>2680</v>
      </c>
      <c r="R114" s="44">
        <f>J102</f>
        <v>2680</v>
      </c>
      <c r="U114" s="44">
        <f>L102</f>
        <v>96560</v>
      </c>
      <c r="X114" s="44">
        <f>J104</f>
        <v>303</v>
      </c>
      <c r="Z114" s="44">
        <f>L104</f>
        <v>10930</v>
      </c>
      <c r="AB114" s="44">
        <f>J103</f>
        <v>2635</v>
      </c>
      <c r="AD114" s="44">
        <f>L103</f>
        <v>23033</v>
      </c>
      <c r="AF114" s="44">
        <f>J105</f>
        <v>407</v>
      </c>
      <c r="AN114">
        <f>IF(Source!BI72&lt;=1,J102+J103+J105+J112+J113,0)</f>
        <v>10673</v>
      </c>
      <c r="AO114">
        <f>IF(Source!BI72&lt;=1,J105,0)</f>
        <v>407</v>
      </c>
      <c r="AP114">
        <f>IF(Source!BI72&lt;=1,J103,0)</f>
        <v>2635</v>
      </c>
      <c r="AQ114">
        <f>IF(Source!BI72&lt;=1,J102,0)</f>
        <v>2680</v>
      </c>
      <c r="AX114">
        <f>IF(Source!BI72=2,J102+J103+J105+J112+J113,0)</f>
        <v>0</v>
      </c>
      <c r="AY114">
        <f>IF(Source!BI72=2,J105,0)</f>
        <v>0</v>
      </c>
      <c r="AZ114">
        <f>IF(Source!BI72=2,J103,0)</f>
        <v>0</v>
      </c>
      <c r="BA114">
        <f>IF(Source!BI72=2,J102,0)</f>
        <v>0</v>
      </c>
    </row>
    <row r="115" spans="1:56" ht="146.25">
      <c r="A115" s="74">
        <v>5</v>
      </c>
      <c r="B115" s="74" t="str">
        <f>Source!F76</f>
        <v>12-01-017-02</v>
      </c>
      <c r="C115" s="74" t="s">
        <v>460</v>
      </c>
      <c r="D115" s="51" t="str">
        <f>Source!DW76</f>
        <v>100 м2</v>
      </c>
      <c r="E115" s="106">
        <f>Source!K76</f>
        <v>5.5</v>
      </c>
      <c r="F115" s="52"/>
      <c r="G115" s="106">
        <f>Source!I76</f>
        <v>5.5</v>
      </c>
      <c r="H115" s="53"/>
      <c r="I115" s="54"/>
      <c r="J115" s="55"/>
      <c r="K115" s="54"/>
      <c r="L115" s="55"/>
      <c r="AG115">
        <f>ROUND((Source!AT76/100)*((ROUND(Source!AF76*Source!I76,0)+ROUND(Source!AE76*Source!I76,0))),0)</f>
        <v>311</v>
      </c>
      <c r="AH115">
        <f>Source!X76</f>
        <v>11191</v>
      </c>
      <c r="AI115">
        <f>ROUND((Source!AU76/100)*((ROUND(Source!AF76*Source!I76,0)+ROUND(Source!AE76*Source!I76,0))),0)</f>
        <v>162</v>
      </c>
      <c r="AJ115">
        <f>Source!Y76</f>
        <v>5852</v>
      </c>
      <c r="AS115">
        <f>IF(Source!BI76&lt;=1,AH115,0)</f>
        <v>11191</v>
      </c>
      <c r="AT115">
        <f>IF(Source!BI76&lt;=1,AJ115,0)</f>
        <v>5852</v>
      </c>
      <c r="BC115">
        <f>IF(Source!BI76=2,AH115,0)</f>
        <v>0</v>
      </c>
      <c r="BD115">
        <f>IF(Source!BI76=2,AJ115,0)</f>
        <v>0</v>
      </c>
    </row>
    <row r="116" ht="25.5">
      <c r="B116" s="45" t="str">
        <f>Source!EO76</f>
        <v>Поправка: МР 519/пр п.6.7.1</v>
      </c>
    </row>
    <row r="117" ht="12.75">
      <c r="C117" s="42" t="str">
        <f>"Объем: "&amp;Source!K76&amp;"=550/"&amp;"100"</f>
        <v>Объем: 5,5=550/100</v>
      </c>
    </row>
    <row r="118" spans="1:12" ht="14.25">
      <c r="A118" s="74"/>
      <c r="B118" s="75">
        <v>1</v>
      </c>
      <c r="C118" s="74" t="s">
        <v>423</v>
      </c>
      <c r="D118" s="51"/>
      <c r="E118" s="106"/>
      <c r="F118" s="52"/>
      <c r="G118" s="106"/>
      <c r="H118" s="53">
        <f>Source!AO76</f>
        <v>8.64</v>
      </c>
      <c r="I118" s="54">
        <f>ROUND((1.15)*5,7)</f>
        <v>5.75</v>
      </c>
      <c r="J118" s="55">
        <f>ROUND(Source!AF76*Source!I76,0)</f>
        <v>273</v>
      </c>
      <c r="K118" s="54">
        <f>IF(Source!BA76&lt;&gt;0,Source!BA76,1)</f>
        <v>36.03</v>
      </c>
      <c r="L118" s="55">
        <f>Source!S76</f>
        <v>9845</v>
      </c>
    </row>
    <row r="119" spans="1:12" ht="14.25">
      <c r="A119" s="74"/>
      <c r="B119" s="75">
        <v>3</v>
      </c>
      <c r="C119" s="74" t="s">
        <v>424</v>
      </c>
      <c r="D119" s="51"/>
      <c r="E119" s="106"/>
      <c r="F119" s="52"/>
      <c r="G119" s="106"/>
      <c r="H119" s="53">
        <f>Source!AM76</f>
        <v>2.66</v>
      </c>
      <c r="I119" s="54">
        <f>ROUND((1.25)*5,7)</f>
        <v>6.25</v>
      </c>
      <c r="J119" s="55">
        <f>ROUND(Source!AD76*Source!I76,0)</f>
        <v>91</v>
      </c>
      <c r="K119" s="54">
        <f>IF(Source!BB76&lt;&gt;0,Source!BB76,1)</f>
        <v>8.99</v>
      </c>
      <c r="L119" s="55">
        <f>Source!Q76</f>
        <v>822</v>
      </c>
    </row>
    <row r="120" spans="1:12" ht="14.25">
      <c r="A120" s="74"/>
      <c r="B120" s="75">
        <v>2</v>
      </c>
      <c r="C120" s="74" t="s">
        <v>436</v>
      </c>
      <c r="D120" s="51"/>
      <c r="E120" s="106"/>
      <c r="F120" s="52"/>
      <c r="G120" s="106"/>
      <c r="H120" s="53">
        <f>Source!AN76</f>
        <v>0.34</v>
      </c>
      <c r="I120" s="54">
        <f>ROUND((1.25)*5,7)</f>
        <v>6.25</v>
      </c>
      <c r="J120" s="61">
        <f>ROUND(Source!AE76*Source!I76,0)</f>
        <v>12</v>
      </c>
      <c r="K120" s="54">
        <f>IF(Source!BS76&lt;&gt;0,Source!BS76,1)</f>
        <v>36.03</v>
      </c>
      <c r="L120" s="61">
        <f>Source!R76</f>
        <v>422</v>
      </c>
    </row>
    <row r="121" spans="1:12" ht="28.5">
      <c r="A121" s="74"/>
      <c r="B121" s="74" t="str">
        <f>EtalonRes!I46</f>
        <v>04.3.01.09</v>
      </c>
      <c r="C121" s="74" t="str">
        <f>EtalonRes!K46</f>
        <v>Раствор готовый кладочный тяжелый цементный</v>
      </c>
      <c r="D121" s="51" t="str">
        <f>EtalonRes!P46</f>
        <v>м3</v>
      </c>
      <c r="E121" s="106">
        <f>EtalonRes!X46</f>
        <v>0.102</v>
      </c>
      <c r="F121" s="52">
        <f>ROUND(5,7)</f>
        <v>5</v>
      </c>
      <c r="G121" s="106">
        <f>ROUND(EtalonRes!AG46*Source!I76,7)</f>
        <v>2.805</v>
      </c>
      <c r="H121" s="53"/>
      <c r="I121" s="54"/>
      <c r="J121" s="55"/>
      <c r="K121" s="54"/>
      <c r="L121" s="55"/>
    </row>
    <row r="122" spans="1:12" ht="14.25">
      <c r="A122" s="74"/>
      <c r="B122" s="74"/>
      <c r="C122" s="74" t="s">
        <v>425</v>
      </c>
      <c r="D122" s="51" t="s">
        <v>426</v>
      </c>
      <c r="E122" s="106">
        <f>Source!AQ76</f>
        <v>1</v>
      </c>
      <c r="F122" s="52">
        <f>ROUND((1.15)*5,7)</f>
        <v>5.75</v>
      </c>
      <c r="G122" s="106">
        <f>ROUND(Source!U76,7)</f>
        <v>31.625</v>
      </c>
      <c r="H122" s="53"/>
      <c r="I122" s="54"/>
      <c r="J122" s="55"/>
      <c r="K122" s="54"/>
      <c r="L122" s="55"/>
    </row>
    <row r="123" spans="1:12" ht="14.25">
      <c r="A123" s="74"/>
      <c r="B123" s="74"/>
      <c r="C123" s="76" t="s">
        <v>437</v>
      </c>
      <c r="D123" s="56" t="s">
        <v>426</v>
      </c>
      <c r="E123" s="107">
        <f>Source!AR76</f>
        <v>0.03</v>
      </c>
      <c r="F123" s="57">
        <f>ROUND((1.25)*5,7)</f>
        <v>6.25</v>
      </c>
      <c r="G123" s="107">
        <f>ROUND(Source!V76,7)</f>
        <v>1.03125</v>
      </c>
      <c r="H123" s="58"/>
      <c r="I123" s="59"/>
      <c r="J123" s="60"/>
      <c r="K123" s="59"/>
      <c r="L123" s="60"/>
    </row>
    <row r="124" spans="1:12" ht="14.25">
      <c r="A124" s="74"/>
      <c r="B124" s="74"/>
      <c r="C124" s="74" t="s">
        <v>427</v>
      </c>
      <c r="D124" s="51"/>
      <c r="E124" s="106"/>
      <c r="F124" s="52"/>
      <c r="G124" s="106"/>
      <c r="H124" s="53">
        <f>H118+H119</f>
        <v>11.3</v>
      </c>
      <c r="I124" s="54"/>
      <c r="J124" s="55">
        <f>J118+J119</f>
        <v>364</v>
      </c>
      <c r="K124" s="54"/>
      <c r="L124" s="55">
        <f>L118+L119</f>
        <v>10667</v>
      </c>
    </row>
    <row r="125" spans="1:56" ht="28.5">
      <c r="A125" s="74" t="s">
        <v>134</v>
      </c>
      <c r="B125" s="74" t="str">
        <f>Source!F78</f>
        <v>04.3.02.11-0011</v>
      </c>
      <c r="C125" s="74" t="str">
        <f>Source!G78</f>
        <v>Смеси сухие цементные (пескобетон), класс B22,5 (M300)</v>
      </c>
      <c r="D125" s="51" t="str">
        <f>Source!DW78</f>
        <v>т</v>
      </c>
      <c r="E125" s="106">
        <f>SmtRes!AT44</f>
        <v>0.903636</v>
      </c>
      <c r="F125" s="52"/>
      <c r="G125" s="106">
        <f>Source!I78</f>
        <v>4.97</v>
      </c>
      <c r="H125" s="53">
        <f>Source!AL78+Source!AO78+Source!AM78</f>
        <v>1243.05</v>
      </c>
      <c r="I125" s="54"/>
      <c r="J125" s="55">
        <f>ROUND(Source!AC78*Source!I78,0)+ROUND(Source!AD78*Source!I78,0)+ROUND(Source!AF78*Source!I78,0)</f>
        <v>6178</v>
      </c>
      <c r="K125" s="54">
        <f>IF(Source!BC78&lt;&gt;0,Source!BC78,1)</f>
        <v>4.54</v>
      </c>
      <c r="L125" s="55">
        <f>Source!O78</f>
        <v>28048</v>
      </c>
      <c r="AF125" s="44">
        <f>J125</f>
        <v>6178</v>
      </c>
      <c r="AG125">
        <f>ROUND((Source!AT78/100)*((ROUND(Source!AF78*Source!I78,0)+ROUND(Source!AE78*Source!I78,0))),0)</f>
        <v>0</v>
      </c>
      <c r="AH125">
        <f>Source!X78</f>
        <v>0</v>
      </c>
      <c r="AI125">
        <f>ROUND((Source!AU78/100)*((ROUND(Source!AF78*Source!I78,0)+ROUND(Source!AE78*Source!I78,0))),0)</f>
        <v>0</v>
      </c>
      <c r="AJ125">
        <f>Source!Y78</f>
        <v>0</v>
      </c>
      <c r="AN125">
        <f>IF(Source!BI78&lt;=1,J125,0)</f>
        <v>6178</v>
      </c>
      <c r="AO125">
        <f>IF(Source!BI78&lt;=1,J125,0)</f>
        <v>6178</v>
      </c>
      <c r="AS125">
        <f>IF(Source!BI78&lt;=1,AH125,0)</f>
        <v>0</v>
      </c>
      <c r="AT125">
        <f>IF(Source!BI78&lt;=1,AJ125,0)</f>
        <v>0</v>
      </c>
      <c r="AX125">
        <f>IF(Source!BI78=2,J125,0)</f>
        <v>0</v>
      </c>
      <c r="AY125">
        <f>IF(Source!BI78=2,J125,0)</f>
        <v>0</v>
      </c>
      <c r="BC125">
        <f>IF(Source!BI78=2,AH125,0)</f>
        <v>0</v>
      </c>
      <c r="BD125">
        <f>IF(Source!BI78=2,AJ125,0)</f>
        <v>0</v>
      </c>
    </row>
    <row r="126" spans="1:12" ht="14.25">
      <c r="A126" s="74"/>
      <c r="B126" s="74"/>
      <c r="C126" s="74" t="s">
        <v>428</v>
      </c>
      <c r="D126" s="51"/>
      <c r="E126" s="106"/>
      <c r="F126" s="52"/>
      <c r="G126" s="106"/>
      <c r="H126" s="53"/>
      <c r="I126" s="54"/>
      <c r="J126" s="55">
        <f>SUM(Q115:Q129)+SUM(V115:V129)+SUM(X115:X129)+SUM(Y115:Y129)</f>
        <v>285</v>
      </c>
      <c r="K126" s="54"/>
      <c r="L126" s="55">
        <f>SUM(U115:U129)+SUM(W115:W129)+SUM(Z115:Z129)+SUM(AA115:AA129)</f>
        <v>10267</v>
      </c>
    </row>
    <row r="127" spans="1:12" ht="14.25">
      <c r="A127" s="74"/>
      <c r="B127" s="74" t="s">
        <v>120</v>
      </c>
      <c r="C127" s="74" t="s">
        <v>458</v>
      </c>
      <c r="D127" s="51" t="s">
        <v>430</v>
      </c>
      <c r="E127" s="106">
        <f>Source!BZ76</f>
        <v>109</v>
      </c>
      <c r="F127" s="52"/>
      <c r="G127" s="106">
        <f>Source!AT76</f>
        <v>109</v>
      </c>
      <c r="H127" s="53"/>
      <c r="I127" s="54"/>
      <c r="J127" s="55">
        <f>SUM(AG115:AG129)</f>
        <v>311</v>
      </c>
      <c r="K127" s="54"/>
      <c r="L127" s="55">
        <f>SUM(AH115:AH129)</f>
        <v>11191</v>
      </c>
    </row>
    <row r="128" spans="1:12" ht="14.25">
      <c r="A128" s="76"/>
      <c r="B128" s="76" t="s">
        <v>121</v>
      </c>
      <c r="C128" s="76" t="s">
        <v>459</v>
      </c>
      <c r="D128" s="56" t="s">
        <v>430</v>
      </c>
      <c r="E128" s="107">
        <f>Source!CA76</f>
        <v>57</v>
      </c>
      <c r="F128" s="57"/>
      <c r="G128" s="107">
        <f>Source!AU76</f>
        <v>57</v>
      </c>
      <c r="H128" s="58"/>
      <c r="I128" s="59"/>
      <c r="J128" s="60">
        <f>SUM(AI115:AI129)</f>
        <v>162</v>
      </c>
      <c r="K128" s="59"/>
      <c r="L128" s="60">
        <f>SUM(AJ115:AJ129)</f>
        <v>5852</v>
      </c>
    </row>
    <row r="129" spans="3:53" ht="15">
      <c r="C129" s="119" t="s">
        <v>432</v>
      </c>
      <c r="D129" s="119"/>
      <c r="E129" s="120"/>
      <c r="F129" s="119"/>
      <c r="G129" s="120"/>
      <c r="H129" s="119"/>
      <c r="I129" s="119">
        <f>J118+J119+J127+J128+SUM(J125:J125)</f>
        <v>7015</v>
      </c>
      <c r="J129" s="119"/>
      <c r="K129" s="119">
        <f>L118+L119+L127+L128+SUM(L125:L125)</f>
        <v>55758</v>
      </c>
      <c r="L129" s="119"/>
      <c r="O129" s="44">
        <f>I129</f>
        <v>7015</v>
      </c>
      <c r="P129" s="44">
        <f>K129</f>
        <v>55758</v>
      </c>
      <c r="Q129" s="44">
        <f>J118</f>
        <v>273</v>
      </c>
      <c r="R129" s="44">
        <f>J118</f>
        <v>273</v>
      </c>
      <c r="U129" s="44">
        <f>L118</f>
        <v>9845</v>
      </c>
      <c r="X129" s="44">
        <f>J120</f>
        <v>12</v>
      </c>
      <c r="Z129" s="44">
        <f>L120</f>
        <v>422</v>
      </c>
      <c r="AB129" s="44">
        <f>J119</f>
        <v>91</v>
      </c>
      <c r="AD129" s="44">
        <f>L119</f>
        <v>822</v>
      </c>
      <c r="AF129">
        <f>0</f>
        <v>0</v>
      </c>
      <c r="AN129">
        <f>IF(Source!BI76&lt;=1,J118+J119+J127+J128,0)</f>
        <v>837</v>
      </c>
      <c r="AO129">
        <f>IF(Source!BI76&lt;=1,0,0)</f>
        <v>0</v>
      </c>
      <c r="AP129">
        <f>IF(Source!BI76&lt;=1,J119,0)</f>
        <v>91</v>
      </c>
      <c r="AQ129">
        <f>IF(Source!BI76&lt;=1,J118,0)</f>
        <v>273</v>
      </c>
      <c r="AX129">
        <f>IF(Source!BI76=2,J118+J119+J127+J128,0)</f>
        <v>0</v>
      </c>
      <c r="AY129">
        <f>IF(Source!BI76=2,0,0)</f>
        <v>0</v>
      </c>
      <c r="AZ129">
        <f>IF(Source!BI76=2,J119,0)</f>
        <v>0</v>
      </c>
      <c r="BA129">
        <f>IF(Source!BI76=2,J118,0)</f>
        <v>0</v>
      </c>
    </row>
    <row r="130" spans="1:56" ht="159">
      <c r="A130" s="74">
        <v>6</v>
      </c>
      <c r="B130" s="74" t="str">
        <f>Source!F80</f>
        <v>12-01-016-02</v>
      </c>
      <c r="C130" s="74" t="s">
        <v>461</v>
      </c>
      <c r="D130" s="51" t="str">
        <f>Source!DW80</f>
        <v>100 м2</v>
      </c>
      <c r="E130" s="106">
        <f>Source!K80</f>
        <v>21.2</v>
      </c>
      <c r="F130" s="52"/>
      <c r="G130" s="106">
        <f>Source!I80</f>
        <v>21.2</v>
      </c>
      <c r="H130" s="53"/>
      <c r="I130" s="54"/>
      <c r="J130" s="55"/>
      <c r="K130" s="54"/>
      <c r="L130" s="55"/>
      <c r="AG130">
        <f>ROUND((Source!AT80/100)*((ROUND(Source!AF80*Source!I80,0)+ROUND(Source!AE80*Source!I80,0))),0)</f>
        <v>597</v>
      </c>
      <c r="AH130">
        <f>Source!X80</f>
        <v>21520</v>
      </c>
      <c r="AI130">
        <f>ROUND((Source!AU80/100)*((ROUND(Source!AF80*Source!I80,0)+ROUND(Source!AE80*Source!I80,0))),0)</f>
        <v>295</v>
      </c>
      <c r="AJ130">
        <f>Source!Y80</f>
        <v>10628</v>
      </c>
      <c r="AS130">
        <f>IF(Source!BI80&lt;=1,AH130,0)</f>
        <v>21520</v>
      </c>
      <c r="AT130">
        <f>IF(Source!BI80&lt;=1,AJ130,0)</f>
        <v>10628</v>
      </c>
      <c r="BC130">
        <f>IF(Source!BI80=2,AH130,0)</f>
        <v>0</v>
      </c>
      <c r="BD130">
        <f>IF(Source!BI80=2,AJ130,0)</f>
        <v>0</v>
      </c>
    </row>
    <row r="131" ht="38.25">
      <c r="B131" s="45" t="str">
        <f>Source!EO80</f>
        <v>Поправка: М-ка 421/пр 04.08.20 п.58 п.п. б)</v>
      </c>
    </row>
    <row r="132" ht="12.75">
      <c r="C132" s="42" t="str">
        <f>"Объем: "&amp;Source!K80&amp;"=2120/"&amp;"100"</f>
        <v>Объем: 21,2=2120/100</v>
      </c>
    </row>
    <row r="133" spans="1:12" ht="14.25">
      <c r="A133" s="74"/>
      <c r="B133" s="75">
        <v>1</v>
      </c>
      <c r="C133" s="74" t="s">
        <v>423</v>
      </c>
      <c r="D133" s="51"/>
      <c r="E133" s="106"/>
      <c r="F133" s="52"/>
      <c r="G133" s="106"/>
      <c r="H133" s="53">
        <f>Source!AO80</f>
        <v>24.47</v>
      </c>
      <c r="I133" s="54">
        <f>ROUND(1.15,7)</f>
        <v>1.15</v>
      </c>
      <c r="J133" s="55">
        <f>ROUND(Source!AF80*Source!I80,0)</f>
        <v>597</v>
      </c>
      <c r="K133" s="54">
        <f>IF(Source!BA80&lt;&gt;0,Source!BA80,1)</f>
        <v>36.03</v>
      </c>
      <c r="L133" s="55">
        <f>Source!S80</f>
        <v>21494</v>
      </c>
    </row>
    <row r="134" spans="1:12" ht="14.25">
      <c r="A134" s="74"/>
      <c r="B134" s="75">
        <v>3</v>
      </c>
      <c r="C134" s="74" t="s">
        <v>424</v>
      </c>
      <c r="D134" s="51"/>
      <c r="E134" s="106"/>
      <c r="F134" s="52"/>
      <c r="G134" s="106"/>
      <c r="H134" s="53">
        <f>Source!AM80</f>
        <v>2.63</v>
      </c>
      <c r="I134" s="54">
        <f>ROUND(1.25,7)</f>
        <v>1.25</v>
      </c>
      <c r="J134" s="55">
        <f>ROUND(Source!AD80*Source!I80,0)</f>
        <v>70</v>
      </c>
      <c r="K134" s="54">
        <f>IF(Source!BB80&lt;&gt;0,Source!BB80,1)</f>
        <v>11.85</v>
      </c>
      <c r="L134" s="55">
        <f>Source!Q80</f>
        <v>827</v>
      </c>
    </row>
    <row r="135" spans="1:12" ht="14.25">
      <c r="A135" s="74"/>
      <c r="B135" s="75">
        <v>2</v>
      </c>
      <c r="C135" s="74" t="s">
        <v>436</v>
      </c>
      <c r="D135" s="51"/>
      <c r="E135" s="106"/>
      <c r="F135" s="52"/>
      <c r="G135" s="106"/>
      <c r="H135" s="53">
        <f>Source!AN80</f>
        <v>0.46</v>
      </c>
      <c r="I135" s="54">
        <f>ROUND(1.25,7)</f>
        <v>1.25</v>
      </c>
      <c r="J135" s="61">
        <f>ROUND(Source!AE80*Source!I80,0)</f>
        <v>12</v>
      </c>
      <c r="K135" s="54">
        <f>IF(Source!BS80&lt;&gt;0,Source!BS80,1)</f>
        <v>36.03</v>
      </c>
      <c r="L135" s="61">
        <f>Source!R80</f>
        <v>443</v>
      </c>
    </row>
    <row r="136" spans="1:12" ht="14.25">
      <c r="A136" s="74"/>
      <c r="B136" s="75">
        <v>4</v>
      </c>
      <c r="C136" s="74" t="s">
        <v>457</v>
      </c>
      <c r="D136" s="51"/>
      <c r="E136" s="106"/>
      <c r="F136" s="52"/>
      <c r="G136" s="106"/>
      <c r="H136" s="53">
        <f>Source!AL80</f>
        <v>90</v>
      </c>
      <c r="I136" s="54"/>
      <c r="J136" s="55">
        <f>ROUND(Source!AC80*Source!I80,0)</f>
        <v>1908</v>
      </c>
      <c r="K136" s="54">
        <f>IF(Source!BC80&lt;&gt;0,Source!BC80,1)</f>
        <v>13.46</v>
      </c>
      <c r="L136" s="55">
        <f>Source!P80</f>
        <v>25682</v>
      </c>
    </row>
    <row r="137" spans="1:12" ht="14.25">
      <c r="A137" s="74"/>
      <c r="B137" s="74"/>
      <c r="C137" s="74" t="s">
        <v>425</v>
      </c>
      <c r="D137" s="51" t="s">
        <v>426</v>
      </c>
      <c r="E137" s="106">
        <f>Source!AQ80</f>
        <v>2.8</v>
      </c>
      <c r="F137" s="52">
        <f>ROUND(1.15,7)</f>
        <v>1.15</v>
      </c>
      <c r="G137" s="106">
        <f>ROUND(Source!U80,7)</f>
        <v>68.264</v>
      </c>
      <c r="H137" s="53"/>
      <c r="I137" s="54"/>
      <c r="J137" s="55"/>
      <c r="K137" s="54"/>
      <c r="L137" s="55"/>
    </row>
    <row r="138" spans="1:12" ht="14.25">
      <c r="A138" s="74"/>
      <c r="B138" s="74"/>
      <c r="C138" s="76" t="s">
        <v>437</v>
      </c>
      <c r="D138" s="56" t="s">
        <v>426</v>
      </c>
      <c r="E138" s="107">
        <f>Source!AR80</f>
        <v>0.04</v>
      </c>
      <c r="F138" s="57">
        <f>ROUND(1.25,7)</f>
        <v>1.25</v>
      </c>
      <c r="G138" s="107">
        <f>ROUND(Source!V80,7)</f>
        <v>1.06</v>
      </c>
      <c r="H138" s="58"/>
      <c r="I138" s="59"/>
      <c r="J138" s="60"/>
      <c r="K138" s="59"/>
      <c r="L138" s="60"/>
    </row>
    <row r="139" spans="1:12" ht="14.25">
      <c r="A139" s="74"/>
      <c r="B139" s="74"/>
      <c r="C139" s="74" t="s">
        <v>427</v>
      </c>
      <c r="D139" s="51"/>
      <c r="E139" s="106"/>
      <c r="F139" s="52"/>
      <c r="G139" s="106"/>
      <c r="H139" s="53">
        <f>H133+H134+H136</f>
        <v>117.1</v>
      </c>
      <c r="I139" s="54"/>
      <c r="J139" s="55">
        <f>J133+J134+J136</f>
        <v>2575</v>
      </c>
      <c r="K139" s="54"/>
      <c r="L139" s="55">
        <f>L133+L134+L136</f>
        <v>48003</v>
      </c>
    </row>
    <row r="140" spans="1:56" ht="28.5">
      <c r="A140" s="74" t="s">
        <v>142</v>
      </c>
      <c r="B140" s="74" t="str">
        <f>Source!F82</f>
        <v>01.2.03.07-0022</v>
      </c>
      <c r="C140" s="74" t="str">
        <f>Source!G82</f>
        <v>Эмульсия битумная гидроизоляционная</v>
      </c>
      <c r="D140" s="51" t="str">
        <f>Source!DW82</f>
        <v>т</v>
      </c>
      <c r="E140" s="106">
        <f>SmtRes!AT54</f>
        <v>-0.045</v>
      </c>
      <c r="F140" s="52"/>
      <c r="G140" s="106">
        <f>Source!I82</f>
        <v>-0.954</v>
      </c>
      <c r="H140" s="53">
        <f>Source!AL82+Source!AO82+Source!AM82</f>
        <v>2000</v>
      </c>
      <c r="I140" s="54"/>
      <c r="J140" s="55">
        <f>ROUND(Source!AC82*Source!I82,0)+ROUND(Source!AD82*Source!I82,0)+ROUND(Source!AF82*Source!I82,0)</f>
        <v>-1908</v>
      </c>
      <c r="K140" s="54">
        <f>IF(Source!BC82&lt;&gt;0,Source!BC82,1)</f>
        <v>13.46</v>
      </c>
      <c r="L140" s="55">
        <f>Source!O82</f>
        <v>-25682</v>
      </c>
      <c r="AF140" s="44">
        <f>J140</f>
        <v>-1908</v>
      </c>
      <c r="AG140">
        <f>ROUND((Source!AT82/100)*((ROUND(Source!AF82*Source!I82,0)+ROUND(Source!AE82*Source!I82,0))),0)</f>
        <v>0</v>
      </c>
      <c r="AH140">
        <f>Source!X82</f>
        <v>0</v>
      </c>
      <c r="AI140">
        <f>ROUND((Source!AU82/100)*((ROUND(Source!AF82*Source!I82,0)+ROUND(Source!AE82*Source!I82,0))),0)</f>
        <v>0</v>
      </c>
      <c r="AJ140">
        <f>Source!Y82</f>
        <v>0</v>
      </c>
      <c r="AN140">
        <f>IF(Source!BI82&lt;=1,J140,0)</f>
        <v>-1908</v>
      </c>
      <c r="AO140">
        <f>IF(Source!BI82&lt;=1,J140,0)</f>
        <v>-1908</v>
      </c>
      <c r="AS140">
        <f>IF(Source!BI82&lt;=1,AH140,0)</f>
        <v>0</v>
      </c>
      <c r="AT140">
        <f>IF(Source!BI82&lt;=1,AJ140,0)</f>
        <v>0</v>
      </c>
      <c r="AX140">
        <f>IF(Source!BI82=2,J140,0)</f>
        <v>0</v>
      </c>
      <c r="AY140">
        <f>IF(Source!BI82=2,J140,0)</f>
        <v>0</v>
      </c>
      <c r="BC140">
        <f>IF(Source!BI82=2,AH140,0)</f>
        <v>0</v>
      </c>
      <c r="BD140">
        <f>IF(Source!BI82=2,AJ140,0)</f>
        <v>0</v>
      </c>
    </row>
    <row r="141" spans="1:56" ht="28.5">
      <c r="A141" s="74" t="s">
        <v>146</v>
      </c>
      <c r="B141" s="74" t="str">
        <f>Source!F84</f>
        <v>01.2.03.05-0010</v>
      </c>
      <c r="C141" s="74" t="str">
        <f>Source!G84</f>
        <v>Праймер битумный производства «Техно-Николь»</v>
      </c>
      <c r="D141" s="51" t="str">
        <f>Source!DW84</f>
        <v>т</v>
      </c>
      <c r="E141" s="106">
        <f>SmtRes!AT53</f>
        <v>0.045</v>
      </c>
      <c r="F141" s="52"/>
      <c r="G141" s="106">
        <f>Source!I84</f>
        <v>0.954</v>
      </c>
      <c r="H141" s="53">
        <f>Source!AL84+Source!AO84+Source!AM84</f>
        <v>11885.47</v>
      </c>
      <c r="I141" s="54"/>
      <c r="J141" s="55">
        <f>ROUND(Source!AC84*Source!I84,0)+ROUND(Source!AD84*Source!I84,0)+ROUND(Source!AF84*Source!I84,0)</f>
        <v>11339</v>
      </c>
      <c r="K141" s="54">
        <f>IF(Source!BC84&lt;&gt;0,Source!BC84,1)</f>
        <v>11.77</v>
      </c>
      <c r="L141" s="55">
        <f>Source!O84</f>
        <v>133457</v>
      </c>
      <c r="AF141" s="44">
        <f>J141</f>
        <v>11339</v>
      </c>
      <c r="AG141">
        <f>ROUND((Source!AT84/100)*((ROUND(Source!AF84*Source!I84,0)+ROUND(Source!AE84*Source!I84,0))),0)</f>
        <v>0</v>
      </c>
      <c r="AH141">
        <f>Source!X84</f>
        <v>0</v>
      </c>
      <c r="AI141">
        <f>ROUND((Source!AU84/100)*((ROUND(Source!AF84*Source!I84,0)+ROUND(Source!AE84*Source!I84,0))),0)</f>
        <v>0</v>
      </c>
      <c r="AJ141">
        <f>Source!Y84</f>
        <v>0</v>
      </c>
      <c r="AN141">
        <f>IF(Source!BI84&lt;=1,J141,0)</f>
        <v>11339</v>
      </c>
      <c r="AO141">
        <f>IF(Source!BI84&lt;=1,J141,0)</f>
        <v>11339</v>
      </c>
      <c r="AS141">
        <f>IF(Source!BI84&lt;=1,AH141,0)</f>
        <v>0</v>
      </c>
      <c r="AT141">
        <f>IF(Source!BI84&lt;=1,AJ141,0)</f>
        <v>0</v>
      </c>
      <c r="AX141">
        <f>IF(Source!BI84=2,J141,0)</f>
        <v>0</v>
      </c>
      <c r="AY141">
        <f>IF(Source!BI84=2,J141,0)</f>
        <v>0</v>
      </c>
      <c r="BC141">
        <f>IF(Source!BI84=2,AH141,0)</f>
        <v>0</v>
      </c>
      <c r="BD141">
        <f>IF(Source!BI84=2,AJ141,0)</f>
        <v>0</v>
      </c>
    </row>
    <row r="142" spans="1:12" ht="14.25">
      <c r="A142" s="74"/>
      <c r="B142" s="74"/>
      <c r="C142" s="74" t="s">
        <v>428</v>
      </c>
      <c r="D142" s="51"/>
      <c r="E142" s="106"/>
      <c r="F142" s="52"/>
      <c r="G142" s="106"/>
      <c r="H142" s="53"/>
      <c r="I142" s="54"/>
      <c r="J142" s="55">
        <f>SUM(Q130:Q145)+SUM(V130:V145)+SUM(X130:X145)+SUM(Y130:Y145)</f>
        <v>609</v>
      </c>
      <c r="K142" s="54"/>
      <c r="L142" s="55">
        <f>SUM(U130:U145)+SUM(W130:W145)+SUM(Z130:Z145)+SUM(AA130:AA145)</f>
        <v>21937</v>
      </c>
    </row>
    <row r="143" spans="1:12" ht="28.5">
      <c r="A143" s="74"/>
      <c r="B143" s="74" t="s">
        <v>462</v>
      </c>
      <c r="C143" s="74" t="s">
        <v>458</v>
      </c>
      <c r="D143" s="51" t="s">
        <v>430</v>
      </c>
      <c r="E143" s="106">
        <f>Source!BZ80</f>
        <v>109</v>
      </c>
      <c r="F143" s="52">
        <f>ROUND(0.9,7)</f>
        <v>0.9</v>
      </c>
      <c r="G143" s="106">
        <f>Source!AT80</f>
        <v>98.1</v>
      </c>
      <c r="H143" s="53"/>
      <c r="I143" s="54"/>
      <c r="J143" s="55">
        <f>SUM(AG130:AG145)</f>
        <v>597</v>
      </c>
      <c r="K143" s="54"/>
      <c r="L143" s="55">
        <f>SUM(AH130:AH145)</f>
        <v>21520</v>
      </c>
    </row>
    <row r="144" spans="1:12" ht="28.5">
      <c r="A144" s="76"/>
      <c r="B144" s="76" t="s">
        <v>463</v>
      </c>
      <c r="C144" s="76" t="s">
        <v>459</v>
      </c>
      <c r="D144" s="56" t="s">
        <v>430</v>
      </c>
      <c r="E144" s="107">
        <f>Source!CA80</f>
        <v>57</v>
      </c>
      <c r="F144" s="57">
        <f>ROUND(0.85,7)</f>
        <v>0.85</v>
      </c>
      <c r="G144" s="107">
        <f>Source!AU80</f>
        <v>48.45</v>
      </c>
      <c r="H144" s="58"/>
      <c r="I144" s="59"/>
      <c r="J144" s="60">
        <f>SUM(AI130:AI145)</f>
        <v>295</v>
      </c>
      <c r="K144" s="59"/>
      <c r="L144" s="60">
        <f>SUM(AJ130:AJ145)</f>
        <v>10628</v>
      </c>
    </row>
    <row r="145" spans="3:53" ht="15">
      <c r="C145" s="119" t="s">
        <v>432</v>
      </c>
      <c r="D145" s="119"/>
      <c r="E145" s="120"/>
      <c r="F145" s="119"/>
      <c r="G145" s="120"/>
      <c r="H145" s="119"/>
      <c r="I145" s="119">
        <f>J133+J134+J136+J143+J144+SUM(J140:J141)</f>
        <v>12898</v>
      </c>
      <c r="J145" s="119"/>
      <c r="K145" s="119">
        <f>L133+L134+L136+L143+L144+SUM(L140:L141)</f>
        <v>187926</v>
      </c>
      <c r="L145" s="119"/>
      <c r="O145" s="44">
        <f>I145</f>
        <v>12898</v>
      </c>
      <c r="P145" s="44">
        <f>K145</f>
        <v>187926</v>
      </c>
      <c r="Q145" s="44">
        <f>J133</f>
        <v>597</v>
      </c>
      <c r="R145" s="44">
        <f>J133</f>
        <v>597</v>
      </c>
      <c r="U145" s="44">
        <f>L133</f>
        <v>21494</v>
      </c>
      <c r="X145" s="44">
        <f>J135</f>
        <v>12</v>
      </c>
      <c r="Z145" s="44">
        <f>L135</f>
        <v>443</v>
      </c>
      <c r="AB145" s="44">
        <f>J134</f>
        <v>70</v>
      </c>
      <c r="AD145" s="44">
        <f>L134</f>
        <v>827</v>
      </c>
      <c r="AF145" s="44">
        <f>J136</f>
        <v>1908</v>
      </c>
      <c r="AN145">
        <f>IF(Source!BI80&lt;=1,J133+J134+J136+J143+J144,0)</f>
        <v>3467</v>
      </c>
      <c r="AO145">
        <f>IF(Source!BI80&lt;=1,J136,0)</f>
        <v>1908</v>
      </c>
      <c r="AP145">
        <f>IF(Source!BI80&lt;=1,J134,0)</f>
        <v>70</v>
      </c>
      <c r="AQ145">
        <f>IF(Source!BI80&lt;=1,J133,0)</f>
        <v>597</v>
      </c>
      <c r="AX145">
        <f>IF(Source!BI80=2,J133+J134+J136+J143+J144,0)</f>
        <v>0</v>
      </c>
      <c r="AY145">
        <f>IF(Source!BI80=2,J136,0)</f>
        <v>0</v>
      </c>
      <c r="AZ145">
        <f>IF(Source!BI80=2,J134,0)</f>
        <v>0</v>
      </c>
      <c r="BA145">
        <f>IF(Source!BI80=2,J133,0)</f>
        <v>0</v>
      </c>
    </row>
    <row r="146" spans="1:56" ht="119.25">
      <c r="A146" s="74">
        <v>7</v>
      </c>
      <c r="B146" s="74" t="str">
        <f>Source!F86</f>
        <v>12-01-010-01</v>
      </c>
      <c r="C146" s="74" t="s">
        <v>464</v>
      </c>
      <c r="D146" s="51" t="str">
        <f>Source!DW86</f>
        <v>100 м2</v>
      </c>
      <c r="E146" s="106">
        <f>Source!K86</f>
        <v>1.35</v>
      </c>
      <c r="F146" s="52"/>
      <c r="G146" s="106">
        <f>Source!I86</f>
        <v>1.35</v>
      </c>
      <c r="H146" s="53"/>
      <c r="I146" s="54"/>
      <c r="J146" s="55"/>
      <c r="K146" s="54"/>
      <c r="L146" s="55"/>
      <c r="AG146">
        <f>ROUND((Source!AT86/100)*((ROUND(Source!AF86*Source!I86,0)+ROUND(Source!AE86*Source!I86,0))),0)</f>
        <v>1409</v>
      </c>
      <c r="AH146">
        <f>Source!X86</f>
        <v>50785</v>
      </c>
      <c r="AI146">
        <f>ROUND((Source!AU86/100)*((ROUND(Source!AF86*Source!I86,0)+ROUND(Source!AE86*Source!I86,0))),0)</f>
        <v>737</v>
      </c>
      <c r="AJ146">
        <f>Source!Y86</f>
        <v>26557</v>
      </c>
      <c r="AS146">
        <f>IF(Source!BI86&lt;=1,AH146,0)</f>
        <v>50785</v>
      </c>
      <c r="AT146">
        <f>IF(Source!BI86&lt;=1,AJ146,0)</f>
        <v>26557</v>
      </c>
      <c r="BC146">
        <f>IF(Source!BI86=2,AH146,0)</f>
        <v>0</v>
      </c>
      <c r="BD146">
        <f>IF(Source!BI86=2,AJ146,0)</f>
        <v>0</v>
      </c>
    </row>
    <row r="147" ht="25.5">
      <c r="B147" s="45" t="str">
        <f>Source!EO86</f>
        <v>Поправка: МР 519/пр п.6.7.1</v>
      </c>
    </row>
    <row r="148" ht="12.75">
      <c r="C148" s="42" t="str">
        <f>"Объем: "&amp;Source!K86&amp;"=135/"&amp;"100"</f>
        <v>Объем: 1,35=135/100</v>
      </c>
    </row>
    <row r="149" spans="1:12" ht="14.25">
      <c r="A149" s="74"/>
      <c r="B149" s="75">
        <v>1</v>
      </c>
      <c r="C149" s="74" t="s">
        <v>423</v>
      </c>
      <c r="D149" s="51"/>
      <c r="E149" s="106"/>
      <c r="F149" s="52"/>
      <c r="G149" s="106"/>
      <c r="H149" s="53">
        <f>Source!AO86</f>
        <v>829.12</v>
      </c>
      <c r="I149" s="54">
        <f>ROUND(1.15,7)</f>
        <v>1.15</v>
      </c>
      <c r="J149" s="55">
        <f>ROUND(Source!AF86*Source!I86,0)</f>
        <v>1287</v>
      </c>
      <c r="K149" s="54">
        <f>IF(Source!BA86&lt;&gt;0,Source!BA86,1)</f>
        <v>36.03</v>
      </c>
      <c r="L149" s="55">
        <f>Source!S86</f>
        <v>46378</v>
      </c>
    </row>
    <row r="150" spans="1:12" ht="14.25">
      <c r="A150" s="74"/>
      <c r="B150" s="75">
        <v>3</v>
      </c>
      <c r="C150" s="74" t="s">
        <v>424</v>
      </c>
      <c r="D150" s="51"/>
      <c r="E150" s="106"/>
      <c r="F150" s="52"/>
      <c r="G150" s="106"/>
      <c r="H150" s="53">
        <f>Source!AM86</f>
        <v>21.88</v>
      </c>
      <c r="I150" s="54">
        <f>ROUND(1.25,7)</f>
        <v>1.25</v>
      </c>
      <c r="J150" s="55">
        <f>ROUND(Source!AD86*Source!I86,0)</f>
        <v>37</v>
      </c>
      <c r="K150" s="54">
        <f>IF(Source!BB86&lt;&gt;0,Source!BB86,1)</f>
        <v>10.61</v>
      </c>
      <c r="L150" s="55">
        <f>Source!Q86</f>
        <v>392</v>
      </c>
    </row>
    <row r="151" spans="1:12" ht="14.25">
      <c r="A151" s="74"/>
      <c r="B151" s="75">
        <v>2</v>
      </c>
      <c r="C151" s="74" t="s">
        <v>436</v>
      </c>
      <c r="D151" s="51"/>
      <c r="E151" s="106"/>
      <c r="F151" s="52"/>
      <c r="G151" s="106"/>
      <c r="H151" s="53">
        <f>Source!AN86</f>
        <v>3.51</v>
      </c>
      <c r="I151" s="54">
        <f>ROUND(1.25,7)</f>
        <v>1.25</v>
      </c>
      <c r="J151" s="61">
        <f>ROUND(Source!AE86*Source!I86,0)</f>
        <v>6</v>
      </c>
      <c r="K151" s="54">
        <f>IF(Source!BS86&lt;&gt;0,Source!BS86,1)</f>
        <v>36.03</v>
      </c>
      <c r="L151" s="61">
        <f>Source!R86</f>
        <v>214</v>
      </c>
    </row>
    <row r="152" spans="1:12" ht="14.25">
      <c r="A152" s="74"/>
      <c r="B152" s="75">
        <v>4</v>
      </c>
      <c r="C152" s="74" t="s">
        <v>457</v>
      </c>
      <c r="D152" s="51"/>
      <c r="E152" s="106"/>
      <c r="F152" s="52"/>
      <c r="G152" s="106"/>
      <c r="H152" s="53">
        <f>Source!AL86</f>
        <v>6516.18</v>
      </c>
      <c r="I152" s="54"/>
      <c r="J152" s="55">
        <f>ROUND(Source!AC86*Source!I86,0)</f>
        <v>8797</v>
      </c>
      <c r="K152" s="54">
        <f>IF(Source!BC86&lt;&gt;0,Source!BC86,1)</f>
        <v>8.58</v>
      </c>
      <c r="L152" s="55">
        <f>Source!P86</f>
        <v>75477</v>
      </c>
    </row>
    <row r="153" spans="1:12" ht="14.25">
      <c r="A153" s="74"/>
      <c r="B153" s="74"/>
      <c r="C153" s="74" t="s">
        <v>425</v>
      </c>
      <c r="D153" s="51" t="s">
        <v>426</v>
      </c>
      <c r="E153" s="106">
        <f>Source!AQ86</f>
        <v>97.2</v>
      </c>
      <c r="F153" s="52">
        <f>ROUND(1.15,7)</f>
        <v>1.15</v>
      </c>
      <c r="G153" s="106">
        <f>ROUND(Source!U86,7)</f>
        <v>150.903</v>
      </c>
      <c r="H153" s="53"/>
      <c r="I153" s="54"/>
      <c r="J153" s="55"/>
      <c r="K153" s="54"/>
      <c r="L153" s="55"/>
    </row>
    <row r="154" spans="1:12" ht="14.25">
      <c r="A154" s="74"/>
      <c r="B154" s="74"/>
      <c r="C154" s="76" t="s">
        <v>437</v>
      </c>
      <c r="D154" s="56" t="s">
        <v>426</v>
      </c>
      <c r="E154" s="107">
        <f>Source!AR86</f>
        <v>0.27</v>
      </c>
      <c r="F154" s="57">
        <f>ROUND(1.25,7)</f>
        <v>1.25</v>
      </c>
      <c r="G154" s="107">
        <f>ROUND(Source!V86,7)</f>
        <v>0.455625</v>
      </c>
      <c r="H154" s="58"/>
      <c r="I154" s="59"/>
      <c r="J154" s="60"/>
      <c r="K154" s="59"/>
      <c r="L154" s="60"/>
    </row>
    <row r="155" spans="1:12" ht="14.25">
      <c r="A155" s="74"/>
      <c r="B155" s="74"/>
      <c r="C155" s="74" t="s">
        <v>427</v>
      </c>
      <c r="D155" s="51"/>
      <c r="E155" s="106"/>
      <c r="F155" s="52"/>
      <c r="G155" s="106"/>
      <c r="H155" s="53">
        <f>H149+H150+H152</f>
        <v>7367.18</v>
      </c>
      <c r="I155" s="54"/>
      <c r="J155" s="55">
        <f>J149+J150+J152</f>
        <v>10121</v>
      </c>
      <c r="K155" s="54"/>
      <c r="L155" s="55">
        <f>L149+L150+L152</f>
        <v>122247</v>
      </c>
    </row>
    <row r="156" spans="1:56" ht="28.5">
      <c r="A156" s="74" t="s">
        <v>154</v>
      </c>
      <c r="B156" s="74" t="str">
        <f>Source!F88</f>
        <v>01.7.15.06-0146</v>
      </c>
      <c r="C156" s="74" t="str">
        <f>Source!G88</f>
        <v>Гвозди толевые круглые, размер 3,0x40 мм</v>
      </c>
      <c r="D156" s="51" t="str">
        <f>Source!DW88</f>
        <v>т</v>
      </c>
      <c r="E156" s="106">
        <f>SmtRes!AT66</f>
        <v>-0.004</v>
      </c>
      <c r="F156" s="52"/>
      <c r="G156" s="106">
        <f>Source!I88</f>
        <v>-0.0054</v>
      </c>
      <c r="H156" s="53">
        <f>Source!AL88+Source!AO88+Source!AM88</f>
        <v>8475</v>
      </c>
      <c r="I156" s="54"/>
      <c r="J156" s="55">
        <f>ROUND(Source!AC88*Source!I88,0)+ROUND(Source!AD88*Source!I88,0)+ROUND(Source!AF88*Source!I88,0)</f>
        <v>-46</v>
      </c>
      <c r="K156" s="54">
        <f>IF(Source!BC88&lt;&gt;0,Source!BC88,1)</f>
        <v>11.87</v>
      </c>
      <c r="L156" s="55">
        <f>Source!O88</f>
        <v>-543</v>
      </c>
      <c r="AF156" s="44">
        <f>J156</f>
        <v>-46</v>
      </c>
      <c r="AG156">
        <f>ROUND((Source!AT88/100)*((ROUND(Source!AF88*Source!I88,0)+ROUND(Source!AE88*Source!I88,0))),0)</f>
        <v>0</v>
      </c>
      <c r="AH156">
        <f>Source!X88</f>
        <v>0</v>
      </c>
      <c r="AI156">
        <f>ROUND((Source!AU88/100)*((ROUND(Source!AF88*Source!I88,0)+ROUND(Source!AE88*Source!I88,0))),0)</f>
        <v>0</v>
      </c>
      <c r="AJ156">
        <f>Source!Y88</f>
        <v>0</v>
      </c>
      <c r="AN156">
        <f>IF(Source!BI88&lt;=1,J156,0)</f>
        <v>-46</v>
      </c>
      <c r="AO156">
        <f>IF(Source!BI88&lt;=1,J156,0)</f>
        <v>-46</v>
      </c>
      <c r="AS156">
        <f>IF(Source!BI88&lt;=1,AH156,0)</f>
        <v>0</v>
      </c>
      <c r="AT156">
        <f>IF(Source!BI88&lt;=1,AJ156,0)</f>
        <v>0</v>
      </c>
      <c r="AX156">
        <f>IF(Source!BI88=2,J156,0)</f>
        <v>0</v>
      </c>
      <c r="AY156">
        <f>IF(Source!BI88=2,J156,0)</f>
        <v>0</v>
      </c>
      <c r="BC156">
        <f>IF(Source!BI88=2,AH156,0)</f>
        <v>0</v>
      </c>
      <c r="BD156">
        <f>IF(Source!BI88=2,AJ156,0)</f>
        <v>0</v>
      </c>
    </row>
    <row r="157" spans="1:56" ht="28.5">
      <c r="A157" s="74" t="s">
        <v>158</v>
      </c>
      <c r="B157" s="74" t="str">
        <f>Source!F90</f>
        <v>08.3.03.05-0002</v>
      </c>
      <c r="C157" s="74" t="str">
        <f>Source!G90</f>
        <v>Проволока канатная оцинкованная, диаметр 3 мм</v>
      </c>
      <c r="D157" s="51" t="str">
        <f>Source!DW90</f>
        <v>т</v>
      </c>
      <c r="E157" s="106">
        <f>SmtRes!AT67</f>
        <v>-0.012</v>
      </c>
      <c r="F157" s="52"/>
      <c r="G157" s="106">
        <f>Source!I90</f>
        <v>-0.0162</v>
      </c>
      <c r="H157" s="53">
        <f>Source!AL90+Source!AO90+Source!AM90</f>
        <v>8190</v>
      </c>
      <c r="I157" s="54"/>
      <c r="J157" s="55">
        <f>ROUND(Source!AC90*Source!I90,0)+ROUND(Source!AD90*Source!I90,0)+ROUND(Source!AF90*Source!I90,0)</f>
        <v>-133</v>
      </c>
      <c r="K157" s="54">
        <f>IF(Source!BC90&lt;&gt;0,Source!BC90,1)</f>
        <v>15.76</v>
      </c>
      <c r="L157" s="55">
        <f>Source!O90</f>
        <v>-2091</v>
      </c>
      <c r="AF157" s="44">
        <f>J157</f>
        <v>-133</v>
      </c>
      <c r="AG157">
        <f>ROUND((Source!AT90/100)*((ROUND(Source!AF90*Source!I90,0)+ROUND(Source!AE90*Source!I90,0))),0)</f>
        <v>0</v>
      </c>
      <c r="AH157">
        <f>Source!X90</f>
        <v>0</v>
      </c>
      <c r="AI157">
        <f>ROUND((Source!AU90/100)*((ROUND(Source!AF90*Source!I90,0)+ROUND(Source!AE90*Source!I90,0))),0)</f>
        <v>0</v>
      </c>
      <c r="AJ157">
        <f>Source!Y90</f>
        <v>0</v>
      </c>
      <c r="AN157">
        <f>IF(Source!BI90&lt;=1,J157,0)</f>
        <v>-133</v>
      </c>
      <c r="AO157">
        <f>IF(Source!BI90&lt;=1,J157,0)</f>
        <v>-133</v>
      </c>
      <c r="AS157">
        <f>IF(Source!BI90&lt;=1,AH157,0)</f>
        <v>0</v>
      </c>
      <c r="AT157">
        <f>IF(Source!BI90&lt;=1,AJ157,0)</f>
        <v>0</v>
      </c>
      <c r="AX157">
        <f>IF(Source!BI90=2,J157,0)</f>
        <v>0</v>
      </c>
      <c r="AY157">
        <f>IF(Source!BI90=2,J157,0)</f>
        <v>0</v>
      </c>
      <c r="BC157">
        <f>IF(Source!BI90=2,AH157,0)</f>
        <v>0</v>
      </c>
      <c r="BD157">
        <f>IF(Source!BI90=2,AJ157,0)</f>
        <v>0</v>
      </c>
    </row>
    <row r="158" spans="1:56" ht="28.5">
      <c r="A158" s="74" t="s">
        <v>162</v>
      </c>
      <c r="B158" s="74" t="str">
        <f>Source!F92</f>
        <v>08.3.05.05-0051</v>
      </c>
      <c r="C158" s="74" t="str">
        <f>Source!G92</f>
        <v>Сталь листовая оцинкованная, толщина 0,5 мм</v>
      </c>
      <c r="D158" s="51" t="str">
        <f>Source!DW92</f>
        <v>т</v>
      </c>
      <c r="E158" s="106">
        <f>SmtRes!AT68</f>
        <v>-0.57</v>
      </c>
      <c r="F158" s="52"/>
      <c r="G158" s="106">
        <f>Source!I92</f>
        <v>-0.7695</v>
      </c>
      <c r="H158" s="53">
        <f>Source!AL92+Source!AO92+Source!AM92</f>
        <v>11200</v>
      </c>
      <c r="I158" s="54"/>
      <c r="J158" s="55">
        <f>ROUND(Source!AC92*Source!I92,0)+ROUND(Source!AD92*Source!I92,0)+ROUND(Source!AF92*Source!I92,0)</f>
        <v>-8618</v>
      </c>
      <c r="K158" s="54">
        <f>IF(Source!BC92&lt;&gt;0,Source!BC92,1)</f>
        <v>8.46</v>
      </c>
      <c r="L158" s="55">
        <f>Source!O92</f>
        <v>-72912</v>
      </c>
      <c r="AF158" s="44">
        <f>J158</f>
        <v>-8618</v>
      </c>
      <c r="AG158">
        <f>ROUND((Source!AT92/100)*((ROUND(Source!AF92*Source!I92,0)+ROUND(Source!AE92*Source!I92,0))),0)</f>
        <v>0</v>
      </c>
      <c r="AH158">
        <f>Source!X92</f>
        <v>0</v>
      </c>
      <c r="AI158">
        <f>ROUND((Source!AU92/100)*((ROUND(Source!AF92*Source!I92,0)+ROUND(Source!AE92*Source!I92,0))),0)</f>
        <v>0</v>
      </c>
      <c r="AJ158">
        <f>Source!Y92</f>
        <v>0</v>
      </c>
      <c r="AN158">
        <f>IF(Source!BI92&lt;=1,J158,0)</f>
        <v>-8618</v>
      </c>
      <c r="AO158">
        <f>IF(Source!BI92&lt;=1,J158,0)</f>
        <v>-8618</v>
      </c>
      <c r="AS158">
        <f>IF(Source!BI92&lt;=1,AH158,0)</f>
        <v>0</v>
      </c>
      <c r="AT158">
        <f>IF(Source!BI92&lt;=1,AJ158,0)</f>
        <v>0</v>
      </c>
      <c r="AX158">
        <f>IF(Source!BI92=2,J158,0)</f>
        <v>0</v>
      </c>
      <c r="AY158">
        <f>IF(Source!BI92=2,J158,0)</f>
        <v>0</v>
      </c>
      <c r="BC158">
        <f>IF(Source!BI92=2,AH158,0)</f>
        <v>0</v>
      </c>
      <c r="BD158">
        <f>IF(Source!BI92=2,AJ158,0)</f>
        <v>0</v>
      </c>
    </row>
    <row r="159" spans="1:12" ht="14.25">
      <c r="A159" s="74"/>
      <c r="B159" s="74"/>
      <c r="C159" s="74" t="s">
        <v>428</v>
      </c>
      <c r="D159" s="51"/>
      <c r="E159" s="106"/>
      <c r="F159" s="52"/>
      <c r="G159" s="106"/>
      <c r="H159" s="53"/>
      <c r="I159" s="54"/>
      <c r="J159" s="55">
        <f>SUM(Q146:Q162)+SUM(V146:V162)+SUM(X146:X162)+SUM(Y146:Y162)</f>
        <v>1293</v>
      </c>
      <c r="K159" s="54"/>
      <c r="L159" s="55">
        <f>SUM(U146:U162)+SUM(W146:W162)+SUM(Z146:Z162)+SUM(AA146:AA162)</f>
        <v>46592</v>
      </c>
    </row>
    <row r="160" spans="1:12" ht="14.25">
      <c r="A160" s="74"/>
      <c r="B160" s="74" t="s">
        <v>120</v>
      </c>
      <c r="C160" s="74" t="s">
        <v>458</v>
      </c>
      <c r="D160" s="51" t="s">
        <v>430</v>
      </c>
      <c r="E160" s="106">
        <f>Source!BZ86</f>
        <v>109</v>
      </c>
      <c r="F160" s="52"/>
      <c r="G160" s="106">
        <f>Source!AT86</f>
        <v>109</v>
      </c>
      <c r="H160" s="53"/>
      <c r="I160" s="54"/>
      <c r="J160" s="55">
        <f>SUM(AG146:AG162)</f>
        <v>1409</v>
      </c>
      <c r="K160" s="54"/>
      <c r="L160" s="55">
        <f>SUM(AH146:AH162)</f>
        <v>50785</v>
      </c>
    </row>
    <row r="161" spans="1:12" ht="14.25">
      <c r="A161" s="76"/>
      <c r="B161" s="76" t="s">
        <v>121</v>
      </c>
      <c r="C161" s="76" t="s">
        <v>459</v>
      </c>
      <c r="D161" s="56" t="s">
        <v>430</v>
      </c>
      <c r="E161" s="107">
        <f>Source!CA86</f>
        <v>57</v>
      </c>
      <c r="F161" s="57"/>
      <c r="G161" s="107">
        <f>Source!AU86</f>
        <v>57</v>
      </c>
      <c r="H161" s="58"/>
      <c r="I161" s="59"/>
      <c r="J161" s="60">
        <f>SUM(AI146:AI162)</f>
        <v>737</v>
      </c>
      <c r="K161" s="59"/>
      <c r="L161" s="60">
        <f>SUM(AJ146:AJ162)</f>
        <v>26557</v>
      </c>
    </row>
    <row r="162" spans="3:53" ht="15">
      <c r="C162" s="119" t="s">
        <v>432</v>
      </c>
      <c r="D162" s="119"/>
      <c r="E162" s="120"/>
      <c r="F162" s="119"/>
      <c r="G162" s="120"/>
      <c r="H162" s="119"/>
      <c r="I162" s="119">
        <f>J149+J150+J152+J160+J161+SUM(J156:J158)</f>
        <v>3470</v>
      </c>
      <c r="J162" s="119"/>
      <c r="K162" s="119">
        <f>L149+L150+L152+L160+L161+SUM(L156:L158)</f>
        <v>124043</v>
      </c>
      <c r="L162" s="119"/>
      <c r="O162" s="44">
        <f>I162</f>
        <v>3470</v>
      </c>
      <c r="P162" s="44">
        <f>K162</f>
        <v>124043</v>
      </c>
      <c r="Q162" s="44">
        <f>J149</f>
        <v>1287</v>
      </c>
      <c r="R162" s="44">
        <f>J149</f>
        <v>1287</v>
      </c>
      <c r="U162" s="44">
        <f>L149</f>
        <v>46378</v>
      </c>
      <c r="X162" s="44">
        <f>J151</f>
        <v>6</v>
      </c>
      <c r="Z162" s="44">
        <f>L151</f>
        <v>214</v>
      </c>
      <c r="AB162" s="44">
        <f>J150</f>
        <v>37</v>
      </c>
      <c r="AD162" s="44">
        <f>L150</f>
        <v>392</v>
      </c>
      <c r="AF162" s="44">
        <f>J152</f>
        <v>8797</v>
      </c>
      <c r="AN162">
        <f>IF(Source!BI86&lt;=1,J149+J150+J152+J160+J161,0)</f>
        <v>12267</v>
      </c>
      <c r="AO162">
        <f>IF(Source!BI86&lt;=1,J152,0)</f>
        <v>8797</v>
      </c>
      <c r="AP162">
        <f>IF(Source!BI86&lt;=1,J150,0)</f>
        <v>37</v>
      </c>
      <c r="AQ162">
        <f>IF(Source!BI86&lt;=1,J149,0)</f>
        <v>1287</v>
      </c>
      <c r="AX162">
        <f>IF(Source!BI86=2,J149+J150+J152+J160+J161,0)</f>
        <v>0</v>
      </c>
      <c r="AY162">
        <f>IF(Source!BI86=2,J152,0)</f>
        <v>0</v>
      </c>
      <c r="AZ162">
        <f>IF(Source!BI86=2,J150,0)</f>
        <v>0</v>
      </c>
      <c r="BA162">
        <f>IF(Source!BI86=2,J149,0)</f>
        <v>0</v>
      </c>
    </row>
    <row r="163" spans="1:56" ht="105">
      <c r="A163" s="74">
        <v>8</v>
      </c>
      <c r="B163" s="74" t="str">
        <f>Source!F94</f>
        <v>12-01-002-09</v>
      </c>
      <c r="C163" s="74" t="s">
        <v>465</v>
      </c>
      <c r="D163" s="51" t="str">
        <f>Source!DW94</f>
        <v>100 м2</v>
      </c>
      <c r="E163" s="106">
        <f>Source!K94</f>
        <v>21.2</v>
      </c>
      <c r="F163" s="52"/>
      <c r="G163" s="106">
        <f>Source!I94</f>
        <v>21.2</v>
      </c>
      <c r="H163" s="53"/>
      <c r="I163" s="54"/>
      <c r="J163" s="55"/>
      <c r="K163" s="54"/>
      <c r="L163" s="55"/>
      <c r="AG163">
        <f>ROUND((Source!AT94/100)*((ROUND(Source!AF94*Source!I94,0)+ROUND(Source!AE94*Source!I94,0))),0)</f>
        <v>3695</v>
      </c>
      <c r="AH163">
        <f>Source!X94</f>
        <v>133146</v>
      </c>
      <c r="AI163">
        <f>ROUND((Source!AU94/100)*((ROUND(Source!AF94*Source!I94,0)+ROUND(Source!AE94*Source!I94,0))),0)</f>
        <v>1932</v>
      </c>
      <c r="AJ163">
        <f>Source!Y94</f>
        <v>69627</v>
      </c>
      <c r="AS163">
        <f>IF(Source!BI94&lt;=1,AH163,0)</f>
        <v>133146</v>
      </c>
      <c r="AT163">
        <f>IF(Source!BI94&lt;=1,AJ163,0)</f>
        <v>69627</v>
      </c>
      <c r="BC163">
        <f>IF(Source!BI94=2,AH163,0)</f>
        <v>0</v>
      </c>
      <c r="BD163">
        <f>IF(Source!BI94=2,AJ163,0)</f>
        <v>0</v>
      </c>
    </row>
    <row r="164" ht="25.5">
      <c r="B164" s="45" t="str">
        <f>Source!EO94</f>
        <v>Поправка: МР 519/пр п.6.7.1</v>
      </c>
    </row>
    <row r="165" ht="12.75">
      <c r="C165" s="42" t="str">
        <f>"Объем: "&amp;Source!K94&amp;"=2120/"&amp;"100"</f>
        <v>Объем: 21,2=2120/100</v>
      </c>
    </row>
    <row r="166" spans="1:12" ht="14.25">
      <c r="A166" s="74"/>
      <c r="B166" s="75">
        <v>1</v>
      </c>
      <c r="C166" s="74" t="s">
        <v>423</v>
      </c>
      <c r="D166" s="51"/>
      <c r="E166" s="106"/>
      <c r="F166" s="52"/>
      <c r="G166" s="106"/>
      <c r="H166" s="53">
        <f>Source!AO94</f>
        <v>134.98</v>
      </c>
      <c r="I166" s="54">
        <f>ROUND(1.15,7)</f>
        <v>1.15</v>
      </c>
      <c r="J166" s="55">
        <f>ROUND(Source!AF94*Source!I94,0)</f>
        <v>3291</v>
      </c>
      <c r="K166" s="54">
        <f>IF(Source!BA94&lt;&gt;0,Source!BA94,1)</f>
        <v>36.03</v>
      </c>
      <c r="L166" s="55">
        <f>Source!S94</f>
        <v>118570</v>
      </c>
    </row>
    <row r="167" spans="1:12" ht="14.25">
      <c r="A167" s="74"/>
      <c r="B167" s="75">
        <v>3</v>
      </c>
      <c r="C167" s="74" t="s">
        <v>424</v>
      </c>
      <c r="D167" s="51"/>
      <c r="E167" s="106"/>
      <c r="F167" s="52"/>
      <c r="G167" s="106"/>
      <c r="H167" s="53">
        <f>Source!AM94</f>
        <v>24.64</v>
      </c>
      <c r="I167" s="54">
        <f>ROUND(1.25,7)</f>
        <v>1.25</v>
      </c>
      <c r="J167" s="55">
        <f>ROUND(Source!AD94*Source!I94,0)</f>
        <v>653</v>
      </c>
      <c r="K167" s="54">
        <f>IF(Source!BB94&lt;&gt;0,Source!BB94,1)</f>
        <v>10.76</v>
      </c>
      <c r="L167" s="55">
        <f>Source!Q94</f>
        <v>7026</v>
      </c>
    </row>
    <row r="168" spans="1:12" ht="14.25">
      <c r="A168" s="74"/>
      <c r="B168" s="75">
        <v>2</v>
      </c>
      <c r="C168" s="74" t="s">
        <v>436</v>
      </c>
      <c r="D168" s="51"/>
      <c r="E168" s="106"/>
      <c r="F168" s="52"/>
      <c r="G168" s="106"/>
      <c r="H168" s="53">
        <f>Source!AN94</f>
        <v>3.75</v>
      </c>
      <c r="I168" s="54">
        <f>ROUND(1.25,7)</f>
        <v>1.25</v>
      </c>
      <c r="J168" s="61">
        <f>ROUND(Source!AE94*Source!I94,0)</f>
        <v>99</v>
      </c>
      <c r="K168" s="54">
        <f>IF(Source!BS94&lt;&gt;0,Source!BS94,1)</f>
        <v>36.03</v>
      </c>
      <c r="L168" s="61">
        <f>Source!R94</f>
        <v>3582</v>
      </c>
    </row>
    <row r="169" spans="1:12" ht="14.25">
      <c r="A169" s="74"/>
      <c r="B169" s="75">
        <v>4</v>
      </c>
      <c r="C169" s="74" t="s">
        <v>457</v>
      </c>
      <c r="D169" s="51"/>
      <c r="E169" s="106"/>
      <c r="F169" s="52"/>
      <c r="G169" s="106"/>
      <c r="H169" s="53">
        <f>Source!AL94</f>
        <v>182.33</v>
      </c>
      <c r="I169" s="54"/>
      <c r="J169" s="55">
        <f>ROUND(Source!AC94*Source!I94,0)</f>
        <v>3865</v>
      </c>
      <c r="K169" s="54">
        <f>IF(Source!BC94&lt;&gt;0,Source!BC94,1)</f>
        <v>8.48</v>
      </c>
      <c r="L169" s="55">
        <f>Source!P94</f>
        <v>32779</v>
      </c>
    </row>
    <row r="170" spans="1:12" ht="28.5">
      <c r="A170" s="74"/>
      <c r="B170" s="74" t="str">
        <f>EtalonRes!I83</f>
        <v>12.1.02.15</v>
      </c>
      <c r="C170" s="74" t="str">
        <f>EtalonRes!K83</f>
        <v>Материалы рулонные кровельные для верхнего слоя</v>
      </c>
      <c r="D170" s="51" t="str">
        <f>EtalonRes!P83</f>
        <v>м2</v>
      </c>
      <c r="E170" s="106">
        <f>EtalonRes!X83</f>
        <v>114</v>
      </c>
      <c r="F170" s="52"/>
      <c r="G170" s="106">
        <f>ROUND(EtalonRes!AG83*Source!I94,7)</f>
        <v>2416.8</v>
      </c>
      <c r="H170" s="53"/>
      <c r="I170" s="54"/>
      <c r="J170" s="55"/>
      <c r="K170" s="54"/>
      <c r="L170" s="55"/>
    </row>
    <row r="171" spans="1:12" ht="28.5">
      <c r="A171" s="74"/>
      <c r="B171" s="74" t="str">
        <f>EtalonRes!I84</f>
        <v>12.1.02.15</v>
      </c>
      <c r="C171" s="74" t="str">
        <f>EtalonRes!K84</f>
        <v>Материалы рулонные кровельные для нижних слоев</v>
      </c>
      <c r="D171" s="51" t="str">
        <f>EtalonRes!P84</f>
        <v>м2</v>
      </c>
      <c r="E171" s="106">
        <f>EtalonRes!X84</f>
        <v>116</v>
      </c>
      <c r="F171" s="52"/>
      <c r="G171" s="106">
        <f>ROUND(EtalonRes!AG84*Source!I94,7)</f>
        <v>2459.2</v>
      </c>
      <c r="H171" s="53"/>
      <c r="I171" s="54"/>
      <c r="J171" s="55"/>
      <c r="K171" s="54"/>
      <c r="L171" s="55"/>
    </row>
    <row r="172" spans="1:12" ht="14.25">
      <c r="A172" s="74"/>
      <c r="B172" s="74"/>
      <c r="C172" s="74" t="s">
        <v>425</v>
      </c>
      <c r="D172" s="51" t="s">
        <v>426</v>
      </c>
      <c r="E172" s="106">
        <f>Source!AQ94</f>
        <v>14.36</v>
      </c>
      <c r="F172" s="52">
        <f>ROUND(1.15,7)</f>
        <v>1.15</v>
      </c>
      <c r="G172" s="106">
        <f>ROUND(Source!U94,7)</f>
        <v>350.0968</v>
      </c>
      <c r="H172" s="53"/>
      <c r="I172" s="54"/>
      <c r="J172" s="55"/>
      <c r="K172" s="54"/>
      <c r="L172" s="55"/>
    </row>
    <row r="173" spans="1:12" ht="14.25">
      <c r="A173" s="74"/>
      <c r="B173" s="74"/>
      <c r="C173" s="76" t="s">
        <v>437</v>
      </c>
      <c r="D173" s="56" t="s">
        <v>426</v>
      </c>
      <c r="E173" s="107">
        <f>Source!AR94</f>
        <v>0.29</v>
      </c>
      <c r="F173" s="57">
        <f>ROUND(1.25,7)</f>
        <v>1.25</v>
      </c>
      <c r="G173" s="107">
        <f>ROUND(Source!V94,7)</f>
        <v>7.685</v>
      </c>
      <c r="H173" s="58"/>
      <c r="I173" s="59"/>
      <c r="J173" s="60"/>
      <c r="K173" s="59"/>
      <c r="L173" s="60"/>
    </row>
    <row r="174" spans="1:12" ht="14.25">
      <c r="A174" s="74"/>
      <c r="B174" s="74"/>
      <c r="C174" s="74" t="s">
        <v>427</v>
      </c>
      <c r="D174" s="51"/>
      <c r="E174" s="106"/>
      <c r="F174" s="52"/>
      <c r="G174" s="106"/>
      <c r="H174" s="53">
        <f>H166+H167+H169</f>
        <v>341.95000000000005</v>
      </c>
      <c r="I174" s="54"/>
      <c r="J174" s="55">
        <f>J166+J167+J169</f>
        <v>7809</v>
      </c>
      <c r="K174" s="54"/>
      <c r="L174" s="55">
        <f>L166+L167+L169</f>
        <v>158375</v>
      </c>
    </row>
    <row r="175" spans="1:56" ht="14.25">
      <c r="A175" s="74" t="s">
        <v>170</v>
      </c>
      <c r="B175" s="74" t="str">
        <f>Source!F96</f>
        <v>12.1.02.08-0091</v>
      </c>
      <c r="C175" s="74" t="str">
        <f>Source!G96</f>
        <v>Линокром: ТКП</v>
      </c>
      <c r="D175" s="51" t="str">
        <f>Source!DW96</f>
        <v>м2</v>
      </c>
      <c r="E175" s="106">
        <f>SmtRes!AT83</f>
        <v>114</v>
      </c>
      <c r="F175" s="52"/>
      <c r="G175" s="106">
        <f>Source!I96</f>
        <v>2416.8</v>
      </c>
      <c r="H175" s="53">
        <f>Source!AL96+Source!AO96+Source!AM96</f>
        <v>27.73</v>
      </c>
      <c r="I175" s="54"/>
      <c r="J175" s="55">
        <f>ROUND(Source!AC96*Source!I96,0)+ROUND(Source!AD96*Source!I96,0)+ROUND(Source!AF96*Source!I96,0)</f>
        <v>67018</v>
      </c>
      <c r="K175" s="54">
        <f>IF(Source!BC96&lt;&gt;0,Source!BC96,1)</f>
        <v>4.04</v>
      </c>
      <c r="L175" s="55">
        <f>Source!O96</f>
        <v>270752</v>
      </c>
      <c r="AF175" s="44">
        <f>J175</f>
        <v>67018</v>
      </c>
      <c r="AG175">
        <f>ROUND((Source!AT96/100)*((ROUND(Source!AF96*Source!I96,0)+ROUND(Source!AE96*Source!I96,0))),0)</f>
        <v>0</v>
      </c>
      <c r="AH175">
        <f>Source!X96</f>
        <v>0</v>
      </c>
      <c r="AI175">
        <f>ROUND((Source!AU96/100)*((ROUND(Source!AF96*Source!I96,0)+ROUND(Source!AE96*Source!I96,0))),0)</f>
        <v>0</v>
      </c>
      <c r="AJ175">
        <f>Source!Y96</f>
        <v>0</v>
      </c>
      <c r="AN175">
        <f>IF(Source!BI96&lt;=1,J175,0)</f>
        <v>67018</v>
      </c>
      <c r="AO175">
        <f>IF(Source!BI96&lt;=1,J175,0)</f>
        <v>67018</v>
      </c>
      <c r="AS175">
        <f>IF(Source!BI96&lt;=1,AH175,0)</f>
        <v>0</v>
      </c>
      <c r="AT175">
        <f>IF(Source!BI96&lt;=1,AJ175,0)</f>
        <v>0</v>
      </c>
      <c r="AX175">
        <f>IF(Source!BI96=2,J175,0)</f>
        <v>0</v>
      </c>
      <c r="AY175">
        <f>IF(Source!BI96=2,J175,0)</f>
        <v>0</v>
      </c>
      <c r="BC175">
        <f>IF(Source!BI96=2,AH175,0)</f>
        <v>0</v>
      </c>
      <c r="BD175">
        <f>IF(Source!BI96=2,AJ175,0)</f>
        <v>0</v>
      </c>
    </row>
    <row r="176" spans="1:56" ht="14.25">
      <c r="A176" s="74" t="s">
        <v>175</v>
      </c>
      <c r="B176" s="74" t="str">
        <f>Source!F98</f>
        <v>12.1.02.08-0095</v>
      </c>
      <c r="C176" s="74" t="str">
        <f>Source!G98</f>
        <v>Линокром: ТПП</v>
      </c>
      <c r="D176" s="51" t="str">
        <f>Source!DW98</f>
        <v>м2</v>
      </c>
      <c r="E176" s="106">
        <f>SmtRes!AT84</f>
        <v>116</v>
      </c>
      <c r="F176" s="52"/>
      <c r="G176" s="106">
        <f>Source!I98</f>
        <v>2459.2</v>
      </c>
      <c r="H176" s="53">
        <f>Source!AL98+Source!AO98+Source!AM98</f>
        <v>19.75</v>
      </c>
      <c r="I176" s="54"/>
      <c r="J176" s="55">
        <f>ROUND(Source!AC98*Source!I98,0)+ROUND(Source!AD98*Source!I98,0)+ROUND(Source!AF98*Source!I98,0)</f>
        <v>48569</v>
      </c>
      <c r="K176" s="54">
        <f>IF(Source!BC98&lt;&gt;0,Source!BC98,1)</f>
        <v>6.03</v>
      </c>
      <c r="L176" s="55">
        <f>Source!O98</f>
        <v>292872</v>
      </c>
      <c r="AF176" s="44">
        <f>J176</f>
        <v>48569</v>
      </c>
      <c r="AG176">
        <f>ROUND((Source!AT98/100)*((ROUND(Source!AF98*Source!I98,0)+ROUND(Source!AE98*Source!I98,0))),0)</f>
        <v>0</v>
      </c>
      <c r="AH176">
        <f>Source!X98</f>
        <v>0</v>
      </c>
      <c r="AI176">
        <f>ROUND((Source!AU98/100)*((ROUND(Source!AF98*Source!I98,0)+ROUND(Source!AE98*Source!I98,0))),0)</f>
        <v>0</v>
      </c>
      <c r="AJ176">
        <f>Source!Y98</f>
        <v>0</v>
      </c>
      <c r="AN176">
        <f>IF(Source!BI98&lt;=1,J176,0)</f>
        <v>48569</v>
      </c>
      <c r="AO176">
        <f>IF(Source!BI98&lt;=1,J176,0)</f>
        <v>48569</v>
      </c>
      <c r="AS176">
        <f>IF(Source!BI98&lt;=1,AH176,0)</f>
        <v>0</v>
      </c>
      <c r="AT176">
        <f>IF(Source!BI98&lt;=1,AJ176,0)</f>
        <v>0</v>
      </c>
      <c r="AX176">
        <f>IF(Source!BI98=2,J176,0)</f>
        <v>0</v>
      </c>
      <c r="AY176">
        <f>IF(Source!BI98=2,J176,0)</f>
        <v>0</v>
      </c>
      <c r="BC176">
        <f>IF(Source!BI98=2,AH176,0)</f>
        <v>0</v>
      </c>
      <c r="BD176">
        <f>IF(Source!BI98=2,AJ176,0)</f>
        <v>0</v>
      </c>
    </row>
    <row r="177" spans="1:12" ht="14.25">
      <c r="A177" s="74"/>
      <c r="B177" s="74"/>
      <c r="C177" s="74" t="s">
        <v>428</v>
      </c>
      <c r="D177" s="51"/>
      <c r="E177" s="106"/>
      <c r="F177" s="52"/>
      <c r="G177" s="106"/>
      <c r="H177" s="53"/>
      <c r="I177" s="54"/>
      <c r="J177" s="55">
        <f>SUM(Q163:Q180)+SUM(V163:V180)+SUM(X163:X180)+SUM(Y163:Y180)</f>
        <v>3390</v>
      </c>
      <c r="K177" s="54"/>
      <c r="L177" s="55">
        <f>SUM(U163:U180)+SUM(W163:W180)+SUM(Z163:Z180)+SUM(AA163:AA180)</f>
        <v>122152</v>
      </c>
    </row>
    <row r="178" spans="1:12" ht="14.25">
      <c r="A178" s="74"/>
      <c r="B178" s="74" t="s">
        <v>120</v>
      </c>
      <c r="C178" s="74" t="s">
        <v>458</v>
      </c>
      <c r="D178" s="51" t="s">
        <v>430</v>
      </c>
      <c r="E178" s="106">
        <f>Source!BZ94</f>
        <v>109</v>
      </c>
      <c r="F178" s="52"/>
      <c r="G178" s="106">
        <f>Source!AT94</f>
        <v>109</v>
      </c>
      <c r="H178" s="53"/>
      <c r="I178" s="54"/>
      <c r="J178" s="55">
        <f>SUM(AG163:AG180)</f>
        <v>3695</v>
      </c>
      <c r="K178" s="54"/>
      <c r="L178" s="55">
        <f>SUM(AH163:AH180)</f>
        <v>133146</v>
      </c>
    </row>
    <row r="179" spans="1:12" ht="14.25">
      <c r="A179" s="76"/>
      <c r="B179" s="76" t="s">
        <v>121</v>
      </c>
      <c r="C179" s="76" t="s">
        <v>459</v>
      </c>
      <c r="D179" s="56" t="s">
        <v>430</v>
      </c>
      <c r="E179" s="107">
        <f>Source!CA94</f>
        <v>57</v>
      </c>
      <c r="F179" s="57"/>
      <c r="G179" s="107">
        <f>Source!AU94</f>
        <v>57</v>
      </c>
      <c r="H179" s="58"/>
      <c r="I179" s="59"/>
      <c r="J179" s="60">
        <f>SUM(AI163:AI180)</f>
        <v>1932</v>
      </c>
      <c r="K179" s="59"/>
      <c r="L179" s="60">
        <f>SUM(AJ163:AJ180)</f>
        <v>69627</v>
      </c>
    </row>
    <row r="180" spans="3:53" ht="15">
      <c r="C180" s="119" t="s">
        <v>432</v>
      </c>
      <c r="D180" s="119"/>
      <c r="E180" s="120"/>
      <c r="F180" s="119"/>
      <c r="G180" s="120"/>
      <c r="H180" s="119"/>
      <c r="I180" s="119">
        <f>J166+J167+J169+J178+J179+SUM(J175:J176)</f>
        <v>129023</v>
      </c>
      <c r="J180" s="119"/>
      <c r="K180" s="119">
        <f>L166+L167+L169+L178+L179+SUM(L175:L176)</f>
        <v>924772</v>
      </c>
      <c r="L180" s="119"/>
      <c r="O180" s="44">
        <f>I180</f>
        <v>129023</v>
      </c>
      <c r="P180" s="44">
        <f>K180</f>
        <v>924772</v>
      </c>
      <c r="Q180" s="44">
        <f>J166</f>
        <v>3291</v>
      </c>
      <c r="R180" s="44">
        <f>J166</f>
        <v>3291</v>
      </c>
      <c r="U180" s="44">
        <f>L166</f>
        <v>118570</v>
      </c>
      <c r="X180" s="44">
        <f>J168</f>
        <v>99</v>
      </c>
      <c r="Z180" s="44">
        <f>L168</f>
        <v>3582</v>
      </c>
      <c r="AB180" s="44">
        <f>J167</f>
        <v>653</v>
      </c>
      <c r="AD180" s="44">
        <f>L167</f>
        <v>7026</v>
      </c>
      <c r="AF180" s="44">
        <f>J169</f>
        <v>3865</v>
      </c>
      <c r="AN180">
        <f>IF(Source!BI94&lt;=1,J166+J167+J169+J178+J179,0)</f>
        <v>13436</v>
      </c>
      <c r="AO180">
        <f>IF(Source!BI94&lt;=1,J169,0)</f>
        <v>3865</v>
      </c>
      <c r="AP180">
        <f>IF(Source!BI94&lt;=1,J167,0)</f>
        <v>653</v>
      </c>
      <c r="AQ180">
        <f>IF(Source!BI94&lt;=1,J166,0)</f>
        <v>3291</v>
      </c>
      <c r="AX180">
        <f>IF(Source!BI94=2,J166+J167+J169+J178+J179,0)</f>
        <v>0</v>
      </c>
      <c r="AY180">
        <f>IF(Source!BI94=2,J169,0)</f>
        <v>0</v>
      </c>
      <c r="AZ180">
        <f>IF(Source!BI94=2,J167,0)</f>
        <v>0</v>
      </c>
      <c r="BA180">
        <f>IF(Source!BI94=2,J166,0)</f>
        <v>0</v>
      </c>
    </row>
    <row r="181" spans="1:56" ht="147.75">
      <c r="A181" s="74">
        <v>9</v>
      </c>
      <c r="B181" s="74" t="str">
        <f>Source!F100</f>
        <v>12-01-002-09</v>
      </c>
      <c r="C181" s="74" t="s">
        <v>466</v>
      </c>
      <c r="D181" s="51" t="str">
        <f>Source!DW100</f>
        <v>100 м2</v>
      </c>
      <c r="E181" s="106">
        <f>Source!K100</f>
        <v>0.16</v>
      </c>
      <c r="F181" s="52"/>
      <c r="G181" s="106">
        <f>Source!I100</f>
        <v>0.16</v>
      </c>
      <c r="H181" s="53"/>
      <c r="I181" s="54"/>
      <c r="J181" s="55"/>
      <c r="K181" s="54"/>
      <c r="L181" s="55"/>
      <c r="AG181">
        <f>ROUND((Source!AT100/100)*((ROUND(Source!AF100*Source!I100,0)+ROUND(Source!AE100*Source!I100,0))),0)</f>
        <v>28</v>
      </c>
      <c r="AH181">
        <f>Source!X100</f>
        <v>1005</v>
      </c>
      <c r="AI181">
        <f>ROUND((Source!AU100/100)*((ROUND(Source!AF100*Source!I100,0)+ROUND(Source!AE100*Source!I100,0))),0)</f>
        <v>15</v>
      </c>
      <c r="AJ181">
        <f>Source!Y100</f>
        <v>526</v>
      </c>
      <c r="AS181">
        <f>IF(Source!BI100&lt;=1,AH181,0)</f>
        <v>1005</v>
      </c>
      <c r="AT181">
        <f>IF(Source!BI100&lt;=1,AJ181,0)</f>
        <v>526</v>
      </c>
      <c r="BC181">
        <f>IF(Source!BI100=2,AH181,0)</f>
        <v>0</v>
      </c>
      <c r="BD181">
        <f>IF(Source!BI100=2,AJ181,0)</f>
        <v>0</v>
      </c>
    </row>
    <row r="182" ht="25.5">
      <c r="B182" s="45" t="str">
        <f>Source!EO100</f>
        <v>Поправка: МР 519/пр п.6.7.1</v>
      </c>
    </row>
    <row r="183" ht="12.75">
      <c r="C183" s="42" t="str">
        <f>"Объем: "&amp;Source!K100&amp;"=16/"&amp;"100"</f>
        <v>Объем: 0,16=16/100</v>
      </c>
    </row>
    <row r="184" spans="1:12" ht="14.25">
      <c r="A184" s="74"/>
      <c r="B184" s="75">
        <v>1</v>
      </c>
      <c r="C184" s="74" t="s">
        <v>423</v>
      </c>
      <c r="D184" s="51"/>
      <c r="E184" s="106"/>
      <c r="F184" s="52"/>
      <c r="G184" s="106"/>
      <c r="H184" s="53">
        <f>Source!AO100</f>
        <v>134.98</v>
      </c>
      <c r="I184" s="54">
        <f>ROUND(1.15,7)</f>
        <v>1.15</v>
      </c>
      <c r="J184" s="55">
        <f>ROUND(Source!AF100*Source!I100,0)</f>
        <v>25</v>
      </c>
      <c r="K184" s="54">
        <f>IF(Source!BA100&lt;&gt;0,Source!BA100,1)</f>
        <v>36.03</v>
      </c>
      <c r="L184" s="55">
        <f>Source!S100</f>
        <v>895</v>
      </c>
    </row>
    <row r="185" spans="1:12" ht="14.25">
      <c r="A185" s="74"/>
      <c r="B185" s="75">
        <v>3</v>
      </c>
      <c r="C185" s="74" t="s">
        <v>424</v>
      </c>
      <c r="D185" s="51"/>
      <c r="E185" s="106"/>
      <c r="F185" s="52"/>
      <c r="G185" s="106"/>
      <c r="H185" s="53">
        <f>Source!AM100</f>
        <v>24.64</v>
      </c>
      <c r="I185" s="54">
        <f>ROUND(1.25,7)</f>
        <v>1.25</v>
      </c>
      <c r="J185" s="55">
        <f>ROUND(Source!AD100*Source!I100,0)</f>
        <v>5</v>
      </c>
      <c r="K185" s="54">
        <f>IF(Source!BB100&lt;&gt;0,Source!BB100,1)</f>
        <v>10.76</v>
      </c>
      <c r="L185" s="55">
        <f>Source!Q100</f>
        <v>53</v>
      </c>
    </row>
    <row r="186" spans="1:12" ht="14.25">
      <c r="A186" s="74"/>
      <c r="B186" s="75">
        <v>2</v>
      </c>
      <c r="C186" s="74" t="s">
        <v>436</v>
      </c>
      <c r="D186" s="51"/>
      <c r="E186" s="106"/>
      <c r="F186" s="52"/>
      <c r="G186" s="106"/>
      <c r="H186" s="53">
        <f>Source!AN100</f>
        <v>3.75</v>
      </c>
      <c r="I186" s="54">
        <f>ROUND(1.25,7)</f>
        <v>1.25</v>
      </c>
      <c r="J186" s="61">
        <f>ROUND(Source!AE100*Source!I100,0)</f>
        <v>1</v>
      </c>
      <c r="K186" s="54">
        <f>IF(Source!BS100&lt;&gt;0,Source!BS100,1)</f>
        <v>36.03</v>
      </c>
      <c r="L186" s="61">
        <f>Source!R100</f>
        <v>27</v>
      </c>
    </row>
    <row r="187" spans="1:12" ht="14.25">
      <c r="A187" s="74"/>
      <c r="B187" s="75">
        <v>4</v>
      </c>
      <c r="C187" s="74" t="s">
        <v>457</v>
      </c>
      <c r="D187" s="51"/>
      <c r="E187" s="106"/>
      <c r="F187" s="52"/>
      <c r="G187" s="106"/>
      <c r="H187" s="53">
        <f>Source!AL100</f>
        <v>182.33</v>
      </c>
      <c r="I187" s="54"/>
      <c r="J187" s="55">
        <f>ROUND(Source!AC100*Source!I100,0)</f>
        <v>29</v>
      </c>
      <c r="K187" s="54">
        <f>IF(Source!BC100&lt;&gt;0,Source!BC100,1)</f>
        <v>8.48</v>
      </c>
      <c r="L187" s="55">
        <f>Source!P100</f>
        <v>247</v>
      </c>
    </row>
    <row r="188" spans="1:12" ht="28.5">
      <c r="A188" s="74"/>
      <c r="B188" s="74" t="str">
        <f>EtalonRes!I99</f>
        <v>12.1.02.15</v>
      </c>
      <c r="C188" s="74" t="str">
        <f>EtalonRes!K99</f>
        <v>Материалы рулонные кровельные для верхнего слоя</v>
      </c>
      <c r="D188" s="51" t="str">
        <f>EtalonRes!P99</f>
        <v>м2</v>
      </c>
      <c r="E188" s="106">
        <f>EtalonRes!X99</f>
        <v>114</v>
      </c>
      <c r="F188" s="52"/>
      <c r="G188" s="106">
        <f>ROUND(EtalonRes!AG99*Source!I100,7)</f>
        <v>18.24</v>
      </c>
      <c r="H188" s="53"/>
      <c r="I188" s="54"/>
      <c r="J188" s="55"/>
      <c r="K188" s="54"/>
      <c r="L188" s="55"/>
    </row>
    <row r="189" spans="1:12" ht="28.5">
      <c r="A189" s="74"/>
      <c r="B189" s="74" t="str">
        <f>EtalonRes!I100</f>
        <v>12.1.02.15</v>
      </c>
      <c r="C189" s="74" t="str">
        <f>EtalonRes!K100</f>
        <v>Материалы рулонные кровельные для нижних слоев</v>
      </c>
      <c r="D189" s="51" t="str">
        <f>EtalonRes!P100</f>
        <v>м2</v>
      </c>
      <c r="E189" s="106">
        <f>EtalonRes!X100</f>
        <v>116</v>
      </c>
      <c r="F189" s="52"/>
      <c r="G189" s="106">
        <f>ROUND(EtalonRes!AG100*Source!I100,7)</f>
        <v>18.56</v>
      </c>
      <c r="H189" s="53"/>
      <c r="I189" s="54"/>
      <c r="J189" s="55"/>
      <c r="K189" s="54"/>
      <c r="L189" s="55"/>
    </row>
    <row r="190" spans="1:12" ht="14.25">
      <c r="A190" s="74"/>
      <c r="B190" s="74"/>
      <c r="C190" s="74" t="s">
        <v>425</v>
      </c>
      <c r="D190" s="51" t="s">
        <v>426</v>
      </c>
      <c r="E190" s="106">
        <f>Source!AQ100</f>
        <v>14.36</v>
      </c>
      <c r="F190" s="52">
        <f>ROUND(1.15,7)</f>
        <v>1.15</v>
      </c>
      <c r="G190" s="106">
        <f>ROUND(Source!U100,7)</f>
        <v>2.64224</v>
      </c>
      <c r="H190" s="53"/>
      <c r="I190" s="54"/>
      <c r="J190" s="55"/>
      <c r="K190" s="54"/>
      <c r="L190" s="55"/>
    </row>
    <row r="191" spans="1:12" ht="14.25">
      <c r="A191" s="74"/>
      <c r="B191" s="74"/>
      <c r="C191" s="76" t="s">
        <v>437</v>
      </c>
      <c r="D191" s="56" t="s">
        <v>426</v>
      </c>
      <c r="E191" s="107">
        <f>Source!AR100</f>
        <v>0.29</v>
      </c>
      <c r="F191" s="57">
        <f>ROUND(1.25,7)</f>
        <v>1.25</v>
      </c>
      <c r="G191" s="107">
        <f>ROUND(Source!V100,7)</f>
        <v>0.058</v>
      </c>
      <c r="H191" s="58"/>
      <c r="I191" s="59"/>
      <c r="J191" s="60"/>
      <c r="K191" s="59"/>
      <c r="L191" s="60"/>
    </row>
    <row r="192" spans="1:12" ht="14.25">
      <c r="A192" s="74"/>
      <c r="B192" s="74"/>
      <c r="C192" s="74" t="s">
        <v>427</v>
      </c>
      <c r="D192" s="51"/>
      <c r="E192" s="106"/>
      <c r="F192" s="52"/>
      <c r="G192" s="106"/>
      <c r="H192" s="53">
        <f>H184+H185+H187</f>
        <v>341.95000000000005</v>
      </c>
      <c r="I192" s="54"/>
      <c r="J192" s="55">
        <f>J184+J185+J187</f>
        <v>59</v>
      </c>
      <c r="K192" s="54"/>
      <c r="L192" s="55">
        <f>L184+L185+L187</f>
        <v>1195</v>
      </c>
    </row>
    <row r="193" spans="1:56" ht="14.25">
      <c r="A193" s="74" t="s">
        <v>181</v>
      </c>
      <c r="B193" s="74" t="str">
        <f>Source!F102</f>
        <v>12.1.02.08-0091</v>
      </c>
      <c r="C193" s="74" t="str">
        <f>Source!G102</f>
        <v>Линокром: ТКП</v>
      </c>
      <c r="D193" s="51" t="str">
        <f>Source!DW102</f>
        <v>м2</v>
      </c>
      <c r="E193" s="106">
        <f>SmtRes!AT99</f>
        <v>114</v>
      </c>
      <c r="F193" s="52"/>
      <c r="G193" s="106">
        <f>Source!I102</f>
        <v>18.24</v>
      </c>
      <c r="H193" s="53">
        <f>Source!AL102+Source!AO102+Source!AM102</f>
        <v>27.73</v>
      </c>
      <c r="I193" s="54"/>
      <c r="J193" s="55">
        <f>ROUND(Source!AC102*Source!I102,0)+ROUND(Source!AD102*Source!I102,0)+ROUND(Source!AF102*Source!I102,0)</f>
        <v>506</v>
      </c>
      <c r="K193" s="54">
        <f>IF(Source!BC102&lt;&gt;0,Source!BC102,1)</f>
        <v>4.04</v>
      </c>
      <c r="L193" s="55">
        <f>Source!O102</f>
        <v>2043</v>
      </c>
      <c r="AF193" s="44">
        <f>J193</f>
        <v>506</v>
      </c>
      <c r="AG193">
        <f>ROUND((Source!AT102/100)*((ROUND(Source!AF102*Source!I102,0)+ROUND(Source!AE102*Source!I102,0))),0)</f>
        <v>0</v>
      </c>
      <c r="AH193">
        <f>Source!X102</f>
        <v>0</v>
      </c>
      <c r="AI193">
        <f>ROUND((Source!AU102/100)*((ROUND(Source!AF102*Source!I102,0)+ROUND(Source!AE102*Source!I102,0))),0)</f>
        <v>0</v>
      </c>
      <c r="AJ193">
        <f>Source!Y102</f>
        <v>0</v>
      </c>
      <c r="AN193">
        <f>IF(Source!BI102&lt;=1,J193,0)</f>
        <v>506</v>
      </c>
      <c r="AO193">
        <f>IF(Source!BI102&lt;=1,J193,0)</f>
        <v>506</v>
      </c>
      <c r="AS193">
        <f>IF(Source!BI102&lt;=1,AH193,0)</f>
        <v>0</v>
      </c>
      <c r="AT193">
        <f>IF(Source!BI102&lt;=1,AJ193,0)</f>
        <v>0</v>
      </c>
      <c r="AX193">
        <f>IF(Source!BI102=2,J193,0)</f>
        <v>0</v>
      </c>
      <c r="AY193">
        <f>IF(Source!BI102=2,J193,0)</f>
        <v>0</v>
      </c>
      <c r="BC193">
        <f>IF(Source!BI102=2,AH193,0)</f>
        <v>0</v>
      </c>
      <c r="BD193">
        <f>IF(Source!BI102=2,AJ193,0)</f>
        <v>0</v>
      </c>
    </row>
    <row r="194" spans="1:56" ht="14.25">
      <c r="A194" s="74" t="s">
        <v>182</v>
      </c>
      <c r="B194" s="74" t="str">
        <f>Source!F104</f>
        <v>12.1.02.08-0095</v>
      </c>
      <c r="C194" s="74" t="str">
        <f>Source!G104</f>
        <v>Линокром: ТПП</v>
      </c>
      <c r="D194" s="51" t="str">
        <f>Source!DW104</f>
        <v>м2</v>
      </c>
      <c r="E194" s="106">
        <f>SmtRes!AT100</f>
        <v>116</v>
      </c>
      <c r="F194" s="52"/>
      <c r="G194" s="106">
        <f>Source!I104</f>
        <v>18.56</v>
      </c>
      <c r="H194" s="53">
        <f>Source!AL104+Source!AO104+Source!AM104</f>
        <v>19.75</v>
      </c>
      <c r="I194" s="54"/>
      <c r="J194" s="55">
        <f>ROUND(Source!AC104*Source!I104,0)+ROUND(Source!AD104*Source!I104,0)+ROUND(Source!AF104*Source!I104,0)</f>
        <v>367</v>
      </c>
      <c r="K194" s="54">
        <f>IF(Source!BC104&lt;&gt;0,Source!BC104,1)</f>
        <v>6.03</v>
      </c>
      <c r="L194" s="55">
        <f>Source!O104</f>
        <v>2210</v>
      </c>
      <c r="AF194" s="44">
        <f>J194</f>
        <v>367</v>
      </c>
      <c r="AG194">
        <f>ROUND((Source!AT104/100)*((ROUND(Source!AF104*Source!I104,0)+ROUND(Source!AE104*Source!I104,0))),0)</f>
        <v>0</v>
      </c>
      <c r="AH194">
        <f>Source!X104</f>
        <v>0</v>
      </c>
      <c r="AI194">
        <f>ROUND((Source!AU104/100)*((ROUND(Source!AF104*Source!I104,0)+ROUND(Source!AE104*Source!I104,0))),0)</f>
        <v>0</v>
      </c>
      <c r="AJ194">
        <f>Source!Y104</f>
        <v>0</v>
      </c>
      <c r="AN194">
        <f>IF(Source!BI104&lt;=1,J194,0)</f>
        <v>367</v>
      </c>
      <c r="AO194">
        <f>IF(Source!BI104&lt;=1,J194,0)</f>
        <v>367</v>
      </c>
      <c r="AS194">
        <f>IF(Source!BI104&lt;=1,AH194,0)</f>
        <v>0</v>
      </c>
      <c r="AT194">
        <f>IF(Source!BI104&lt;=1,AJ194,0)</f>
        <v>0</v>
      </c>
      <c r="AX194">
        <f>IF(Source!BI104=2,J194,0)</f>
        <v>0</v>
      </c>
      <c r="AY194">
        <f>IF(Source!BI104=2,J194,0)</f>
        <v>0</v>
      </c>
      <c r="BC194">
        <f>IF(Source!BI104=2,AH194,0)</f>
        <v>0</v>
      </c>
      <c r="BD194">
        <f>IF(Source!BI104=2,AJ194,0)</f>
        <v>0</v>
      </c>
    </row>
    <row r="195" spans="1:12" ht="14.25">
      <c r="A195" s="74"/>
      <c r="B195" s="74"/>
      <c r="C195" s="74" t="s">
        <v>428</v>
      </c>
      <c r="D195" s="51"/>
      <c r="E195" s="106"/>
      <c r="F195" s="52"/>
      <c r="G195" s="106"/>
      <c r="H195" s="53"/>
      <c r="I195" s="54"/>
      <c r="J195" s="55">
        <f>SUM(Q181:Q198)+SUM(V181:V198)+SUM(X181:X198)+SUM(Y181:Y198)</f>
        <v>26</v>
      </c>
      <c r="K195" s="54"/>
      <c r="L195" s="55">
        <f>SUM(U181:U198)+SUM(W181:W198)+SUM(Z181:Z198)+SUM(AA181:AA198)</f>
        <v>922</v>
      </c>
    </row>
    <row r="196" spans="1:12" ht="14.25">
      <c r="A196" s="74"/>
      <c r="B196" s="74" t="s">
        <v>120</v>
      </c>
      <c r="C196" s="74" t="s">
        <v>458</v>
      </c>
      <c r="D196" s="51" t="s">
        <v>430</v>
      </c>
      <c r="E196" s="106">
        <f>Source!BZ100</f>
        <v>109</v>
      </c>
      <c r="F196" s="52"/>
      <c r="G196" s="106">
        <f>Source!AT100</f>
        <v>109</v>
      </c>
      <c r="H196" s="53"/>
      <c r="I196" s="54"/>
      <c r="J196" s="55">
        <f>SUM(AG181:AG198)</f>
        <v>28</v>
      </c>
      <c r="K196" s="54"/>
      <c r="L196" s="55">
        <f>SUM(AH181:AH198)</f>
        <v>1005</v>
      </c>
    </row>
    <row r="197" spans="1:12" ht="14.25">
      <c r="A197" s="76"/>
      <c r="B197" s="76" t="s">
        <v>121</v>
      </c>
      <c r="C197" s="76" t="s">
        <v>459</v>
      </c>
      <c r="D197" s="56" t="s">
        <v>430</v>
      </c>
      <c r="E197" s="107">
        <f>Source!CA100</f>
        <v>57</v>
      </c>
      <c r="F197" s="57"/>
      <c r="G197" s="107">
        <f>Source!AU100</f>
        <v>57</v>
      </c>
      <c r="H197" s="58"/>
      <c r="I197" s="59"/>
      <c r="J197" s="60">
        <f>SUM(AI181:AI198)</f>
        <v>15</v>
      </c>
      <c r="K197" s="59"/>
      <c r="L197" s="60">
        <f>SUM(AJ181:AJ198)</f>
        <v>526</v>
      </c>
    </row>
    <row r="198" spans="3:53" ht="15">
      <c r="C198" s="119" t="s">
        <v>432</v>
      </c>
      <c r="D198" s="119"/>
      <c r="E198" s="120"/>
      <c r="F198" s="119"/>
      <c r="G198" s="120"/>
      <c r="H198" s="119"/>
      <c r="I198" s="119">
        <f>J184+J185+J187+J196+J197+SUM(J193:J194)</f>
        <v>975</v>
      </c>
      <c r="J198" s="119"/>
      <c r="K198" s="119">
        <f>L184+L185+L187+L196+L197+SUM(L193:L194)</f>
        <v>6979</v>
      </c>
      <c r="L198" s="119"/>
      <c r="O198" s="44">
        <f>I198</f>
        <v>975</v>
      </c>
      <c r="P198" s="44">
        <f>K198</f>
        <v>6979</v>
      </c>
      <c r="Q198" s="44">
        <f>J184</f>
        <v>25</v>
      </c>
      <c r="R198" s="44">
        <f>J184</f>
        <v>25</v>
      </c>
      <c r="U198" s="44">
        <f>L184</f>
        <v>895</v>
      </c>
      <c r="X198" s="44">
        <f>J186</f>
        <v>1</v>
      </c>
      <c r="Z198" s="44">
        <f>L186</f>
        <v>27</v>
      </c>
      <c r="AB198" s="44">
        <f>J185</f>
        <v>5</v>
      </c>
      <c r="AD198" s="44">
        <f>L185</f>
        <v>53</v>
      </c>
      <c r="AF198" s="44">
        <f>J187</f>
        <v>29</v>
      </c>
      <c r="AN198">
        <f>IF(Source!BI100&lt;=1,J184+J185+J187+J196+J197,0)</f>
        <v>102</v>
      </c>
      <c r="AO198">
        <f>IF(Source!BI100&lt;=1,J187,0)</f>
        <v>29</v>
      </c>
      <c r="AP198">
        <f>IF(Source!BI100&lt;=1,J185,0)</f>
        <v>5</v>
      </c>
      <c r="AQ198">
        <f>IF(Source!BI100&lt;=1,J184,0)</f>
        <v>25</v>
      </c>
      <c r="AX198">
        <f>IF(Source!BI100=2,J184+J185+J187+J196+J197,0)</f>
        <v>0</v>
      </c>
      <c r="AY198">
        <f>IF(Source!BI100=2,J187,0)</f>
        <v>0</v>
      </c>
      <c r="AZ198">
        <f>IF(Source!BI100=2,J185,0)</f>
        <v>0</v>
      </c>
      <c r="BA198">
        <f>IF(Source!BI100=2,J184,0)</f>
        <v>0</v>
      </c>
    </row>
    <row r="199" spans="1:56" ht="133.5">
      <c r="A199" s="74">
        <v>10</v>
      </c>
      <c r="B199" s="74" t="str">
        <f>Source!F106</f>
        <v>12-01-004-04</v>
      </c>
      <c r="C199" s="74" t="s">
        <v>467</v>
      </c>
      <c r="D199" s="51" t="str">
        <f>Source!DW106</f>
        <v>100 м</v>
      </c>
      <c r="E199" s="106">
        <f>Source!K106</f>
        <v>1.5</v>
      </c>
      <c r="F199" s="52"/>
      <c r="G199" s="106">
        <f>Source!I106</f>
        <v>1.5</v>
      </c>
      <c r="H199" s="53"/>
      <c r="I199" s="54"/>
      <c r="J199" s="55"/>
      <c r="K199" s="54"/>
      <c r="L199" s="55"/>
      <c r="AG199">
        <f>ROUND((Source!AT106/100)*((ROUND(Source!AF106*Source!I106,0)+ROUND(Source!AE106*Source!I106,0))),0)</f>
        <v>635</v>
      </c>
      <c r="AH199">
        <f>Source!X106</f>
        <v>22911</v>
      </c>
      <c r="AI199">
        <f>ROUND((Source!AU106/100)*((ROUND(Source!AF106*Source!I106,0)+ROUND(Source!AE106*Source!I106,0))),0)</f>
        <v>332</v>
      </c>
      <c r="AJ199">
        <f>Source!Y106</f>
        <v>11981</v>
      </c>
      <c r="AS199">
        <f>IF(Source!BI106&lt;=1,AH199,0)</f>
        <v>22911</v>
      </c>
      <c r="AT199">
        <f>IF(Source!BI106&lt;=1,AJ199,0)</f>
        <v>11981</v>
      </c>
      <c r="BC199">
        <f>IF(Source!BI106=2,AH199,0)</f>
        <v>0</v>
      </c>
      <c r="BD199">
        <f>IF(Source!BI106=2,AJ199,0)</f>
        <v>0</v>
      </c>
    </row>
    <row r="200" ht="25.5">
      <c r="B200" s="45" t="str">
        <f>Source!EO106</f>
        <v>Поправка: МР 519/пр п.6.7.1</v>
      </c>
    </row>
    <row r="201" ht="12.75">
      <c r="C201" s="42" t="str">
        <f>"Объем: "&amp;Source!K106&amp;"=150/"&amp;"100"</f>
        <v>Объем: 1,5=150/100</v>
      </c>
    </row>
    <row r="202" spans="1:12" ht="14.25">
      <c r="A202" s="74"/>
      <c r="B202" s="75">
        <v>1</v>
      </c>
      <c r="C202" s="74" t="s">
        <v>423</v>
      </c>
      <c r="D202" s="51"/>
      <c r="E202" s="106"/>
      <c r="F202" s="52"/>
      <c r="G202" s="106"/>
      <c r="H202" s="53">
        <f>Source!AO106</f>
        <v>325.89</v>
      </c>
      <c r="I202" s="54">
        <f>ROUND(1.15,7)</f>
        <v>1.15</v>
      </c>
      <c r="J202" s="55">
        <f>ROUND(Source!AF106*Source!I106,0)</f>
        <v>562</v>
      </c>
      <c r="K202" s="54">
        <f>IF(Source!BA106&lt;&gt;0,Source!BA106,1)</f>
        <v>36.03</v>
      </c>
      <c r="L202" s="55">
        <f>Source!S106</f>
        <v>20254</v>
      </c>
    </row>
    <row r="203" spans="1:12" ht="14.25">
      <c r="A203" s="74"/>
      <c r="B203" s="75">
        <v>3</v>
      </c>
      <c r="C203" s="74" t="s">
        <v>424</v>
      </c>
      <c r="D203" s="51"/>
      <c r="E203" s="106"/>
      <c r="F203" s="52"/>
      <c r="G203" s="106"/>
      <c r="H203" s="53">
        <f>Source!AM106</f>
        <v>74.1</v>
      </c>
      <c r="I203" s="54">
        <f>ROUND(1.25,7)</f>
        <v>1.25</v>
      </c>
      <c r="J203" s="55">
        <f>ROUND(Source!AD106*Source!I106,0)</f>
        <v>139</v>
      </c>
      <c r="K203" s="54">
        <f>IF(Source!BB106&lt;&gt;0,Source!BB106,1)</f>
        <v>10.55</v>
      </c>
      <c r="L203" s="55">
        <f>Source!Q106</f>
        <v>1466</v>
      </c>
    </row>
    <row r="204" spans="1:12" ht="14.25">
      <c r="A204" s="74"/>
      <c r="B204" s="75">
        <v>2</v>
      </c>
      <c r="C204" s="74" t="s">
        <v>436</v>
      </c>
      <c r="D204" s="51"/>
      <c r="E204" s="106"/>
      <c r="F204" s="52"/>
      <c r="G204" s="106"/>
      <c r="H204" s="53">
        <f>Source!AN106</f>
        <v>11.33</v>
      </c>
      <c r="I204" s="54">
        <f>ROUND(1.25,7)</f>
        <v>1.25</v>
      </c>
      <c r="J204" s="61">
        <f>ROUND(Source!AE106*Source!I106,0)</f>
        <v>21</v>
      </c>
      <c r="K204" s="54">
        <f>IF(Source!BS106&lt;&gt;0,Source!BS106,1)</f>
        <v>36.03</v>
      </c>
      <c r="L204" s="61">
        <f>Source!R106</f>
        <v>765</v>
      </c>
    </row>
    <row r="205" spans="1:12" ht="14.25">
      <c r="A205" s="74"/>
      <c r="B205" s="75">
        <v>4</v>
      </c>
      <c r="C205" s="74" t="s">
        <v>457</v>
      </c>
      <c r="D205" s="51"/>
      <c r="E205" s="106"/>
      <c r="F205" s="52"/>
      <c r="G205" s="106"/>
      <c r="H205" s="53">
        <f>Source!AL106</f>
        <v>462.96</v>
      </c>
      <c r="I205" s="54"/>
      <c r="J205" s="55">
        <f>ROUND(Source!AC106*Source!I106,0)</f>
        <v>694</v>
      </c>
      <c r="K205" s="54">
        <f>IF(Source!BC106&lt;&gt;0,Source!BC106,1)</f>
        <v>7.33</v>
      </c>
      <c r="L205" s="55">
        <f>Source!P106</f>
        <v>5090</v>
      </c>
    </row>
    <row r="206" spans="1:12" ht="28.5">
      <c r="A206" s="74"/>
      <c r="B206" s="74" t="str">
        <f>EtalonRes!I116</f>
        <v>12.1.02.15</v>
      </c>
      <c r="C206" s="74" t="str">
        <f>EtalonRes!K116</f>
        <v>Материалы рулонные кровельные наплавляемые</v>
      </c>
      <c r="D206" s="51" t="str">
        <f>EtalonRes!P116</f>
        <v>м2</v>
      </c>
      <c r="E206" s="106">
        <f>EtalonRes!X116</f>
        <v>252</v>
      </c>
      <c r="F206" s="52"/>
      <c r="G206" s="106">
        <f>ROUND(EtalonRes!AG116*Source!I106,7)</f>
        <v>378</v>
      </c>
      <c r="H206" s="53"/>
      <c r="I206" s="54"/>
      <c r="J206" s="55"/>
      <c r="K206" s="54"/>
      <c r="L206" s="55"/>
    </row>
    <row r="207" spans="1:12" ht="14.25">
      <c r="A207" s="74"/>
      <c r="B207" s="74"/>
      <c r="C207" s="74" t="s">
        <v>425</v>
      </c>
      <c r="D207" s="51" t="s">
        <v>426</v>
      </c>
      <c r="E207" s="106">
        <f>Source!AQ106</f>
        <v>35.5</v>
      </c>
      <c r="F207" s="52">
        <f>ROUND(1.15,7)</f>
        <v>1.15</v>
      </c>
      <c r="G207" s="106">
        <f>ROUND(Source!U106,7)</f>
        <v>61.2375</v>
      </c>
      <c r="H207" s="53"/>
      <c r="I207" s="54"/>
      <c r="J207" s="55"/>
      <c r="K207" s="54"/>
      <c r="L207" s="55"/>
    </row>
    <row r="208" spans="1:12" ht="14.25">
      <c r="A208" s="74"/>
      <c r="B208" s="74"/>
      <c r="C208" s="76" t="s">
        <v>437</v>
      </c>
      <c r="D208" s="56" t="s">
        <v>426</v>
      </c>
      <c r="E208" s="107">
        <f>Source!AR106</f>
        <v>0.86</v>
      </c>
      <c r="F208" s="57">
        <f>ROUND(1.25,7)</f>
        <v>1.25</v>
      </c>
      <c r="G208" s="107">
        <f>ROUND(Source!V106,7)</f>
        <v>1.6125</v>
      </c>
      <c r="H208" s="58"/>
      <c r="I208" s="59"/>
      <c r="J208" s="60"/>
      <c r="K208" s="59"/>
      <c r="L208" s="60"/>
    </row>
    <row r="209" spans="1:12" ht="14.25">
      <c r="A209" s="74"/>
      <c r="B209" s="74"/>
      <c r="C209" s="74" t="s">
        <v>427</v>
      </c>
      <c r="D209" s="51"/>
      <c r="E209" s="106"/>
      <c r="F209" s="52"/>
      <c r="G209" s="106"/>
      <c r="H209" s="53">
        <f>H202+H203+H205</f>
        <v>862.95</v>
      </c>
      <c r="I209" s="54"/>
      <c r="J209" s="55">
        <f>J202+J203+J205</f>
        <v>1395</v>
      </c>
      <c r="K209" s="54"/>
      <c r="L209" s="55">
        <f>L202+L203+L205</f>
        <v>26810</v>
      </c>
    </row>
    <row r="210" spans="1:56" ht="14.25">
      <c r="A210" s="74" t="s">
        <v>188</v>
      </c>
      <c r="B210" s="74" t="str">
        <f>Source!F108</f>
        <v>12.1.02.08-0091</v>
      </c>
      <c r="C210" s="74" t="str">
        <f>Source!G108</f>
        <v>Линокром: ТКП</v>
      </c>
      <c r="D210" s="51" t="str">
        <f>Source!DW108</f>
        <v>м2</v>
      </c>
      <c r="E210" s="106">
        <f>SmtRes!AT117</f>
        <v>114</v>
      </c>
      <c r="F210" s="52"/>
      <c r="G210" s="106">
        <f>Source!I108</f>
        <v>171</v>
      </c>
      <c r="H210" s="53">
        <f>Source!AL108+Source!AO108+Source!AM108</f>
        <v>27.73</v>
      </c>
      <c r="I210" s="54"/>
      <c r="J210" s="55">
        <f>ROUND(Source!AC108*Source!I108,0)+ROUND(Source!AD108*Source!I108,0)+ROUND(Source!AF108*Source!I108,0)</f>
        <v>4742</v>
      </c>
      <c r="K210" s="54">
        <f>IF(Source!BC108&lt;&gt;0,Source!BC108,1)</f>
        <v>4.04</v>
      </c>
      <c r="L210" s="55">
        <f>Source!O108</f>
        <v>19157</v>
      </c>
      <c r="AF210" s="44">
        <f>J210</f>
        <v>4742</v>
      </c>
      <c r="AG210">
        <f>ROUND((Source!AT108/100)*((ROUND(Source!AF108*Source!I108,0)+ROUND(Source!AE108*Source!I108,0))),0)</f>
        <v>0</v>
      </c>
      <c r="AH210">
        <f>Source!X108</f>
        <v>0</v>
      </c>
      <c r="AI210">
        <f>ROUND((Source!AU108/100)*((ROUND(Source!AF108*Source!I108,0)+ROUND(Source!AE108*Source!I108,0))),0)</f>
        <v>0</v>
      </c>
      <c r="AJ210">
        <f>Source!Y108</f>
        <v>0</v>
      </c>
      <c r="AN210">
        <f>IF(Source!BI108&lt;=1,J210,0)</f>
        <v>4742</v>
      </c>
      <c r="AO210">
        <f>IF(Source!BI108&lt;=1,J210,0)</f>
        <v>4742</v>
      </c>
      <c r="AS210">
        <f>IF(Source!BI108&lt;=1,AH210,0)</f>
        <v>0</v>
      </c>
      <c r="AT210">
        <f>IF(Source!BI108&lt;=1,AJ210,0)</f>
        <v>0</v>
      </c>
      <c r="AX210">
        <f>IF(Source!BI108=2,J210,0)</f>
        <v>0</v>
      </c>
      <c r="AY210">
        <f>IF(Source!BI108=2,J210,0)</f>
        <v>0</v>
      </c>
      <c r="BC210">
        <f>IF(Source!BI108=2,AH210,0)</f>
        <v>0</v>
      </c>
      <c r="BD210">
        <f>IF(Source!BI108=2,AJ210,0)</f>
        <v>0</v>
      </c>
    </row>
    <row r="211" spans="1:56" ht="14.25">
      <c r="A211" s="74" t="s">
        <v>189</v>
      </c>
      <c r="B211" s="74" t="str">
        <f>Source!F110</f>
        <v>12.1.02.08-0095</v>
      </c>
      <c r="C211" s="74" t="str">
        <f>Source!G110</f>
        <v>Линокром: ТПП</v>
      </c>
      <c r="D211" s="51" t="str">
        <f>Source!DW110</f>
        <v>м2</v>
      </c>
      <c r="E211" s="106">
        <f>SmtRes!AT118</f>
        <v>116</v>
      </c>
      <c r="F211" s="52"/>
      <c r="G211" s="106">
        <f>Source!I110</f>
        <v>174</v>
      </c>
      <c r="H211" s="53">
        <f>Source!AL110+Source!AO110+Source!AM110</f>
        <v>19.75</v>
      </c>
      <c r="I211" s="54"/>
      <c r="J211" s="55">
        <f>ROUND(Source!AC110*Source!I110,0)+ROUND(Source!AD110*Source!I110,0)+ROUND(Source!AF110*Source!I110,0)</f>
        <v>3437</v>
      </c>
      <c r="K211" s="54">
        <f>IF(Source!BC110&lt;&gt;0,Source!BC110,1)</f>
        <v>6.03</v>
      </c>
      <c r="L211" s="55">
        <f>Source!O110</f>
        <v>20722</v>
      </c>
      <c r="AF211" s="44">
        <f>J211</f>
        <v>3437</v>
      </c>
      <c r="AG211">
        <f>ROUND((Source!AT110/100)*((ROUND(Source!AF110*Source!I110,0)+ROUND(Source!AE110*Source!I110,0))),0)</f>
        <v>0</v>
      </c>
      <c r="AH211">
        <f>Source!X110</f>
        <v>0</v>
      </c>
      <c r="AI211">
        <f>ROUND((Source!AU110/100)*((ROUND(Source!AF110*Source!I110,0)+ROUND(Source!AE110*Source!I110,0))),0)</f>
        <v>0</v>
      </c>
      <c r="AJ211">
        <f>Source!Y110</f>
        <v>0</v>
      </c>
      <c r="AN211">
        <f>IF(Source!BI110&lt;=1,J211,0)</f>
        <v>3437</v>
      </c>
      <c r="AO211">
        <f>IF(Source!BI110&lt;=1,J211,0)</f>
        <v>3437</v>
      </c>
      <c r="AS211">
        <f>IF(Source!BI110&lt;=1,AH211,0)</f>
        <v>0</v>
      </c>
      <c r="AT211">
        <f>IF(Source!BI110&lt;=1,AJ211,0)</f>
        <v>0</v>
      </c>
      <c r="AX211">
        <f>IF(Source!BI110=2,J211,0)</f>
        <v>0</v>
      </c>
      <c r="AY211">
        <f>IF(Source!BI110=2,J211,0)</f>
        <v>0</v>
      </c>
      <c r="BC211">
        <f>IF(Source!BI110=2,AH211,0)</f>
        <v>0</v>
      </c>
      <c r="BD211">
        <f>IF(Source!BI110=2,AJ211,0)</f>
        <v>0</v>
      </c>
    </row>
    <row r="212" spans="1:56" ht="28.5">
      <c r="A212" s="74" t="s">
        <v>190</v>
      </c>
      <c r="B212" s="74" t="str">
        <f>Source!F112</f>
        <v>04.3.01.09-0014</v>
      </c>
      <c r="C212" s="74" t="str">
        <f>Source!G112</f>
        <v>Раствор готовый кладочный, цементный, М100</v>
      </c>
      <c r="D212" s="51" t="str">
        <f>Source!DW112</f>
        <v>м3</v>
      </c>
      <c r="E212" s="106">
        <f>SmtRes!AT116</f>
        <v>-0.51</v>
      </c>
      <c r="F212" s="52"/>
      <c r="G212" s="106">
        <f>Source!I112</f>
        <v>-0.765</v>
      </c>
      <c r="H212" s="53">
        <f>Source!AL112+Source!AO112+Source!AM112</f>
        <v>519.8</v>
      </c>
      <c r="I212" s="54"/>
      <c r="J212" s="55">
        <f>ROUND(Source!AC112*Source!I112,0)+ROUND(Source!AD112*Source!I112,0)+ROUND(Source!AF112*Source!I112,0)</f>
        <v>-398</v>
      </c>
      <c r="K212" s="54">
        <f>IF(Source!BC112&lt;&gt;0,Source!BC112,1)</f>
        <v>6.46</v>
      </c>
      <c r="L212" s="55">
        <f>Source!O112</f>
        <v>-2569</v>
      </c>
      <c r="AF212" s="44">
        <f>J212</f>
        <v>-398</v>
      </c>
      <c r="AG212">
        <f>ROUND((Source!AT112/100)*((ROUND(Source!AF112*Source!I112,0)+ROUND(Source!AE112*Source!I112,0))),0)</f>
        <v>0</v>
      </c>
      <c r="AH212">
        <f>Source!X112</f>
        <v>0</v>
      </c>
      <c r="AI212">
        <f>ROUND((Source!AU112/100)*((ROUND(Source!AF112*Source!I112,0)+ROUND(Source!AE112*Source!I112,0))),0)</f>
        <v>0</v>
      </c>
      <c r="AJ212">
        <f>Source!Y112</f>
        <v>0</v>
      </c>
      <c r="AN212">
        <f>IF(Source!BI112&lt;=1,J212,0)</f>
        <v>-398</v>
      </c>
      <c r="AO212">
        <f>IF(Source!BI112&lt;=1,J212,0)</f>
        <v>-398</v>
      </c>
      <c r="AS212">
        <f>IF(Source!BI112&lt;=1,AH212,0)</f>
        <v>0</v>
      </c>
      <c r="AT212">
        <f>IF(Source!BI112&lt;=1,AJ212,0)</f>
        <v>0</v>
      </c>
      <c r="AX212">
        <f>IF(Source!BI112=2,J212,0)</f>
        <v>0</v>
      </c>
      <c r="AY212">
        <f>IF(Source!BI112=2,J212,0)</f>
        <v>0</v>
      </c>
      <c r="BC212">
        <f>IF(Source!BI112=2,AH212,0)</f>
        <v>0</v>
      </c>
      <c r="BD212">
        <f>IF(Source!BI112=2,AJ212,0)</f>
        <v>0</v>
      </c>
    </row>
    <row r="213" spans="1:12" ht="14.25">
      <c r="A213" s="74"/>
      <c r="B213" s="74"/>
      <c r="C213" s="74" t="s">
        <v>428</v>
      </c>
      <c r="D213" s="51"/>
      <c r="E213" s="106"/>
      <c r="F213" s="52"/>
      <c r="G213" s="106"/>
      <c r="H213" s="53"/>
      <c r="I213" s="54"/>
      <c r="J213" s="55">
        <f>SUM(Q199:Q216)+SUM(V199:V216)+SUM(X199:X216)+SUM(Y199:Y216)</f>
        <v>583</v>
      </c>
      <c r="K213" s="54"/>
      <c r="L213" s="55">
        <f>SUM(U199:U216)+SUM(W199:W216)+SUM(Z199:Z216)+SUM(AA199:AA216)</f>
        <v>21019</v>
      </c>
    </row>
    <row r="214" spans="1:12" ht="14.25">
      <c r="A214" s="74"/>
      <c r="B214" s="74" t="s">
        <v>120</v>
      </c>
      <c r="C214" s="74" t="s">
        <v>458</v>
      </c>
      <c r="D214" s="51" t="s">
        <v>430</v>
      </c>
      <c r="E214" s="106">
        <f>Source!BZ106</f>
        <v>109</v>
      </c>
      <c r="F214" s="52"/>
      <c r="G214" s="106">
        <f>Source!AT106</f>
        <v>109</v>
      </c>
      <c r="H214" s="53"/>
      <c r="I214" s="54"/>
      <c r="J214" s="55">
        <f>SUM(AG199:AG216)</f>
        <v>635</v>
      </c>
      <c r="K214" s="54"/>
      <c r="L214" s="55">
        <f>SUM(AH199:AH216)</f>
        <v>22911</v>
      </c>
    </row>
    <row r="215" spans="1:12" ht="14.25">
      <c r="A215" s="76"/>
      <c r="B215" s="76" t="s">
        <v>121</v>
      </c>
      <c r="C215" s="76" t="s">
        <v>459</v>
      </c>
      <c r="D215" s="56" t="s">
        <v>430</v>
      </c>
      <c r="E215" s="107">
        <f>Source!CA106</f>
        <v>57</v>
      </c>
      <c r="F215" s="57"/>
      <c r="G215" s="107">
        <f>Source!AU106</f>
        <v>57</v>
      </c>
      <c r="H215" s="58"/>
      <c r="I215" s="59"/>
      <c r="J215" s="60">
        <f>SUM(AI199:AI216)</f>
        <v>332</v>
      </c>
      <c r="K215" s="59"/>
      <c r="L215" s="60">
        <f>SUM(AJ199:AJ216)</f>
        <v>11981</v>
      </c>
    </row>
    <row r="216" spans="3:53" ht="15">
      <c r="C216" s="119" t="s">
        <v>432</v>
      </c>
      <c r="D216" s="119"/>
      <c r="E216" s="120"/>
      <c r="F216" s="119"/>
      <c r="G216" s="120"/>
      <c r="H216" s="119"/>
      <c r="I216" s="119">
        <f>J202+J203+J205+J214+J215+SUM(J210:J212)</f>
        <v>10143</v>
      </c>
      <c r="J216" s="119"/>
      <c r="K216" s="119">
        <f>L202+L203+L205+L214+L215+SUM(L210:L212)</f>
        <v>99012</v>
      </c>
      <c r="L216" s="119"/>
      <c r="O216" s="44">
        <f>I216</f>
        <v>10143</v>
      </c>
      <c r="P216" s="44">
        <f>K216</f>
        <v>99012</v>
      </c>
      <c r="Q216" s="44">
        <f>J202</f>
        <v>562</v>
      </c>
      <c r="R216" s="44">
        <f>J202</f>
        <v>562</v>
      </c>
      <c r="U216" s="44">
        <f>L202</f>
        <v>20254</v>
      </c>
      <c r="X216" s="44">
        <f>J204</f>
        <v>21</v>
      </c>
      <c r="Z216" s="44">
        <f>L204</f>
        <v>765</v>
      </c>
      <c r="AB216" s="44">
        <f>J203</f>
        <v>139</v>
      </c>
      <c r="AD216" s="44">
        <f>L203</f>
        <v>1466</v>
      </c>
      <c r="AF216" s="44">
        <f>J205</f>
        <v>694</v>
      </c>
      <c r="AN216">
        <f>IF(Source!BI106&lt;=1,J202+J203+J205+J214+J215,0)</f>
        <v>2362</v>
      </c>
      <c r="AO216">
        <f>IF(Source!BI106&lt;=1,J205,0)</f>
        <v>694</v>
      </c>
      <c r="AP216">
        <f>IF(Source!BI106&lt;=1,J203,0)</f>
        <v>139</v>
      </c>
      <c r="AQ216">
        <f>IF(Source!BI106&lt;=1,J202,0)</f>
        <v>562</v>
      </c>
      <c r="AX216">
        <f>IF(Source!BI106=2,J202+J203+J205+J214+J215,0)</f>
        <v>0</v>
      </c>
      <c r="AY216">
        <f>IF(Source!BI106=2,J205,0)</f>
        <v>0</v>
      </c>
      <c r="AZ216">
        <f>IF(Source!BI106=2,J203,0)</f>
        <v>0</v>
      </c>
      <c r="BA216">
        <f>IF(Source!BI106=2,J202,0)</f>
        <v>0</v>
      </c>
    </row>
    <row r="217" spans="1:56" ht="105">
      <c r="A217" s="74">
        <v>11</v>
      </c>
      <c r="B217" s="74" t="str">
        <f>Source!F114</f>
        <v>07-01-037-03</v>
      </c>
      <c r="C217" s="74" t="s">
        <v>468</v>
      </c>
      <c r="D217" s="51" t="str">
        <f>Source!DW114</f>
        <v>100 м</v>
      </c>
      <c r="E217" s="106">
        <f>Source!K114</f>
        <v>0.5</v>
      </c>
      <c r="F217" s="52"/>
      <c r="G217" s="106">
        <f>Source!I114</f>
        <v>0.5</v>
      </c>
      <c r="H217" s="53"/>
      <c r="I217" s="54"/>
      <c r="J217" s="55"/>
      <c r="K217" s="54"/>
      <c r="L217" s="55"/>
      <c r="AG217">
        <f>ROUND((Source!AT114/100)*((ROUND(Source!AF114*Source!I114,0)+ROUND(Source!AE114*Source!I114,0))),0)</f>
        <v>91</v>
      </c>
      <c r="AH217">
        <f>Source!X114</f>
        <v>3287</v>
      </c>
      <c r="AI217">
        <f>ROUND((Source!AU114/100)*((ROUND(Source!AF114*Source!I114,0)+ROUND(Source!AE114*Source!I114,0))),0)</f>
        <v>61</v>
      </c>
      <c r="AJ217">
        <f>Source!Y114</f>
        <v>2181</v>
      </c>
      <c r="AS217">
        <f>IF(Source!BI114&lt;=1,AH217,0)</f>
        <v>3287</v>
      </c>
      <c r="AT217">
        <f>IF(Source!BI114&lt;=1,AJ217,0)</f>
        <v>2181</v>
      </c>
      <c r="BC217">
        <f>IF(Source!BI114=2,AH217,0)</f>
        <v>0</v>
      </c>
      <c r="BD217">
        <f>IF(Source!BI114=2,AJ217,0)</f>
        <v>0</v>
      </c>
    </row>
    <row r="218" ht="25.5">
      <c r="B218" s="45" t="str">
        <f>Source!EO114</f>
        <v>Поправка: МР 519/пр п.6.7.1</v>
      </c>
    </row>
    <row r="219" ht="12.75">
      <c r="C219" s="42" t="str">
        <f>"Объем: "&amp;Source!K114&amp;"=50/"&amp;"100"</f>
        <v>Объем: 0,5=50/100</v>
      </c>
    </row>
    <row r="220" spans="1:12" ht="14.25">
      <c r="A220" s="74"/>
      <c r="B220" s="75">
        <v>1</v>
      </c>
      <c r="C220" s="74" t="s">
        <v>423</v>
      </c>
      <c r="D220" s="51"/>
      <c r="E220" s="106"/>
      <c r="F220" s="52"/>
      <c r="G220" s="106"/>
      <c r="H220" s="53">
        <f>Source!AO114</f>
        <v>144.21</v>
      </c>
      <c r="I220" s="54">
        <f>ROUND(1.15,7)</f>
        <v>1.15</v>
      </c>
      <c r="J220" s="55">
        <f>ROUND(Source!AF114*Source!I114,0)</f>
        <v>83</v>
      </c>
      <c r="K220" s="54">
        <f>IF(Source!BA114&lt;&gt;0,Source!BA114,1)</f>
        <v>36.03</v>
      </c>
      <c r="L220" s="55">
        <f>Source!S114</f>
        <v>2988</v>
      </c>
    </row>
    <row r="221" spans="1:12" ht="14.25">
      <c r="A221" s="74"/>
      <c r="B221" s="75">
        <v>3</v>
      </c>
      <c r="C221" s="74" t="s">
        <v>424</v>
      </c>
      <c r="D221" s="51"/>
      <c r="E221" s="106"/>
      <c r="F221" s="52"/>
      <c r="G221" s="106"/>
      <c r="H221" s="53">
        <f>Source!AM114</f>
        <v>385.71</v>
      </c>
      <c r="I221" s="54">
        <f>ROUND(1.25,7)</f>
        <v>1.25</v>
      </c>
      <c r="J221" s="55">
        <f>ROUND(Source!AD114*Source!I114,0)</f>
        <v>241</v>
      </c>
      <c r="K221" s="54">
        <f>IF(Source!BB114&lt;&gt;0,Source!BB114,1)</f>
        <v>4.59</v>
      </c>
      <c r="L221" s="55">
        <f>Source!Q114</f>
        <v>1107</v>
      </c>
    </row>
    <row r="222" spans="1:12" ht="14.25">
      <c r="A222" s="74"/>
      <c r="B222" s="75">
        <v>4</v>
      </c>
      <c r="C222" s="74" t="s">
        <v>457</v>
      </c>
      <c r="D222" s="51"/>
      <c r="E222" s="106"/>
      <c r="F222" s="52"/>
      <c r="G222" s="106"/>
      <c r="H222" s="53">
        <f>Source!AL114</f>
        <v>737.25</v>
      </c>
      <c r="I222" s="54"/>
      <c r="J222" s="55">
        <f>ROUND(Source!AC114*Source!I114,0)</f>
        <v>369</v>
      </c>
      <c r="K222" s="54">
        <f>IF(Source!BC114&lt;&gt;0,Source!BC114,1)</f>
        <v>8.77</v>
      </c>
      <c r="L222" s="55">
        <f>Source!P114</f>
        <v>3233</v>
      </c>
    </row>
    <row r="223" spans="1:12" ht="14.25">
      <c r="A223" s="74"/>
      <c r="B223" s="74"/>
      <c r="C223" s="76" t="s">
        <v>425</v>
      </c>
      <c r="D223" s="56" t="s">
        <v>426</v>
      </c>
      <c r="E223" s="107">
        <f>Source!AQ114</f>
        <v>15.9</v>
      </c>
      <c r="F223" s="57">
        <f>ROUND(1.15,7)</f>
        <v>1.15</v>
      </c>
      <c r="G223" s="107">
        <f>ROUND(Source!U114,7)</f>
        <v>9.1425</v>
      </c>
      <c r="H223" s="58"/>
      <c r="I223" s="59"/>
      <c r="J223" s="60"/>
      <c r="K223" s="59"/>
      <c r="L223" s="60"/>
    </row>
    <row r="224" spans="1:12" ht="14.25">
      <c r="A224" s="74"/>
      <c r="B224" s="74"/>
      <c r="C224" s="74" t="s">
        <v>427</v>
      </c>
      <c r="D224" s="51"/>
      <c r="E224" s="106"/>
      <c r="F224" s="52"/>
      <c r="G224" s="106"/>
      <c r="H224" s="53">
        <f>H220+H221+H222</f>
        <v>1267.17</v>
      </c>
      <c r="I224" s="54"/>
      <c r="J224" s="55">
        <f>J220+J221+J222</f>
        <v>693</v>
      </c>
      <c r="K224" s="54"/>
      <c r="L224" s="55">
        <f>L220+L221+L222</f>
        <v>7328</v>
      </c>
    </row>
    <row r="225" spans="1:56" ht="42.75">
      <c r="A225" s="74" t="s">
        <v>202</v>
      </c>
      <c r="B225" s="74" t="str">
        <f>Source!F116</f>
        <v>01.7.06.01-0012</v>
      </c>
      <c r="C225" s="74" t="str">
        <f>Source!G116</f>
        <v>Лента герметизирующая самоклеящая Герлен-Д шириной: 100 мм толщиной 3 мм</v>
      </c>
      <c r="D225" s="51" t="str">
        <f>Source!DW116</f>
        <v>кг</v>
      </c>
      <c r="E225" s="106">
        <f>SmtRes!AT125</f>
        <v>19.5</v>
      </c>
      <c r="F225" s="52"/>
      <c r="G225" s="106">
        <f>Source!I116</f>
        <v>9.75</v>
      </c>
      <c r="H225" s="53">
        <f>Source!AL116+Source!AO116+Source!AM116</f>
        <v>31.08</v>
      </c>
      <c r="I225" s="54"/>
      <c r="J225" s="55">
        <f>ROUND(Source!AC116*Source!I116,0)+ROUND(Source!AD116*Source!I116,0)+ROUND(Source!AF116*Source!I116,0)</f>
        <v>303</v>
      </c>
      <c r="K225" s="54">
        <f>IF(Source!BC116&lt;&gt;0,Source!BC116,1)</f>
        <v>5.15</v>
      </c>
      <c r="L225" s="55">
        <f>Source!O116</f>
        <v>1561</v>
      </c>
      <c r="AF225" s="44">
        <f>J225</f>
        <v>303</v>
      </c>
      <c r="AG225">
        <f>ROUND((Source!AT116/100)*((ROUND(Source!AF116*Source!I116,0)+ROUND(Source!AE116*Source!I116,0))),0)</f>
        <v>0</v>
      </c>
      <c r="AH225">
        <f>Source!X116</f>
        <v>0</v>
      </c>
      <c r="AI225">
        <f>ROUND((Source!AU116/100)*((ROUND(Source!AF116*Source!I116,0)+ROUND(Source!AE116*Source!I116,0))),0)</f>
        <v>0</v>
      </c>
      <c r="AJ225">
        <f>Source!Y116</f>
        <v>0</v>
      </c>
      <c r="AN225">
        <f>IF(Source!BI116&lt;=1,J225,0)</f>
        <v>303</v>
      </c>
      <c r="AO225">
        <f>IF(Source!BI116&lt;=1,J225,0)</f>
        <v>303</v>
      </c>
      <c r="AS225">
        <f>IF(Source!BI116&lt;=1,AH225,0)</f>
        <v>0</v>
      </c>
      <c r="AT225">
        <f>IF(Source!BI116&lt;=1,AJ225,0)</f>
        <v>0</v>
      </c>
      <c r="AX225">
        <f>IF(Source!BI116=2,J225,0)</f>
        <v>0</v>
      </c>
      <c r="AY225">
        <f>IF(Source!BI116=2,J225,0)</f>
        <v>0</v>
      </c>
      <c r="BC225">
        <f>IF(Source!BI116=2,AH225,0)</f>
        <v>0</v>
      </c>
      <c r="BD225">
        <f>IF(Source!BI116=2,AJ225,0)</f>
        <v>0</v>
      </c>
    </row>
    <row r="226" spans="1:56" ht="57">
      <c r="A226" s="74" t="s">
        <v>207</v>
      </c>
      <c r="B226" s="74" t="str">
        <f>Source!F118</f>
        <v>14.5.04.08-0012</v>
      </c>
      <c r="C226" s="74" t="str">
        <f>Source!G118</f>
        <v>Мастика сланцевая уплотняющая неотверждающаяся для уплотнения и герметизации стеклянного ограждения теплиц и парников</v>
      </c>
      <c r="D226" s="51" t="str">
        <f>Source!DW118</f>
        <v>т</v>
      </c>
      <c r="E226" s="106">
        <f>SmtRes!AT126</f>
        <v>-0.075</v>
      </c>
      <c r="F226" s="52"/>
      <c r="G226" s="106">
        <f>Source!I118</f>
        <v>-0.0375</v>
      </c>
      <c r="H226" s="53">
        <f>Source!AL118+Source!AO118+Source!AM118</f>
        <v>9830</v>
      </c>
      <c r="I226" s="54"/>
      <c r="J226" s="55">
        <f>ROUND(Source!AC118*Source!I118,0)+ROUND(Source!AD118*Source!I118,0)+ROUND(Source!AF118*Source!I118,0)</f>
        <v>-369</v>
      </c>
      <c r="K226" s="54">
        <f>IF(Source!BC118&lt;&gt;0,Source!BC118,1)</f>
        <v>8.77</v>
      </c>
      <c r="L226" s="55">
        <f>Source!O118</f>
        <v>-3233</v>
      </c>
      <c r="AF226" s="44">
        <f>J226</f>
        <v>-369</v>
      </c>
      <c r="AG226">
        <f>ROUND((Source!AT118/100)*((ROUND(Source!AF118*Source!I118,0)+ROUND(Source!AE118*Source!I118,0))),0)</f>
        <v>0</v>
      </c>
      <c r="AH226">
        <f>Source!X118</f>
        <v>0</v>
      </c>
      <c r="AI226">
        <f>ROUND((Source!AU118/100)*((ROUND(Source!AF118*Source!I118,0)+ROUND(Source!AE118*Source!I118,0))),0)</f>
        <v>0</v>
      </c>
      <c r="AJ226">
        <f>Source!Y118</f>
        <v>0</v>
      </c>
      <c r="AN226">
        <f>IF(Source!BI118&lt;=1,J226,0)</f>
        <v>-369</v>
      </c>
      <c r="AO226">
        <f>IF(Source!BI118&lt;=1,J226,0)</f>
        <v>-369</v>
      </c>
      <c r="AS226">
        <f>IF(Source!BI118&lt;=1,AH226,0)</f>
        <v>0</v>
      </c>
      <c r="AT226">
        <f>IF(Source!BI118&lt;=1,AJ226,0)</f>
        <v>0</v>
      </c>
      <c r="AX226">
        <f>IF(Source!BI118=2,J226,0)</f>
        <v>0</v>
      </c>
      <c r="AY226">
        <f>IF(Source!BI118=2,J226,0)</f>
        <v>0</v>
      </c>
      <c r="BC226">
        <f>IF(Source!BI118=2,AH226,0)</f>
        <v>0</v>
      </c>
      <c r="BD226">
        <f>IF(Source!BI118=2,AJ226,0)</f>
        <v>0</v>
      </c>
    </row>
    <row r="227" spans="1:12" ht="14.25">
      <c r="A227" s="74"/>
      <c r="B227" s="74"/>
      <c r="C227" s="74" t="s">
        <v>428</v>
      </c>
      <c r="D227" s="51"/>
      <c r="E227" s="106"/>
      <c r="F227" s="52"/>
      <c r="G227" s="106"/>
      <c r="H227" s="53"/>
      <c r="I227" s="54"/>
      <c r="J227" s="55">
        <f>SUM(Q217:Q230)+SUM(V217:V230)+SUM(X217:X230)+SUM(Y217:Y230)</f>
        <v>83</v>
      </c>
      <c r="K227" s="54"/>
      <c r="L227" s="55">
        <f>SUM(U217:U230)+SUM(W217:W230)+SUM(Z217:Z230)+SUM(AA217:AA230)</f>
        <v>2988</v>
      </c>
    </row>
    <row r="228" spans="1:12" ht="42.75">
      <c r="A228" s="74"/>
      <c r="B228" s="74" t="s">
        <v>200</v>
      </c>
      <c r="C228" s="74" t="s">
        <v>469</v>
      </c>
      <c r="D228" s="51" t="s">
        <v>430</v>
      </c>
      <c r="E228" s="106">
        <f>Source!BZ114</f>
        <v>110</v>
      </c>
      <c r="F228" s="52"/>
      <c r="G228" s="106">
        <f>Source!AT114</f>
        <v>110</v>
      </c>
      <c r="H228" s="53"/>
      <c r="I228" s="54"/>
      <c r="J228" s="55">
        <f>SUM(AG217:AG230)</f>
        <v>91</v>
      </c>
      <c r="K228" s="54"/>
      <c r="L228" s="55">
        <f>SUM(AH217:AH230)</f>
        <v>3287</v>
      </c>
    </row>
    <row r="229" spans="1:12" ht="42.75">
      <c r="A229" s="76"/>
      <c r="B229" s="76" t="s">
        <v>201</v>
      </c>
      <c r="C229" s="76" t="s">
        <v>470</v>
      </c>
      <c r="D229" s="56" t="s">
        <v>430</v>
      </c>
      <c r="E229" s="107">
        <f>Source!CA114</f>
        <v>73</v>
      </c>
      <c r="F229" s="57"/>
      <c r="G229" s="107">
        <f>Source!AU114</f>
        <v>73</v>
      </c>
      <c r="H229" s="58"/>
      <c r="I229" s="59"/>
      <c r="J229" s="60">
        <f>SUM(AI217:AI230)</f>
        <v>61</v>
      </c>
      <c r="K229" s="59"/>
      <c r="L229" s="60">
        <f>SUM(AJ217:AJ230)</f>
        <v>2181</v>
      </c>
    </row>
    <row r="230" spans="3:53" ht="15">
      <c r="C230" s="119" t="s">
        <v>432</v>
      </c>
      <c r="D230" s="119"/>
      <c r="E230" s="120"/>
      <c r="F230" s="119"/>
      <c r="G230" s="120"/>
      <c r="H230" s="119"/>
      <c r="I230" s="119">
        <f>J220+J221+J222+J228+J229+SUM(J225:J226)</f>
        <v>779</v>
      </c>
      <c r="J230" s="119"/>
      <c r="K230" s="119">
        <f>L220+L221+L222+L228+L229+SUM(L225:L226)</f>
        <v>11124</v>
      </c>
      <c r="L230" s="119"/>
      <c r="O230" s="44">
        <f>I230</f>
        <v>779</v>
      </c>
      <c r="P230" s="44">
        <f>K230</f>
        <v>11124</v>
      </c>
      <c r="Q230" s="44">
        <f>J220</f>
        <v>83</v>
      </c>
      <c r="R230" s="44">
        <f>J220</f>
        <v>83</v>
      </c>
      <c r="U230" s="44">
        <f>L220</f>
        <v>2988</v>
      </c>
      <c r="X230">
        <f>0</f>
        <v>0</v>
      </c>
      <c r="Z230">
        <f>0</f>
        <v>0</v>
      </c>
      <c r="AB230" s="44">
        <f>J221</f>
        <v>241</v>
      </c>
      <c r="AD230" s="44">
        <f>L221</f>
        <v>1107</v>
      </c>
      <c r="AF230" s="44">
        <f>J222</f>
        <v>369</v>
      </c>
      <c r="AN230">
        <f>IF(Source!BI114&lt;=1,J220+J221+J222+J228+J229,0)</f>
        <v>845</v>
      </c>
      <c r="AO230">
        <f>IF(Source!BI114&lt;=1,J222,0)</f>
        <v>369</v>
      </c>
      <c r="AP230">
        <f>IF(Source!BI114&lt;=1,J221,0)</f>
        <v>241</v>
      </c>
      <c r="AQ230">
        <f>IF(Source!BI114&lt;=1,J220,0)</f>
        <v>83</v>
      </c>
      <c r="AX230">
        <f>IF(Source!BI114=2,J220+J221+J222+J228+J229,0)</f>
        <v>0</v>
      </c>
      <c r="AY230">
        <f>IF(Source!BI114=2,J222,0)</f>
        <v>0</v>
      </c>
      <c r="AZ230">
        <f>IF(Source!BI114=2,J221,0)</f>
        <v>0</v>
      </c>
      <c r="BA230">
        <f>IF(Source!BI114=2,J220,0)</f>
        <v>0</v>
      </c>
    </row>
    <row r="231" spans="1:56" ht="105">
      <c r="A231" s="74">
        <v>12</v>
      </c>
      <c r="B231" s="74" t="str">
        <f>Source!F120</f>
        <v>07-01-037-04</v>
      </c>
      <c r="C231" s="74" t="s">
        <v>471</v>
      </c>
      <c r="D231" s="51" t="str">
        <f>Source!DW120</f>
        <v>100 м</v>
      </c>
      <c r="E231" s="106">
        <f>Source!K120</f>
        <v>0.7</v>
      </c>
      <c r="F231" s="52"/>
      <c r="G231" s="106">
        <f>Source!I120</f>
        <v>0.7</v>
      </c>
      <c r="H231" s="53"/>
      <c r="I231" s="54"/>
      <c r="J231" s="55"/>
      <c r="K231" s="54"/>
      <c r="L231" s="55"/>
      <c r="AG231">
        <f>ROUND((Source!AT120/100)*((ROUND(Source!AF120*Source!I120,0)+ROUND(Source!AE120*Source!I120,0))),0)</f>
        <v>156</v>
      </c>
      <c r="AH231">
        <f>Source!X120</f>
        <v>5632</v>
      </c>
      <c r="AI231">
        <f>ROUND((Source!AU120/100)*((ROUND(Source!AF120*Source!I120,0)+ROUND(Source!AE120*Source!I120,0))),0)</f>
        <v>104</v>
      </c>
      <c r="AJ231">
        <f>Source!Y120</f>
        <v>3738</v>
      </c>
      <c r="AS231">
        <f>IF(Source!BI120&lt;=1,AH231,0)</f>
        <v>5632</v>
      </c>
      <c r="AT231">
        <f>IF(Source!BI120&lt;=1,AJ231,0)</f>
        <v>3738</v>
      </c>
      <c r="BC231">
        <f>IF(Source!BI120=2,AH231,0)</f>
        <v>0</v>
      </c>
      <c r="BD231">
        <f>IF(Source!BI120=2,AJ231,0)</f>
        <v>0</v>
      </c>
    </row>
    <row r="232" ht="25.5">
      <c r="B232" s="45" t="str">
        <f>Source!EO120</f>
        <v>Поправка: МР 519/пр п.6.7.1</v>
      </c>
    </row>
    <row r="233" ht="12.75">
      <c r="C233" s="42" t="str">
        <f>"Объем: "&amp;Source!K120&amp;"=70/"&amp;"100"</f>
        <v>Объем: 0,7=70/100</v>
      </c>
    </row>
    <row r="234" spans="1:12" ht="14.25">
      <c r="A234" s="74"/>
      <c r="B234" s="75">
        <v>1</v>
      </c>
      <c r="C234" s="74" t="s">
        <v>423</v>
      </c>
      <c r="D234" s="51"/>
      <c r="E234" s="106"/>
      <c r="F234" s="52"/>
      <c r="G234" s="106"/>
      <c r="H234" s="53">
        <f>Source!AO120</f>
        <v>176.51</v>
      </c>
      <c r="I234" s="54">
        <f>ROUND(1.15,7)</f>
        <v>1.15</v>
      </c>
      <c r="J234" s="55">
        <f>ROUND(Source!AF120*Source!I120,0)</f>
        <v>142</v>
      </c>
      <c r="K234" s="54">
        <f>IF(Source!BA120&lt;&gt;0,Source!BA120,1)</f>
        <v>36.03</v>
      </c>
      <c r="L234" s="55">
        <f>Source!S120</f>
        <v>5120</v>
      </c>
    </row>
    <row r="235" spans="1:12" ht="14.25">
      <c r="A235" s="74"/>
      <c r="B235" s="75">
        <v>3</v>
      </c>
      <c r="C235" s="74" t="s">
        <v>424</v>
      </c>
      <c r="D235" s="51"/>
      <c r="E235" s="106"/>
      <c r="F235" s="52"/>
      <c r="G235" s="106"/>
      <c r="H235" s="53">
        <f>Source!AM120</f>
        <v>460.59</v>
      </c>
      <c r="I235" s="54">
        <f>ROUND(1.25,7)</f>
        <v>1.25</v>
      </c>
      <c r="J235" s="55">
        <f>ROUND(Source!AD120*Source!I120,0)</f>
        <v>403</v>
      </c>
      <c r="K235" s="54">
        <f>IF(Source!BB120&lt;&gt;0,Source!BB120,1)</f>
        <v>4.59</v>
      </c>
      <c r="L235" s="55">
        <f>Source!Q120</f>
        <v>1850</v>
      </c>
    </row>
    <row r="236" spans="1:12" ht="14.25">
      <c r="A236" s="74"/>
      <c r="B236" s="75">
        <v>4</v>
      </c>
      <c r="C236" s="74" t="s">
        <v>457</v>
      </c>
      <c r="D236" s="51"/>
      <c r="E236" s="106"/>
      <c r="F236" s="52"/>
      <c r="G236" s="106"/>
      <c r="H236" s="53">
        <f>Source!AL120</f>
        <v>835.55</v>
      </c>
      <c r="I236" s="54"/>
      <c r="J236" s="55">
        <f>ROUND(Source!AC120*Source!I120,0)</f>
        <v>585</v>
      </c>
      <c r="K236" s="54">
        <f>IF(Source!BC120&lt;&gt;0,Source!BC120,1)</f>
        <v>8.77</v>
      </c>
      <c r="L236" s="55">
        <f>Source!P120</f>
        <v>5129</v>
      </c>
    </row>
    <row r="237" spans="1:12" ht="14.25">
      <c r="A237" s="74"/>
      <c r="B237" s="74"/>
      <c r="C237" s="76" t="s">
        <v>425</v>
      </c>
      <c r="D237" s="56" t="s">
        <v>426</v>
      </c>
      <c r="E237" s="107">
        <f>Source!AQ120</f>
        <v>19</v>
      </c>
      <c r="F237" s="57">
        <f>ROUND(1.15,7)</f>
        <v>1.15</v>
      </c>
      <c r="G237" s="107">
        <f>ROUND(Source!U120,7)</f>
        <v>15.295</v>
      </c>
      <c r="H237" s="58"/>
      <c r="I237" s="59"/>
      <c r="J237" s="60"/>
      <c r="K237" s="59"/>
      <c r="L237" s="60"/>
    </row>
    <row r="238" spans="1:12" ht="14.25">
      <c r="A238" s="74"/>
      <c r="B238" s="74"/>
      <c r="C238" s="74" t="s">
        <v>427</v>
      </c>
      <c r="D238" s="51"/>
      <c r="E238" s="106"/>
      <c r="F238" s="52"/>
      <c r="G238" s="106"/>
      <c r="H238" s="53">
        <f>H234+H235+H236</f>
        <v>1472.6499999999999</v>
      </c>
      <c r="I238" s="54"/>
      <c r="J238" s="55">
        <f>J234+J235+J236</f>
        <v>1130</v>
      </c>
      <c r="K238" s="54"/>
      <c r="L238" s="55">
        <f>L234+L235+L236</f>
        <v>12099</v>
      </c>
    </row>
    <row r="239" spans="1:56" ht="42.75">
      <c r="A239" s="74" t="s">
        <v>215</v>
      </c>
      <c r="B239" s="74" t="str">
        <f>Source!F122</f>
        <v>01.7.06.01-0012</v>
      </c>
      <c r="C239" s="74" t="str">
        <f>Source!G122</f>
        <v>Лента герметизирующая самоклеящая Герлен-Д шириной: 100 мм толщиной 3 мм</v>
      </c>
      <c r="D239" s="51" t="str">
        <f>Source!DW122</f>
        <v>кг</v>
      </c>
      <c r="E239" s="106">
        <f>SmtRes!AT133</f>
        <v>19.5</v>
      </c>
      <c r="F239" s="52"/>
      <c r="G239" s="106">
        <f>Source!I122</f>
        <v>13.649999999999999</v>
      </c>
      <c r="H239" s="53">
        <f>Source!AL122+Source!AO122+Source!AM122</f>
        <v>31.08</v>
      </c>
      <c r="I239" s="54"/>
      <c r="J239" s="55">
        <f>ROUND(Source!AC122*Source!I122,0)+ROUND(Source!AD122*Source!I122,0)+ROUND(Source!AF122*Source!I122,0)</f>
        <v>424</v>
      </c>
      <c r="K239" s="54">
        <f>IF(Source!BC122&lt;&gt;0,Source!BC122,1)</f>
        <v>5.15</v>
      </c>
      <c r="L239" s="55">
        <f>Source!O122</f>
        <v>2185</v>
      </c>
      <c r="AF239" s="44">
        <f>J239</f>
        <v>424</v>
      </c>
      <c r="AG239">
        <f>ROUND((Source!AT122/100)*((ROUND(Source!AF122*Source!I122,0)+ROUND(Source!AE122*Source!I122,0))),0)</f>
        <v>0</v>
      </c>
      <c r="AH239">
        <f>Source!X122</f>
        <v>0</v>
      </c>
      <c r="AI239">
        <f>ROUND((Source!AU122/100)*((ROUND(Source!AF122*Source!I122,0)+ROUND(Source!AE122*Source!I122,0))),0)</f>
        <v>0</v>
      </c>
      <c r="AJ239">
        <f>Source!Y122</f>
        <v>0</v>
      </c>
      <c r="AN239">
        <f>IF(Source!BI122&lt;=1,J239,0)</f>
        <v>424</v>
      </c>
      <c r="AO239">
        <f>IF(Source!BI122&lt;=1,J239,0)</f>
        <v>424</v>
      </c>
      <c r="AS239">
        <f>IF(Source!BI122&lt;=1,AH239,0)</f>
        <v>0</v>
      </c>
      <c r="AT239">
        <f>IF(Source!BI122&lt;=1,AJ239,0)</f>
        <v>0</v>
      </c>
      <c r="AX239">
        <f>IF(Source!BI122=2,J239,0)</f>
        <v>0</v>
      </c>
      <c r="AY239">
        <f>IF(Source!BI122=2,J239,0)</f>
        <v>0</v>
      </c>
      <c r="BC239">
        <f>IF(Source!BI122=2,AH239,0)</f>
        <v>0</v>
      </c>
      <c r="BD239">
        <f>IF(Source!BI122=2,AJ239,0)</f>
        <v>0</v>
      </c>
    </row>
    <row r="240" spans="1:56" ht="57">
      <c r="A240" s="74" t="s">
        <v>216</v>
      </c>
      <c r="B240" s="74" t="str">
        <f>Source!F124</f>
        <v>14.5.04.08-0012</v>
      </c>
      <c r="C240" s="74" t="str">
        <f>Source!G124</f>
        <v>Мастика сланцевая уплотняющая неотверждающаяся для уплотнения и герметизации стеклянного ограждения теплиц и парников</v>
      </c>
      <c r="D240" s="51" t="str">
        <f>Source!DW124</f>
        <v>т</v>
      </c>
      <c r="E240" s="106">
        <f>SmtRes!AT134</f>
        <v>-0.085</v>
      </c>
      <c r="F240" s="52"/>
      <c r="G240" s="106">
        <f>Source!I124</f>
        <v>-0.0595</v>
      </c>
      <c r="H240" s="53">
        <f>Source!AL124+Source!AO124+Source!AM124</f>
        <v>9830</v>
      </c>
      <c r="I240" s="54"/>
      <c r="J240" s="55">
        <f>ROUND(Source!AC124*Source!I124,0)+ROUND(Source!AD124*Source!I124,0)+ROUND(Source!AF124*Source!I124,0)</f>
        <v>-585</v>
      </c>
      <c r="K240" s="54">
        <f>IF(Source!BC124&lt;&gt;0,Source!BC124,1)</f>
        <v>8.77</v>
      </c>
      <c r="L240" s="55">
        <f>Source!O124</f>
        <v>-5129</v>
      </c>
      <c r="AF240" s="44">
        <f>J240</f>
        <v>-585</v>
      </c>
      <c r="AG240">
        <f>ROUND((Source!AT124/100)*((ROUND(Source!AF124*Source!I124,0)+ROUND(Source!AE124*Source!I124,0))),0)</f>
        <v>0</v>
      </c>
      <c r="AH240">
        <f>Source!X124</f>
        <v>0</v>
      </c>
      <c r="AI240">
        <f>ROUND((Source!AU124/100)*((ROUND(Source!AF124*Source!I124,0)+ROUND(Source!AE124*Source!I124,0))),0)</f>
        <v>0</v>
      </c>
      <c r="AJ240">
        <f>Source!Y124</f>
        <v>0</v>
      </c>
      <c r="AN240">
        <f>IF(Source!BI124&lt;=1,J240,0)</f>
        <v>-585</v>
      </c>
      <c r="AO240">
        <f>IF(Source!BI124&lt;=1,J240,0)</f>
        <v>-585</v>
      </c>
      <c r="AS240">
        <f>IF(Source!BI124&lt;=1,AH240,0)</f>
        <v>0</v>
      </c>
      <c r="AT240">
        <f>IF(Source!BI124&lt;=1,AJ240,0)</f>
        <v>0</v>
      </c>
      <c r="AX240">
        <f>IF(Source!BI124=2,J240,0)</f>
        <v>0</v>
      </c>
      <c r="AY240">
        <f>IF(Source!BI124=2,J240,0)</f>
        <v>0</v>
      </c>
      <c r="BC240">
        <f>IF(Source!BI124=2,AH240,0)</f>
        <v>0</v>
      </c>
      <c r="BD240">
        <f>IF(Source!BI124=2,AJ240,0)</f>
        <v>0</v>
      </c>
    </row>
    <row r="241" spans="1:12" ht="14.25">
      <c r="A241" s="74"/>
      <c r="B241" s="74"/>
      <c r="C241" s="74" t="s">
        <v>428</v>
      </c>
      <c r="D241" s="51"/>
      <c r="E241" s="106"/>
      <c r="F241" s="52"/>
      <c r="G241" s="106"/>
      <c r="H241" s="53"/>
      <c r="I241" s="54"/>
      <c r="J241" s="55">
        <f>SUM(Q231:Q244)+SUM(V231:V244)+SUM(X231:X244)+SUM(Y231:Y244)</f>
        <v>142</v>
      </c>
      <c r="K241" s="54"/>
      <c r="L241" s="55">
        <f>SUM(U231:U244)+SUM(W231:W244)+SUM(Z231:Z244)+SUM(AA231:AA244)</f>
        <v>5120</v>
      </c>
    </row>
    <row r="242" spans="1:12" ht="42.75">
      <c r="A242" s="74"/>
      <c r="B242" s="74" t="s">
        <v>200</v>
      </c>
      <c r="C242" s="74" t="s">
        <v>469</v>
      </c>
      <c r="D242" s="51" t="s">
        <v>430</v>
      </c>
      <c r="E242" s="106">
        <f>Source!BZ120</f>
        <v>110</v>
      </c>
      <c r="F242" s="52"/>
      <c r="G242" s="106">
        <f>Source!AT120</f>
        <v>110</v>
      </c>
      <c r="H242" s="53"/>
      <c r="I242" s="54"/>
      <c r="J242" s="55">
        <f>SUM(AG231:AG244)</f>
        <v>156</v>
      </c>
      <c r="K242" s="54"/>
      <c r="L242" s="55">
        <f>SUM(AH231:AH244)</f>
        <v>5632</v>
      </c>
    </row>
    <row r="243" spans="1:12" ht="42.75">
      <c r="A243" s="76"/>
      <c r="B243" s="76" t="s">
        <v>201</v>
      </c>
      <c r="C243" s="76" t="s">
        <v>470</v>
      </c>
      <c r="D243" s="56" t="s">
        <v>430</v>
      </c>
      <c r="E243" s="107">
        <f>Source!CA120</f>
        <v>73</v>
      </c>
      <c r="F243" s="57"/>
      <c r="G243" s="107">
        <f>Source!AU120</f>
        <v>73</v>
      </c>
      <c r="H243" s="58"/>
      <c r="I243" s="59"/>
      <c r="J243" s="60">
        <f>SUM(AI231:AI244)</f>
        <v>104</v>
      </c>
      <c r="K243" s="59"/>
      <c r="L243" s="60">
        <f>SUM(AJ231:AJ244)</f>
        <v>3738</v>
      </c>
    </row>
    <row r="244" spans="3:53" ht="15">
      <c r="C244" s="119" t="s">
        <v>432</v>
      </c>
      <c r="D244" s="119"/>
      <c r="E244" s="120"/>
      <c r="F244" s="119"/>
      <c r="G244" s="120"/>
      <c r="H244" s="119"/>
      <c r="I244" s="119">
        <f>J234+J235+J236+J242+J243+SUM(J239:J240)</f>
        <v>1229</v>
      </c>
      <c r="J244" s="119"/>
      <c r="K244" s="119">
        <f>L234+L235+L236+L242+L243+SUM(L239:L240)</f>
        <v>18525</v>
      </c>
      <c r="L244" s="119"/>
      <c r="O244" s="44">
        <f>I244</f>
        <v>1229</v>
      </c>
      <c r="P244" s="44">
        <f>K244</f>
        <v>18525</v>
      </c>
      <c r="Q244" s="44">
        <f>J234</f>
        <v>142</v>
      </c>
      <c r="R244" s="44">
        <f>J234</f>
        <v>142</v>
      </c>
      <c r="U244" s="44">
        <f>L234</f>
        <v>5120</v>
      </c>
      <c r="X244">
        <f>0</f>
        <v>0</v>
      </c>
      <c r="Z244">
        <f>0</f>
        <v>0</v>
      </c>
      <c r="AB244" s="44">
        <f>J235</f>
        <v>403</v>
      </c>
      <c r="AD244" s="44">
        <f>L235</f>
        <v>1850</v>
      </c>
      <c r="AF244" s="44">
        <f>J236</f>
        <v>585</v>
      </c>
      <c r="AN244">
        <f>IF(Source!BI120&lt;=1,J234+J235+J236+J242+J243,0)</f>
        <v>1390</v>
      </c>
      <c r="AO244">
        <f>IF(Source!BI120&lt;=1,J236,0)</f>
        <v>585</v>
      </c>
      <c r="AP244">
        <f>IF(Source!BI120&lt;=1,J235,0)</f>
        <v>403</v>
      </c>
      <c r="AQ244">
        <f>IF(Source!BI120&lt;=1,J234,0)</f>
        <v>142</v>
      </c>
      <c r="AX244">
        <f>IF(Source!BI120=2,J234+J235+J236+J242+J243,0)</f>
        <v>0</v>
      </c>
      <c r="AY244">
        <f>IF(Source!BI120=2,J236,0)</f>
        <v>0</v>
      </c>
      <c r="AZ244">
        <f>IF(Source!BI120=2,J235,0)</f>
        <v>0</v>
      </c>
      <c r="BA244">
        <f>IF(Source!BI120=2,J234,0)</f>
        <v>0</v>
      </c>
    </row>
    <row r="246" spans="1:95" ht="15">
      <c r="A246" s="63"/>
      <c r="B246" s="64"/>
      <c r="C246" s="114" t="s">
        <v>440</v>
      </c>
      <c r="D246" s="114"/>
      <c r="E246" s="115"/>
      <c r="F246" s="114"/>
      <c r="G246" s="115"/>
      <c r="H246" s="114"/>
      <c r="I246" s="65"/>
      <c r="J246" s="66">
        <f>J248+J249+J250+J251</f>
        <v>198058</v>
      </c>
      <c r="K246" s="67"/>
      <c r="L246" s="66">
        <f>L248+L249+L250+L251</f>
        <v>1340995</v>
      </c>
      <c r="CQ246" s="78" t="s">
        <v>440</v>
      </c>
    </row>
    <row r="247" spans="1:12" ht="14.25">
      <c r="A247" s="68"/>
      <c r="B247" s="69"/>
      <c r="C247" s="118" t="s">
        <v>441</v>
      </c>
      <c r="D247" s="116"/>
      <c r="E247" s="117"/>
      <c r="F247" s="116"/>
      <c r="G247" s="117"/>
      <c r="H247" s="116"/>
      <c r="I247" s="70"/>
      <c r="J247" s="71"/>
      <c r="K247" s="72"/>
      <c r="L247" s="71"/>
    </row>
    <row r="248" spans="1:12" ht="14.25">
      <c r="A248" s="68"/>
      <c r="B248" s="69"/>
      <c r="C248" s="116" t="s">
        <v>442</v>
      </c>
      <c r="D248" s="116"/>
      <c r="E248" s="117"/>
      <c r="F248" s="116"/>
      <c r="G248" s="117"/>
      <c r="H248" s="116"/>
      <c r="I248" s="70"/>
      <c r="J248" s="71">
        <f>SUM(Q98:Q244)</f>
        <v>8940</v>
      </c>
      <c r="K248" s="72"/>
      <c r="L248" s="71">
        <f>SUM(U98:U244)</f>
        <v>322104</v>
      </c>
    </row>
    <row r="249" spans="1:12" ht="14.25">
      <c r="A249" s="68"/>
      <c r="B249" s="69"/>
      <c r="C249" s="116" t="s">
        <v>443</v>
      </c>
      <c r="D249" s="116"/>
      <c r="E249" s="117"/>
      <c r="F249" s="116"/>
      <c r="G249" s="117"/>
      <c r="H249" s="116"/>
      <c r="I249" s="70"/>
      <c r="J249" s="71">
        <f>SUM(AB98:AB244)</f>
        <v>4274</v>
      </c>
      <c r="K249" s="72"/>
      <c r="L249" s="71">
        <f>SUM(AD98:AD244)</f>
        <v>36576</v>
      </c>
    </row>
    <row r="250" spans="1:12" ht="14.25">
      <c r="A250" s="68"/>
      <c r="B250" s="69"/>
      <c r="C250" s="116" t="s">
        <v>444</v>
      </c>
      <c r="D250" s="116"/>
      <c r="E250" s="117"/>
      <c r="F250" s="116"/>
      <c r="G250" s="117"/>
      <c r="H250" s="116"/>
      <c r="I250" s="70"/>
      <c r="J250" s="71">
        <f>SUM(AF98:AF244)-J255</f>
        <v>184844</v>
      </c>
      <c r="K250" s="72"/>
      <c r="L250" s="71">
        <f>Source!P129-L255</f>
        <v>982315</v>
      </c>
    </row>
    <row r="251" spans="1:12" ht="13.5" customHeight="1" hidden="1">
      <c r="A251" s="68"/>
      <c r="B251" s="69"/>
      <c r="C251" s="116" t="s">
        <v>445</v>
      </c>
      <c r="D251" s="116"/>
      <c r="E251" s="117"/>
      <c r="F251" s="116"/>
      <c r="G251" s="117"/>
      <c r="H251" s="116"/>
      <c r="I251" s="70"/>
      <c r="J251" s="71">
        <f>SUM(AR98:AR244)+SUM(BB98:BB244)+SUM(BI98:BI244)+SUM(BP98:BP244)</f>
        <v>0</v>
      </c>
      <c r="K251" s="72"/>
      <c r="L251" s="71">
        <f>Source!P151</f>
        <v>0</v>
      </c>
    </row>
    <row r="252" spans="1:12" ht="14.25">
      <c r="A252" s="68"/>
      <c r="B252" s="69"/>
      <c r="C252" s="116" t="s">
        <v>446</v>
      </c>
      <c r="D252" s="116"/>
      <c r="E252" s="117"/>
      <c r="F252" s="116"/>
      <c r="G252" s="117"/>
      <c r="H252" s="116"/>
      <c r="I252" s="70"/>
      <c r="J252" s="71">
        <f>SUM(Q98:Q244)+SUM(X98:X244)</f>
        <v>9394</v>
      </c>
      <c r="K252" s="72"/>
      <c r="L252" s="71">
        <f>SUM(U98:U244)+SUM(Z98:Z244)</f>
        <v>338487</v>
      </c>
    </row>
    <row r="253" spans="1:12" ht="14.25">
      <c r="A253" s="68"/>
      <c r="B253" s="69"/>
      <c r="C253" s="116" t="s">
        <v>447</v>
      </c>
      <c r="D253" s="116"/>
      <c r="E253" s="117"/>
      <c r="F253" s="116"/>
      <c r="G253" s="117"/>
      <c r="H253" s="116"/>
      <c r="I253" s="70"/>
      <c r="J253" s="71">
        <f>SUM(AG98:AG244)</f>
        <v>10173</v>
      </c>
      <c r="K253" s="72"/>
      <c r="L253" s="71">
        <f>Source!P152</f>
        <v>366641</v>
      </c>
    </row>
    <row r="254" spans="1:12" ht="14.25">
      <c r="A254" s="68"/>
      <c r="B254" s="69"/>
      <c r="C254" s="116" t="s">
        <v>448</v>
      </c>
      <c r="D254" s="116"/>
      <c r="E254" s="117"/>
      <c r="F254" s="116"/>
      <c r="G254" s="117"/>
      <c r="H254" s="116"/>
      <c r="I254" s="70"/>
      <c r="J254" s="71">
        <f>SUM(AI98:AI244)</f>
        <v>5338</v>
      </c>
      <c r="K254" s="72"/>
      <c r="L254" s="71">
        <f>Source!P153</f>
        <v>192359</v>
      </c>
    </row>
    <row r="255" spans="1:12" ht="13.5" customHeight="1" hidden="1">
      <c r="A255" s="68"/>
      <c r="B255" s="69"/>
      <c r="C255" s="116" t="s">
        <v>449</v>
      </c>
      <c r="D255" s="116"/>
      <c r="E255" s="117"/>
      <c r="F255" s="116"/>
      <c r="G255" s="117"/>
      <c r="H255" s="116"/>
      <c r="I255" s="70"/>
      <c r="J255" s="71">
        <f>SUM(BH98:BH244)</f>
        <v>0</v>
      </c>
      <c r="K255" s="72"/>
      <c r="L255" s="71">
        <f>Source!P135</f>
        <v>0</v>
      </c>
    </row>
    <row r="256" spans="1:12" ht="13.5" customHeight="1" hidden="1">
      <c r="A256" s="68"/>
      <c r="B256" s="69"/>
      <c r="C256" s="116" t="s">
        <v>450</v>
      </c>
      <c r="D256" s="116"/>
      <c r="E256" s="117"/>
      <c r="F256" s="116"/>
      <c r="G256" s="117"/>
      <c r="H256" s="116"/>
      <c r="I256" s="70"/>
      <c r="J256" s="71">
        <f>SUM(BM98:BM244)+SUM(BN98:BN244)+SUM(BO98:BO244)+SUM(BP98:BP244)</f>
        <v>0</v>
      </c>
      <c r="K256" s="72"/>
      <c r="L256" s="71">
        <f>Source!P145</f>
        <v>0</v>
      </c>
    </row>
    <row r="257" spans="1:12" ht="15">
      <c r="A257" s="63"/>
      <c r="B257" s="64"/>
      <c r="C257" s="114" t="s">
        <v>451</v>
      </c>
      <c r="D257" s="114"/>
      <c r="E257" s="115"/>
      <c r="F257" s="114"/>
      <c r="G257" s="115"/>
      <c r="H257" s="114"/>
      <c r="I257" s="65"/>
      <c r="J257" s="66">
        <f>J246+J253+J254+J255</f>
        <v>213569</v>
      </c>
      <c r="K257" s="67"/>
      <c r="L257" s="66">
        <f>Source!P154</f>
        <v>1899995</v>
      </c>
    </row>
    <row r="258" spans="1:12" ht="13.5" customHeight="1" hidden="1">
      <c r="A258" s="68"/>
      <c r="B258" s="69"/>
      <c r="C258" s="118" t="s">
        <v>452</v>
      </c>
      <c r="D258" s="116"/>
      <c r="E258" s="117"/>
      <c r="F258" s="116"/>
      <c r="G258" s="117"/>
      <c r="H258" s="116"/>
      <c r="I258" s="70"/>
      <c r="J258" s="71"/>
      <c r="K258" s="72"/>
      <c r="L258" s="71"/>
    </row>
    <row r="259" spans="1:12" ht="13.5" customHeight="1" hidden="1">
      <c r="A259" s="68"/>
      <c r="B259" s="69"/>
      <c r="C259" s="116" t="s">
        <v>453</v>
      </c>
      <c r="D259" s="116"/>
      <c r="E259" s="117"/>
      <c r="F259" s="116"/>
      <c r="G259" s="117"/>
      <c r="H259" s="116"/>
      <c r="I259" s="70"/>
      <c r="J259" s="71"/>
      <c r="K259" s="72"/>
      <c r="L259" s="71">
        <f>SUM(BS98:BS244)</f>
        <v>0</v>
      </c>
    </row>
    <row r="260" spans="1:12" ht="13.5" customHeight="1" hidden="1">
      <c r="A260" s="68"/>
      <c r="B260" s="69"/>
      <c r="C260" s="116" t="s">
        <v>454</v>
      </c>
      <c r="D260" s="116"/>
      <c r="E260" s="117"/>
      <c r="F260" s="116"/>
      <c r="G260" s="117"/>
      <c r="H260" s="116"/>
      <c r="I260" s="70"/>
      <c r="J260" s="71"/>
      <c r="K260" s="72"/>
      <c r="L260" s="71">
        <f>SUM(BT98:BT244)</f>
        <v>0</v>
      </c>
    </row>
    <row r="262" spans="1:12" ht="16.5">
      <c r="A262" s="121" t="s">
        <v>472</v>
      </c>
      <c r="B262" s="121"/>
      <c r="C262" s="121"/>
      <c r="D262" s="121"/>
      <c r="E262" s="122"/>
      <c r="F262" s="121"/>
      <c r="G262" s="122"/>
      <c r="H262" s="121"/>
      <c r="I262" s="121"/>
      <c r="J262" s="121"/>
      <c r="K262" s="121"/>
      <c r="L262" s="121"/>
    </row>
    <row r="263" spans="1:56" ht="28.5">
      <c r="A263" s="74">
        <v>13</v>
      </c>
      <c r="B263" s="74" t="str">
        <f>Source!F161</f>
        <v>69-15-1</v>
      </c>
      <c r="C263" s="74" t="str">
        <f>Source!G161</f>
        <v>Затаривание строительного мусора в мешки</v>
      </c>
      <c r="D263" s="51" t="str">
        <f>Source!DW161</f>
        <v>т</v>
      </c>
      <c r="E263" s="106">
        <f>Source!K161</f>
        <v>61</v>
      </c>
      <c r="F263" s="52"/>
      <c r="G263" s="106">
        <f>Source!I161</f>
        <v>61</v>
      </c>
      <c r="H263" s="53"/>
      <c r="I263" s="54"/>
      <c r="J263" s="55"/>
      <c r="K263" s="54"/>
      <c r="L263" s="55"/>
      <c r="AG263">
        <f>ROUND((Source!AT161/100)*((ROUND(Source!AF161*Source!I161,0)+ROUND(Source!AE161*Source!I161,0))),0)</f>
        <v>416</v>
      </c>
      <c r="AH263">
        <f>Source!X161</f>
        <v>14983</v>
      </c>
      <c r="AI263">
        <f>ROUND((Source!AU161/100)*((ROUND(Source!AF161*Source!I161,0)+ROUND(Source!AE161*Source!I161,0))),0)</f>
        <v>199</v>
      </c>
      <c r="AJ263">
        <f>Source!Y161</f>
        <v>7166</v>
      </c>
      <c r="AS263">
        <f>IF(Source!BI161&lt;=1,AH263,0)</f>
        <v>14983</v>
      </c>
      <c r="AT263">
        <f>IF(Source!BI161&lt;=1,AJ263,0)</f>
        <v>7166</v>
      </c>
      <c r="BC263">
        <f>IF(Source!BI161=2,AH263,0)</f>
        <v>0</v>
      </c>
      <c r="BD263">
        <f>IF(Source!BI161=2,AJ263,0)</f>
        <v>0</v>
      </c>
    </row>
    <row r="265" spans="1:12" ht="14.25">
      <c r="A265" s="74"/>
      <c r="B265" s="75">
        <v>1</v>
      </c>
      <c r="C265" s="74" t="s">
        <v>423</v>
      </c>
      <c r="D265" s="51"/>
      <c r="E265" s="106"/>
      <c r="F265" s="52"/>
      <c r="G265" s="106"/>
      <c r="H265" s="53">
        <f>Source!AO161</f>
        <v>7.41</v>
      </c>
      <c r="I265" s="54"/>
      <c r="J265" s="55">
        <f>ROUND(Source!AF161*Source!I161,0)</f>
        <v>452</v>
      </c>
      <c r="K265" s="54">
        <f>IF(Source!BA161&lt;&gt;0,Source!BA161,1)</f>
        <v>36.03</v>
      </c>
      <c r="L265" s="55">
        <f>Source!S161</f>
        <v>16286</v>
      </c>
    </row>
    <row r="266" spans="1:12" ht="14.25">
      <c r="A266" s="74"/>
      <c r="B266" s="75">
        <v>4</v>
      </c>
      <c r="C266" s="74" t="s">
        <v>457</v>
      </c>
      <c r="D266" s="51"/>
      <c r="E266" s="106"/>
      <c r="F266" s="52"/>
      <c r="G266" s="106"/>
      <c r="H266" s="53">
        <f>Source!AL161</f>
        <v>16.4</v>
      </c>
      <c r="I266" s="54"/>
      <c r="J266" s="55">
        <f>ROUND(Source!AC161*Source!I161,0)</f>
        <v>1000</v>
      </c>
      <c r="K266" s="54">
        <f>IF(Source!BC161&lt;&gt;0,Source!BC161,1)</f>
        <v>6.74</v>
      </c>
      <c r="L266" s="55">
        <f>Source!P161</f>
        <v>6743</v>
      </c>
    </row>
    <row r="267" spans="1:12" ht="14.25">
      <c r="A267" s="74"/>
      <c r="B267" s="74"/>
      <c r="C267" s="76" t="s">
        <v>425</v>
      </c>
      <c r="D267" s="56" t="s">
        <v>426</v>
      </c>
      <c r="E267" s="107">
        <f>Source!AQ161</f>
        <v>1.03</v>
      </c>
      <c r="F267" s="57"/>
      <c r="G267" s="107">
        <f>ROUND(Source!U161,7)</f>
        <v>62.83</v>
      </c>
      <c r="H267" s="58"/>
      <c r="I267" s="59"/>
      <c r="J267" s="60"/>
      <c r="K267" s="59"/>
      <c r="L267" s="60"/>
    </row>
    <row r="268" spans="1:12" ht="14.25">
      <c r="A268" s="74"/>
      <c r="B268" s="74"/>
      <c r="C268" s="74" t="s">
        <v>427</v>
      </c>
      <c r="D268" s="51"/>
      <c r="E268" s="106"/>
      <c r="F268" s="52"/>
      <c r="G268" s="106"/>
      <c r="H268" s="53">
        <f>H265+H266</f>
        <v>23.81</v>
      </c>
      <c r="I268" s="54"/>
      <c r="J268" s="55">
        <f>J265+J266</f>
        <v>1452</v>
      </c>
      <c r="K268" s="54"/>
      <c r="L268" s="55">
        <f>L265+L266</f>
        <v>23029</v>
      </c>
    </row>
    <row r="269" spans="1:12" ht="14.25">
      <c r="A269" s="74"/>
      <c r="B269" s="74"/>
      <c r="C269" s="74" t="s">
        <v>428</v>
      </c>
      <c r="D269" s="51"/>
      <c r="E269" s="106"/>
      <c r="F269" s="52"/>
      <c r="G269" s="106"/>
      <c r="H269" s="53"/>
      <c r="I269" s="54"/>
      <c r="J269" s="55">
        <f>SUM(Q263:Q272)+SUM(V263:V272)+SUM(X263:X272)+SUM(Y263:Y272)</f>
        <v>452</v>
      </c>
      <c r="K269" s="54"/>
      <c r="L269" s="55">
        <f>SUM(U263:U272)+SUM(W263:W272)+SUM(Z263:Z272)+SUM(AA263:AA272)</f>
        <v>16286</v>
      </c>
    </row>
    <row r="270" spans="1:12" ht="28.5">
      <c r="A270" s="74"/>
      <c r="B270" s="74" t="s">
        <v>225</v>
      </c>
      <c r="C270" s="74" t="s">
        <v>473</v>
      </c>
      <c r="D270" s="51" t="s">
        <v>430</v>
      </c>
      <c r="E270" s="106">
        <f>Source!BZ161</f>
        <v>92</v>
      </c>
      <c r="F270" s="52"/>
      <c r="G270" s="106">
        <f>Source!AT161</f>
        <v>92</v>
      </c>
      <c r="H270" s="53"/>
      <c r="I270" s="54"/>
      <c r="J270" s="55">
        <f>SUM(AG263:AG272)</f>
        <v>416</v>
      </c>
      <c r="K270" s="54"/>
      <c r="L270" s="55">
        <f>SUM(AH263:AH272)</f>
        <v>14983</v>
      </c>
    </row>
    <row r="271" spans="1:12" ht="28.5">
      <c r="A271" s="76"/>
      <c r="B271" s="76" t="s">
        <v>226</v>
      </c>
      <c r="C271" s="76" t="s">
        <v>474</v>
      </c>
      <c r="D271" s="56" t="s">
        <v>430</v>
      </c>
      <c r="E271" s="107">
        <f>Source!CA161</f>
        <v>44</v>
      </c>
      <c r="F271" s="57"/>
      <c r="G271" s="107">
        <f>Source!AU161</f>
        <v>44</v>
      </c>
      <c r="H271" s="58"/>
      <c r="I271" s="59"/>
      <c r="J271" s="60">
        <f>SUM(AI263:AI272)</f>
        <v>199</v>
      </c>
      <c r="K271" s="59"/>
      <c r="L271" s="60">
        <f>SUM(AJ263:AJ272)</f>
        <v>7166</v>
      </c>
    </row>
    <row r="272" spans="3:53" ht="15">
      <c r="C272" s="119" t="s">
        <v>432</v>
      </c>
      <c r="D272" s="119"/>
      <c r="E272" s="120"/>
      <c r="F272" s="119"/>
      <c r="G272" s="120"/>
      <c r="H272" s="119"/>
      <c r="I272" s="119">
        <f>J265+J266+J270+J271</f>
        <v>2067</v>
      </c>
      <c r="J272" s="119"/>
      <c r="K272" s="119">
        <f>L265+L266+L270+L271</f>
        <v>45178</v>
      </c>
      <c r="L272" s="119"/>
      <c r="O272" s="44">
        <f>I272</f>
        <v>2067</v>
      </c>
      <c r="P272" s="44">
        <f>K272</f>
        <v>45178</v>
      </c>
      <c r="Q272" s="44">
        <f>J265</f>
        <v>452</v>
      </c>
      <c r="R272" s="44">
        <f>J265</f>
        <v>452</v>
      </c>
      <c r="U272" s="44">
        <f>L265</f>
        <v>16286</v>
      </c>
      <c r="X272">
        <f>0</f>
        <v>0</v>
      </c>
      <c r="Z272">
        <f>0</f>
        <v>0</v>
      </c>
      <c r="AB272">
        <f>0</f>
        <v>0</v>
      </c>
      <c r="AD272">
        <f>0</f>
        <v>0</v>
      </c>
      <c r="AF272" s="44">
        <f>J266</f>
        <v>1000</v>
      </c>
      <c r="AN272">
        <f>IF(Source!BI161&lt;=1,J265+J266+J270+J271,0)</f>
        <v>2067</v>
      </c>
      <c r="AO272">
        <f>IF(Source!BI161&lt;=1,J266,0)</f>
        <v>1000</v>
      </c>
      <c r="AP272">
        <f>IF(Source!BI161&lt;=1,0,0)</f>
        <v>0</v>
      </c>
      <c r="AQ272">
        <f>IF(Source!BI161&lt;=1,J265,0)</f>
        <v>452</v>
      </c>
      <c r="AX272">
        <f>IF(Source!BI161=2,J265+J266+J270+J271,0)</f>
        <v>0</v>
      </c>
      <c r="AY272">
        <f>IF(Source!BI161=2,J266,0)</f>
        <v>0</v>
      </c>
      <c r="AZ272">
        <f>IF(Source!BI161=2,0,0)</f>
        <v>0</v>
      </c>
      <c r="BA272">
        <f>IF(Source!BI161=2,J265,0)</f>
        <v>0</v>
      </c>
    </row>
    <row r="273" spans="1:56" ht="42.75">
      <c r="A273" s="74">
        <v>14</v>
      </c>
      <c r="B273" s="74" t="str">
        <f>Source!F163</f>
        <v>т01-01-01-041</v>
      </c>
      <c r="C273" s="74" t="str">
        <f>Source!G163</f>
        <v>Погрузочные работы при автомобильных перевозках мусора строительного с погрузкой вручную</v>
      </c>
      <c r="D273" s="51" t="str">
        <f>Source!DW163</f>
        <v>1 Т ГРУЗА</v>
      </c>
      <c r="E273" s="106">
        <f>Source!K163</f>
        <v>61</v>
      </c>
      <c r="F273" s="52"/>
      <c r="G273" s="106">
        <f>Source!I163</f>
        <v>61</v>
      </c>
      <c r="H273" s="53">
        <f>Source!AK163</f>
        <v>42.98</v>
      </c>
      <c r="I273" s="54"/>
      <c r="J273" s="55">
        <f>ROUND(Source!AB163*Source!I163,0)</f>
        <v>2622</v>
      </c>
      <c r="K273" s="54">
        <f>Source!AZ163</f>
        <v>13.61</v>
      </c>
      <c r="L273" s="55">
        <f>Source!GM163</f>
        <v>35682</v>
      </c>
      <c r="AG273">
        <f>ROUND((Source!AT163/100)*((ROUND(0*Source!I163,0)+ROUND(0*Source!I163,0))),0)</f>
        <v>0</v>
      </c>
      <c r="AH273">
        <f>Source!X163</f>
        <v>0</v>
      </c>
      <c r="AI273">
        <f>ROUND((Source!AU163/100)*((ROUND(0*Source!I163,0)+ROUND(0*Source!I163,0))),0)</f>
        <v>0</v>
      </c>
      <c r="AJ273">
        <f>Source!Y163</f>
        <v>0</v>
      </c>
      <c r="AS273">
        <f>IF(Source!BI163&lt;=1,AH273,0)</f>
        <v>0</v>
      </c>
      <c r="AT273">
        <f>IF(Source!BI163&lt;=1,AJ273,0)</f>
        <v>0</v>
      </c>
      <c r="BC273">
        <f>IF(Source!BI163=2,AH273,0)</f>
        <v>0</v>
      </c>
      <c r="BD273">
        <f>IF(Source!BI163=2,AJ273,0)</f>
        <v>0</v>
      </c>
    </row>
    <row r="274" spans="1:12" ht="12.75">
      <c r="A274" s="46"/>
      <c r="B274" s="46"/>
      <c r="C274" s="46"/>
      <c r="D274" s="46"/>
      <c r="E274" s="108"/>
      <c r="F274" s="46"/>
      <c r="G274" s="108"/>
      <c r="H274" s="46"/>
      <c r="I274" s="46"/>
      <c r="J274" s="46"/>
      <c r="K274" s="46"/>
      <c r="L274" s="46"/>
    </row>
    <row r="275" spans="3:61" ht="15">
      <c r="C275" s="119" t="s">
        <v>432</v>
      </c>
      <c r="D275" s="119"/>
      <c r="E275" s="120"/>
      <c r="F275" s="119"/>
      <c r="G275" s="120"/>
      <c r="H275" s="119"/>
      <c r="I275" s="119">
        <f>J273</f>
        <v>2622</v>
      </c>
      <c r="J275" s="119"/>
      <c r="K275" s="119">
        <f>L273</f>
        <v>35682</v>
      </c>
      <c r="L275" s="119"/>
      <c r="O275" s="44">
        <f>I275</f>
        <v>2622</v>
      </c>
      <c r="P275" s="44">
        <f>K275</f>
        <v>35682</v>
      </c>
      <c r="R275">
        <f>0</f>
        <v>0</v>
      </c>
      <c r="V275">
        <f>0</f>
        <v>0</v>
      </c>
      <c r="W275">
        <f>0</f>
        <v>0</v>
      </c>
      <c r="Y275">
        <f>0</f>
        <v>0</v>
      </c>
      <c r="AA275">
        <f>0</f>
        <v>0</v>
      </c>
      <c r="AC275">
        <f>0</f>
        <v>0</v>
      </c>
      <c r="AE275">
        <f>0</f>
        <v>0</v>
      </c>
      <c r="AF275">
        <f>0</f>
        <v>0</v>
      </c>
      <c r="AO275">
        <f>IF(Source!BI163&lt;=1,0,0)</f>
        <v>0</v>
      </c>
      <c r="AR275">
        <f>IF(Source!BI163&lt;=1,J273,0)</f>
        <v>2622</v>
      </c>
      <c r="AY275">
        <f>IF(Source!BI163=2,0,0)</f>
        <v>0</v>
      </c>
      <c r="BB275">
        <f>IF(Source!BI163=2,J273,0)</f>
        <v>0</v>
      </c>
      <c r="BI275">
        <f>IF(Source!BI163=3,J273,0)</f>
        <v>0</v>
      </c>
    </row>
    <row r="276" spans="1:56" ht="85.5">
      <c r="A276" s="74">
        <v>15</v>
      </c>
      <c r="B276" s="74" t="str">
        <f>Source!F165</f>
        <v>т03-01-01-050</v>
      </c>
      <c r="C276" s="74" t="str">
        <f>Source!G165</f>
        <v>Перевозка грузов I класса автомобилями бортовыми грузоподъемностью до 15 т на расстояние: 50 км (Приказ от 06.11.2020 № МКЭ-ОД/20-68 прил. 2 по ЮЗАО - 50 км) Применительно</v>
      </c>
      <c r="D276" s="51" t="str">
        <f>Source!DW165</f>
        <v>1 Т ГРУЗА</v>
      </c>
      <c r="E276" s="106">
        <f>Source!K165</f>
        <v>61</v>
      </c>
      <c r="F276" s="52"/>
      <c r="G276" s="106">
        <f>Source!I165</f>
        <v>61</v>
      </c>
      <c r="H276" s="53">
        <f>Source!AK165</f>
        <v>23.67</v>
      </c>
      <c r="I276" s="54"/>
      <c r="J276" s="55">
        <f>ROUND(Source!AB165*Source!I165,0)</f>
        <v>1444</v>
      </c>
      <c r="K276" s="54">
        <f>Source!AZ165</f>
        <v>8.07</v>
      </c>
      <c r="L276" s="55">
        <f>Source!GM165</f>
        <v>11652</v>
      </c>
      <c r="AG276">
        <f>ROUND((Source!AT165/100)*((ROUND(0*Source!I165,0)+ROUND(0*Source!I165,0))),0)</f>
        <v>0</v>
      </c>
      <c r="AH276">
        <f>Source!X165</f>
        <v>0</v>
      </c>
      <c r="AI276">
        <f>ROUND((Source!AU165/100)*((ROUND(0*Source!I165,0)+ROUND(0*Source!I165,0))),0)</f>
        <v>0</v>
      </c>
      <c r="AJ276">
        <f>Source!Y165</f>
        <v>0</v>
      </c>
      <c r="AS276">
        <f>IF(Source!BI165&lt;=1,AH276,0)</f>
        <v>0</v>
      </c>
      <c r="AT276">
        <f>IF(Source!BI165&lt;=1,AJ276,0)</f>
        <v>0</v>
      </c>
      <c r="BC276">
        <f>IF(Source!BI165=2,AH276,0)</f>
        <v>0</v>
      </c>
      <c r="BD276">
        <f>IF(Source!BI165=2,AJ276,0)</f>
        <v>0</v>
      </c>
    </row>
    <row r="277" spans="1:12" ht="12.75">
      <c r="A277" s="46"/>
      <c r="B277" s="46"/>
      <c r="C277" s="46"/>
      <c r="D277" s="46"/>
      <c r="E277" s="108"/>
      <c r="F277" s="46"/>
      <c r="G277" s="108"/>
      <c r="H277" s="46"/>
      <c r="I277" s="46"/>
      <c r="J277" s="46"/>
      <c r="K277" s="46"/>
      <c r="L277" s="46"/>
    </row>
    <row r="278" spans="3:61" ht="15">
      <c r="C278" s="119" t="s">
        <v>432</v>
      </c>
      <c r="D278" s="119"/>
      <c r="E278" s="120"/>
      <c r="F278" s="119"/>
      <c r="G278" s="120"/>
      <c r="H278" s="119"/>
      <c r="I278" s="119">
        <f>J276</f>
        <v>1444</v>
      </c>
      <c r="J278" s="119"/>
      <c r="K278" s="119">
        <f>L276</f>
        <v>11652</v>
      </c>
      <c r="L278" s="119"/>
      <c r="O278" s="44">
        <f>I278</f>
        <v>1444</v>
      </c>
      <c r="P278" s="44">
        <f>K278</f>
        <v>11652</v>
      </c>
      <c r="R278">
        <f>0</f>
        <v>0</v>
      </c>
      <c r="V278">
        <f>0</f>
        <v>0</v>
      </c>
      <c r="W278">
        <f>0</f>
        <v>0</v>
      </c>
      <c r="Y278">
        <f>0</f>
        <v>0</v>
      </c>
      <c r="AA278">
        <f>0</f>
        <v>0</v>
      </c>
      <c r="AC278">
        <f>0</f>
        <v>0</v>
      </c>
      <c r="AE278">
        <f>0</f>
        <v>0</v>
      </c>
      <c r="AF278">
        <f>0</f>
        <v>0</v>
      </c>
      <c r="AO278">
        <f>IF(Source!BI165&lt;=1,0,0)</f>
        <v>0</v>
      </c>
      <c r="AR278">
        <f>IF(Source!BI165&lt;=1,J276,0)</f>
        <v>1444</v>
      </c>
      <c r="AY278">
        <f>IF(Source!BI165=2,0,0)</f>
        <v>0</v>
      </c>
      <c r="BB278">
        <f>IF(Source!BI165=2,J276,0)</f>
        <v>0</v>
      </c>
      <c r="BI278">
        <f>IF(Source!BI165=3,J276,0)</f>
        <v>0</v>
      </c>
    </row>
    <row r="280" spans="1:95" ht="15">
      <c r="A280" s="63"/>
      <c r="B280" s="64"/>
      <c r="C280" s="114" t="s">
        <v>440</v>
      </c>
      <c r="D280" s="114"/>
      <c r="E280" s="115"/>
      <c r="F280" s="114"/>
      <c r="G280" s="115"/>
      <c r="H280" s="114"/>
      <c r="I280" s="65"/>
      <c r="J280" s="66">
        <f>J282+J283+J284+J285</f>
        <v>5518</v>
      </c>
      <c r="K280" s="67"/>
      <c r="L280" s="66">
        <f>L282+L283+L284+L285</f>
        <v>70363</v>
      </c>
      <c r="CQ280" s="78" t="s">
        <v>440</v>
      </c>
    </row>
    <row r="281" spans="1:12" ht="14.25">
      <c r="A281" s="68"/>
      <c r="B281" s="69"/>
      <c r="C281" s="118" t="s">
        <v>441</v>
      </c>
      <c r="D281" s="116"/>
      <c r="E281" s="117"/>
      <c r="F281" s="116"/>
      <c r="G281" s="117"/>
      <c r="H281" s="116"/>
      <c r="I281" s="70"/>
      <c r="J281" s="71"/>
      <c r="K281" s="72"/>
      <c r="L281" s="71"/>
    </row>
    <row r="282" spans="1:12" ht="14.25">
      <c r="A282" s="68"/>
      <c r="B282" s="69"/>
      <c r="C282" s="116" t="s">
        <v>442</v>
      </c>
      <c r="D282" s="116"/>
      <c r="E282" s="117"/>
      <c r="F282" s="116"/>
      <c r="G282" s="117"/>
      <c r="H282" s="116"/>
      <c r="I282" s="70"/>
      <c r="J282" s="71">
        <f>SUM(Q262:Q278)</f>
        <v>452</v>
      </c>
      <c r="K282" s="72"/>
      <c r="L282" s="71">
        <f>SUM(U262:U278)</f>
        <v>16286</v>
      </c>
    </row>
    <row r="283" spans="1:12" ht="13.5" customHeight="1" hidden="1">
      <c r="A283" s="68"/>
      <c r="B283" s="69"/>
      <c r="C283" s="116" t="s">
        <v>443</v>
      </c>
      <c r="D283" s="116"/>
      <c r="E283" s="117"/>
      <c r="F283" s="116"/>
      <c r="G283" s="117"/>
      <c r="H283" s="116"/>
      <c r="I283" s="70"/>
      <c r="J283" s="71">
        <f>SUM(AB262:AB278)</f>
        <v>0</v>
      </c>
      <c r="K283" s="72"/>
      <c r="L283" s="71">
        <f>SUM(AD262:AD278)</f>
        <v>0</v>
      </c>
    </row>
    <row r="284" spans="1:12" ht="14.25">
      <c r="A284" s="68"/>
      <c r="B284" s="69"/>
      <c r="C284" s="116" t="s">
        <v>444</v>
      </c>
      <c r="D284" s="116"/>
      <c r="E284" s="117"/>
      <c r="F284" s="116"/>
      <c r="G284" s="117"/>
      <c r="H284" s="116"/>
      <c r="I284" s="70"/>
      <c r="J284" s="71">
        <f>SUM(AF262:AF278)-J289</f>
        <v>1000</v>
      </c>
      <c r="K284" s="72"/>
      <c r="L284" s="71">
        <f>Source!P170-L289</f>
        <v>6743</v>
      </c>
    </row>
    <row r="285" spans="1:12" ht="14.25">
      <c r="A285" s="68"/>
      <c r="B285" s="69"/>
      <c r="C285" s="116" t="s">
        <v>445</v>
      </c>
      <c r="D285" s="116"/>
      <c r="E285" s="117"/>
      <c r="F285" s="116"/>
      <c r="G285" s="117"/>
      <c r="H285" s="116"/>
      <c r="I285" s="70"/>
      <c r="J285" s="71">
        <f>SUM(AR262:AR278)+SUM(BB262:BB278)+SUM(BI262:BI278)+SUM(BP262:BP278)</f>
        <v>4066</v>
      </c>
      <c r="K285" s="72"/>
      <c r="L285" s="71">
        <f>Source!P192</f>
        <v>47334</v>
      </c>
    </row>
    <row r="286" spans="1:12" ht="14.25">
      <c r="A286" s="68"/>
      <c r="B286" s="69"/>
      <c r="C286" s="116" t="s">
        <v>446</v>
      </c>
      <c r="D286" s="116"/>
      <c r="E286" s="117"/>
      <c r="F286" s="116"/>
      <c r="G286" s="117"/>
      <c r="H286" s="116"/>
      <c r="I286" s="70"/>
      <c r="J286" s="71">
        <f>SUM(Q262:Q278)+SUM(X262:X278)</f>
        <v>452</v>
      </c>
      <c r="K286" s="72"/>
      <c r="L286" s="71">
        <f>SUM(U262:U278)+SUM(Z262:Z278)</f>
        <v>16286</v>
      </c>
    </row>
    <row r="287" spans="1:12" ht="14.25">
      <c r="A287" s="68"/>
      <c r="B287" s="69"/>
      <c r="C287" s="116" t="s">
        <v>447</v>
      </c>
      <c r="D287" s="116"/>
      <c r="E287" s="117"/>
      <c r="F287" s="116"/>
      <c r="G287" s="117"/>
      <c r="H287" s="116"/>
      <c r="I287" s="70"/>
      <c r="J287" s="71">
        <f>SUM(AG262:AG278)</f>
        <v>416</v>
      </c>
      <c r="K287" s="72"/>
      <c r="L287" s="71">
        <f>Source!P193</f>
        <v>14983</v>
      </c>
    </row>
    <row r="288" spans="1:12" ht="14.25">
      <c r="A288" s="68"/>
      <c r="B288" s="69"/>
      <c r="C288" s="116" t="s">
        <v>448</v>
      </c>
      <c r="D288" s="116"/>
      <c r="E288" s="117"/>
      <c r="F288" s="116"/>
      <c r="G288" s="117"/>
      <c r="H288" s="116"/>
      <c r="I288" s="70"/>
      <c r="J288" s="71">
        <f>SUM(AI262:AI278)</f>
        <v>199</v>
      </c>
      <c r="K288" s="72"/>
      <c r="L288" s="71">
        <f>Source!P194</f>
        <v>7166</v>
      </c>
    </row>
    <row r="289" spans="1:12" ht="13.5" customHeight="1" hidden="1">
      <c r="A289" s="68"/>
      <c r="B289" s="69"/>
      <c r="C289" s="116" t="s">
        <v>449</v>
      </c>
      <c r="D289" s="116"/>
      <c r="E289" s="117"/>
      <c r="F289" s="116"/>
      <c r="G289" s="117"/>
      <c r="H289" s="116"/>
      <c r="I289" s="70"/>
      <c r="J289" s="71">
        <f>SUM(BH262:BH278)</f>
        <v>0</v>
      </c>
      <c r="K289" s="72"/>
      <c r="L289" s="71">
        <f>Source!P176</f>
        <v>0</v>
      </c>
    </row>
    <row r="290" spans="1:12" ht="13.5" customHeight="1" hidden="1">
      <c r="A290" s="68"/>
      <c r="B290" s="69"/>
      <c r="C290" s="116" t="s">
        <v>450</v>
      </c>
      <c r="D290" s="116"/>
      <c r="E290" s="117"/>
      <c r="F290" s="116"/>
      <c r="G290" s="117"/>
      <c r="H290" s="116"/>
      <c r="I290" s="70"/>
      <c r="J290" s="71">
        <f>SUM(BM262:BM278)+SUM(BN262:BN278)+SUM(BO262:BO278)+SUM(BP262:BP278)</f>
        <v>0</v>
      </c>
      <c r="K290" s="72"/>
      <c r="L290" s="71">
        <f>Source!P186</f>
        <v>0</v>
      </c>
    </row>
    <row r="291" spans="1:12" ht="15">
      <c r="A291" s="63"/>
      <c r="B291" s="64"/>
      <c r="C291" s="114" t="s">
        <v>451</v>
      </c>
      <c r="D291" s="114"/>
      <c r="E291" s="115"/>
      <c r="F291" s="114"/>
      <c r="G291" s="115"/>
      <c r="H291" s="114"/>
      <c r="I291" s="65"/>
      <c r="J291" s="66">
        <f>J280+J287+J288+J289</f>
        <v>6133</v>
      </c>
      <c r="K291" s="67"/>
      <c r="L291" s="66">
        <f>Source!P195</f>
        <v>92512</v>
      </c>
    </row>
    <row r="292" spans="1:12" ht="13.5" customHeight="1" hidden="1">
      <c r="A292" s="68"/>
      <c r="B292" s="69"/>
      <c r="C292" s="118" t="s">
        <v>452</v>
      </c>
      <c r="D292" s="116"/>
      <c r="E292" s="117"/>
      <c r="F292" s="116"/>
      <c r="G292" s="117"/>
      <c r="H292" s="116"/>
      <c r="I292" s="70"/>
      <c r="J292" s="71"/>
      <c r="K292" s="72"/>
      <c r="L292" s="71"/>
    </row>
    <row r="293" spans="1:12" ht="13.5" customHeight="1" hidden="1">
      <c r="A293" s="68"/>
      <c r="B293" s="69"/>
      <c r="C293" s="116" t="s">
        <v>453</v>
      </c>
      <c r="D293" s="116"/>
      <c r="E293" s="117"/>
      <c r="F293" s="116"/>
      <c r="G293" s="117"/>
      <c r="H293" s="116"/>
      <c r="I293" s="70"/>
      <c r="J293" s="71"/>
      <c r="K293" s="72"/>
      <c r="L293" s="71">
        <f>SUM(BS262:BS278)</f>
        <v>0</v>
      </c>
    </row>
    <row r="294" spans="1:12" ht="13.5" customHeight="1" hidden="1">
      <c r="A294" s="68"/>
      <c r="B294" s="69"/>
      <c r="C294" s="116" t="s">
        <v>454</v>
      </c>
      <c r="D294" s="116"/>
      <c r="E294" s="117"/>
      <c r="F294" s="116"/>
      <c r="G294" s="117"/>
      <c r="H294" s="116"/>
      <c r="I294" s="70"/>
      <c r="J294" s="71"/>
      <c r="K294" s="72"/>
      <c r="L294" s="71">
        <f>SUM(BT262:BT278)</f>
        <v>0</v>
      </c>
    </row>
    <row r="296" spans="1:12" ht="15">
      <c r="A296" s="63"/>
      <c r="B296" s="64"/>
      <c r="C296" s="114" t="s">
        <v>475</v>
      </c>
      <c r="D296" s="114"/>
      <c r="E296" s="115"/>
      <c r="F296" s="114"/>
      <c r="G296" s="115"/>
      <c r="H296" s="114"/>
      <c r="I296" s="65"/>
      <c r="J296" s="66"/>
      <c r="K296" s="67"/>
      <c r="L296" s="66"/>
    </row>
    <row r="297" spans="1:12" ht="15">
      <c r="A297" s="63"/>
      <c r="B297" s="64"/>
      <c r="C297" s="114" t="s">
        <v>476</v>
      </c>
      <c r="D297" s="114"/>
      <c r="E297" s="115"/>
      <c r="F297" s="114"/>
      <c r="G297" s="115"/>
      <c r="H297" s="114"/>
      <c r="I297" s="65"/>
      <c r="J297" s="66">
        <f>J299+J300+J301+J302</f>
        <v>209836</v>
      </c>
      <c r="K297" s="67"/>
      <c r="L297" s="66">
        <f>L299+L300+L301+L302</f>
        <v>1601738</v>
      </c>
    </row>
    <row r="298" spans="1:12" ht="14.25">
      <c r="A298" s="68"/>
      <c r="B298" s="69"/>
      <c r="C298" s="118" t="s">
        <v>441</v>
      </c>
      <c r="D298" s="116"/>
      <c r="E298" s="117"/>
      <c r="F298" s="116"/>
      <c r="G298" s="117"/>
      <c r="H298" s="116"/>
      <c r="I298" s="70"/>
      <c r="J298" s="71"/>
      <c r="K298" s="72"/>
      <c r="L298" s="71"/>
    </row>
    <row r="299" spans="1:12" ht="14.25">
      <c r="A299" s="68"/>
      <c r="B299" s="69"/>
      <c r="C299" s="116" t="s">
        <v>442</v>
      </c>
      <c r="D299" s="116"/>
      <c r="E299" s="117"/>
      <c r="F299" s="116"/>
      <c r="G299" s="117"/>
      <c r="H299" s="116"/>
      <c r="I299" s="70"/>
      <c r="J299" s="71">
        <f>SUM(Q42:Q294)</f>
        <v>14370</v>
      </c>
      <c r="K299" s="72"/>
      <c r="L299" s="72">
        <f>SUM(U42:U294)</f>
        <v>517754</v>
      </c>
    </row>
    <row r="300" spans="1:12" ht="14.25">
      <c r="A300" s="68"/>
      <c r="B300" s="69"/>
      <c r="C300" s="116" t="s">
        <v>443</v>
      </c>
      <c r="D300" s="116"/>
      <c r="E300" s="117"/>
      <c r="F300" s="116"/>
      <c r="G300" s="117"/>
      <c r="H300" s="116"/>
      <c r="I300" s="70"/>
      <c r="J300" s="71">
        <f>SUM(AB42:AB294)</f>
        <v>5556</v>
      </c>
      <c r="K300" s="72"/>
      <c r="L300" s="72">
        <f>SUM(AD42:AD294)</f>
        <v>47592</v>
      </c>
    </row>
    <row r="301" spans="1:12" ht="14.25">
      <c r="A301" s="68"/>
      <c r="B301" s="69"/>
      <c r="C301" s="116" t="s">
        <v>444</v>
      </c>
      <c r="D301" s="116"/>
      <c r="E301" s="117"/>
      <c r="F301" s="116"/>
      <c r="G301" s="117"/>
      <c r="H301" s="116"/>
      <c r="I301" s="70"/>
      <c r="J301" s="71">
        <f>SUM(AF42:AF294)-J306</f>
        <v>185844</v>
      </c>
      <c r="K301" s="72"/>
      <c r="L301" s="72">
        <f>Source!P200-L306</f>
        <v>989058</v>
      </c>
    </row>
    <row r="302" spans="1:12" ht="14.25">
      <c r="A302" s="68"/>
      <c r="B302" s="69"/>
      <c r="C302" s="116" t="s">
        <v>445</v>
      </c>
      <c r="D302" s="116"/>
      <c r="E302" s="117"/>
      <c r="F302" s="116"/>
      <c r="G302" s="117"/>
      <c r="H302" s="116"/>
      <c r="I302" s="70"/>
      <c r="J302" s="71">
        <f>SUM(AR42:AR294)+SUM(BB42:BB294)+SUM(BI42:BI294)+SUM(BP42:BP294)</f>
        <v>4066</v>
      </c>
      <c r="K302" s="72"/>
      <c r="L302" s="72">
        <f>Source!P222</f>
        <v>47334</v>
      </c>
    </row>
    <row r="303" spans="1:12" ht="14.25">
      <c r="A303" s="68"/>
      <c r="B303" s="69"/>
      <c r="C303" s="116" t="s">
        <v>477</v>
      </c>
      <c r="D303" s="116"/>
      <c r="E303" s="117"/>
      <c r="F303" s="116"/>
      <c r="G303" s="117"/>
      <c r="H303" s="116"/>
      <c r="I303" s="70"/>
      <c r="J303" s="71">
        <f>SUM(Q42:Q294)+SUM(X42:X294)</f>
        <v>14976</v>
      </c>
      <c r="K303" s="72"/>
      <c r="L303" s="72">
        <f>SUM(U42:U294)+SUM(Z42:Z294)</f>
        <v>539624</v>
      </c>
    </row>
    <row r="304" spans="1:12" ht="14.25">
      <c r="A304" s="68"/>
      <c r="B304" s="69"/>
      <c r="C304" s="116" t="s">
        <v>478</v>
      </c>
      <c r="D304" s="116"/>
      <c r="E304" s="117"/>
      <c r="F304" s="116"/>
      <c r="G304" s="117"/>
      <c r="H304" s="116"/>
      <c r="I304" s="70"/>
      <c r="J304" s="71">
        <f>SUM(AG42:AG294)</f>
        <v>16101</v>
      </c>
      <c r="K304" s="72"/>
      <c r="L304" s="72">
        <f>Source!P223</f>
        <v>580263</v>
      </c>
    </row>
    <row r="305" spans="1:12" ht="14.25">
      <c r="A305" s="68"/>
      <c r="B305" s="69"/>
      <c r="C305" s="116" t="s">
        <v>479</v>
      </c>
      <c r="D305" s="116"/>
      <c r="E305" s="117"/>
      <c r="F305" s="116"/>
      <c r="G305" s="117"/>
      <c r="H305" s="116"/>
      <c r="I305" s="70"/>
      <c r="J305" s="71">
        <f>SUM(AI42:AI294)</f>
        <v>8717</v>
      </c>
      <c r="K305" s="72"/>
      <c r="L305" s="72">
        <f>Source!P224</f>
        <v>314115</v>
      </c>
    </row>
    <row r="306" spans="1:12" ht="13.5" customHeight="1" hidden="1">
      <c r="A306" s="68"/>
      <c r="B306" s="69"/>
      <c r="C306" s="116" t="s">
        <v>480</v>
      </c>
      <c r="D306" s="116"/>
      <c r="E306" s="117"/>
      <c r="F306" s="116"/>
      <c r="G306" s="117"/>
      <c r="H306" s="116"/>
      <c r="I306" s="70"/>
      <c r="J306" s="71">
        <f>SUM(BH42:BH294)</f>
        <v>0</v>
      </c>
      <c r="K306" s="72"/>
      <c r="L306" s="72">
        <f>Source!P206</f>
        <v>0</v>
      </c>
    </row>
    <row r="307" spans="1:12" ht="13.5" customHeight="1" hidden="1">
      <c r="A307" s="68"/>
      <c r="B307" s="69"/>
      <c r="C307" s="116" t="s">
        <v>481</v>
      </c>
      <c r="D307" s="116"/>
      <c r="E307" s="117"/>
      <c r="F307" s="116"/>
      <c r="G307" s="117"/>
      <c r="H307" s="116"/>
      <c r="I307" s="70"/>
      <c r="J307" s="71">
        <f>SUM(BM42:BM294)+SUM(BN42:BN294)+SUM(BO42:BO294)+SUM(BP42:BP294)</f>
        <v>0</v>
      </c>
      <c r="K307" s="72"/>
      <c r="L307" s="72">
        <f>Source!P216</f>
        <v>0</v>
      </c>
    </row>
    <row r="308" spans="1:12" ht="15">
      <c r="A308" s="63"/>
      <c r="B308" s="64"/>
      <c r="C308" s="114" t="s">
        <v>475</v>
      </c>
      <c r="D308" s="114"/>
      <c r="E308" s="115"/>
      <c r="F308" s="114"/>
      <c r="G308" s="115"/>
      <c r="H308" s="114"/>
      <c r="I308" s="65"/>
      <c r="J308" s="66">
        <f>J297+J304+J305+J306</f>
        <v>234654</v>
      </c>
      <c r="K308" s="67"/>
      <c r="L308" s="67">
        <f>Source!P225</f>
        <v>2496116</v>
      </c>
    </row>
    <row r="309" spans="1:12" ht="13.5" customHeight="1" hidden="1">
      <c r="A309" s="68"/>
      <c r="B309" s="69"/>
      <c r="C309" s="118" t="s">
        <v>441</v>
      </c>
      <c r="D309" s="116"/>
      <c r="E309" s="117"/>
      <c r="F309" s="116"/>
      <c r="G309" s="117"/>
      <c r="H309" s="116"/>
      <c r="I309" s="70"/>
      <c r="J309" s="71"/>
      <c r="K309" s="72"/>
      <c r="L309" s="72"/>
    </row>
    <row r="310" spans="1:12" ht="13.5" customHeight="1" hidden="1">
      <c r="A310" s="68"/>
      <c r="B310" s="69"/>
      <c r="C310" s="116" t="s">
        <v>453</v>
      </c>
      <c r="D310" s="116"/>
      <c r="E310" s="117"/>
      <c r="F310" s="116"/>
      <c r="G310" s="117"/>
      <c r="H310" s="116"/>
      <c r="I310" s="70"/>
      <c r="J310" s="71"/>
      <c r="K310" s="72"/>
      <c r="L310" s="72">
        <f>SUM(BS42:BS294)</f>
        <v>0</v>
      </c>
    </row>
    <row r="311" spans="1:12" ht="13.5" customHeight="1" hidden="1">
      <c r="A311" s="68"/>
      <c r="B311" s="69"/>
      <c r="C311" s="116" t="s">
        <v>454</v>
      </c>
      <c r="D311" s="116"/>
      <c r="E311" s="117"/>
      <c r="F311" s="116"/>
      <c r="G311" s="117"/>
      <c r="H311" s="116"/>
      <c r="I311" s="70"/>
      <c r="J311" s="71"/>
      <c r="K311" s="72"/>
      <c r="L311" s="72">
        <f>SUM(BT42:BT294)</f>
        <v>0</v>
      </c>
    </row>
    <row r="312" spans="1:12" ht="14.25">
      <c r="A312" s="68"/>
      <c r="B312" s="69"/>
      <c r="C312" s="116" t="s">
        <v>241</v>
      </c>
      <c r="D312" s="116"/>
      <c r="E312" s="117"/>
      <c r="F312" s="116"/>
      <c r="G312" s="117"/>
      <c r="H312" s="116"/>
      <c r="I312" s="70"/>
      <c r="J312" s="71"/>
      <c r="K312" s="73">
        <v>0.2</v>
      </c>
      <c r="L312" s="72">
        <f>ROUND(L308*K312,2)</f>
        <v>499223.2</v>
      </c>
    </row>
    <row r="313" spans="1:12" ht="15">
      <c r="A313" s="63"/>
      <c r="B313" s="64"/>
      <c r="C313" s="114" t="s">
        <v>482</v>
      </c>
      <c r="D313" s="114"/>
      <c r="E313" s="115"/>
      <c r="F313" s="114"/>
      <c r="G313" s="115"/>
      <c r="H313" s="114"/>
      <c r="I313" s="65"/>
      <c r="J313" s="66"/>
      <c r="K313" s="67"/>
      <c r="L313" s="67">
        <f>L308+L312</f>
        <v>2995339.2</v>
      </c>
    </row>
    <row r="316" spans="1:11" ht="14.25">
      <c r="A316" s="128" t="s">
        <v>483</v>
      </c>
      <c r="B316" s="128"/>
      <c r="C316" s="43" t="str">
        <f>IF(Source!AC12&lt;&gt;"",Source!AC12," ")</f>
        <v>Ведущий инженер РЕСО</v>
      </c>
      <c r="D316" s="43"/>
      <c r="E316" s="109"/>
      <c r="F316" s="43"/>
      <c r="G316" s="109"/>
      <c r="H316" s="129" t="str">
        <f>IF(Source!AB12&lt;&gt;"",Source!AB12," ")</f>
        <v>Степанова А.М.</v>
      </c>
      <c r="I316" s="129"/>
      <c r="J316" s="129"/>
      <c r="K316" s="129"/>
    </row>
    <row r="317" spans="1:11" ht="14.25">
      <c r="A317" s="14"/>
      <c r="B317" s="14"/>
      <c r="C317" s="123" t="s">
        <v>484</v>
      </c>
      <c r="D317" s="123"/>
      <c r="E317" s="124"/>
      <c r="F317" s="123"/>
      <c r="G317" s="124"/>
      <c r="H317" s="14"/>
      <c r="I317" s="14"/>
      <c r="J317" s="14"/>
      <c r="K317" s="14"/>
    </row>
    <row r="318" spans="1:11" ht="14.25">
      <c r="A318" s="14"/>
      <c r="B318" s="14"/>
      <c r="C318" s="14"/>
      <c r="D318" s="14"/>
      <c r="E318" s="101"/>
      <c r="F318" s="14"/>
      <c r="G318" s="101"/>
      <c r="H318" s="14"/>
      <c r="I318" s="14"/>
      <c r="J318" s="14"/>
      <c r="K318" s="14"/>
    </row>
    <row r="319" spans="1:11" ht="14.25">
      <c r="A319" s="128" t="s">
        <v>485</v>
      </c>
      <c r="B319" s="128"/>
      <c r="C319" s="43" t="str">
        <f>IF(Source!AE12&lt;&gt;"",Source!AE12," ")</f>
        <v>Заведующий РЕСО</v>
      </c>
      <c r="D319" s="43"/>
      <c r="E319" s="109"/>
      <c r="F319" s="43"/>
      <c r="G319" s="109"/>
      <c r="H319" s="129" t="str">
        <f>IF(Source!AD12&lt;&gt;"",Source!AD12," ")</f>
        <v>Покшин В.И.</v>
      </c>
      <c r="I319" s="129"/>
      <c r="J319" s="129"/>
      <c r="K319" s="129"/>
    </row>
    <row r="320" spans="1:11" ht="14.25">
      <c r="A320" s="14"/>
      <c r="B320" s="14"/>
      <c r="C320" s="123" t="s">
        <v>484</v>
      </c>
      <c r="D320" s="123"/>
      <c r="E320" s="124"/>
      <c r="F320" s="123"/>
      <c r="G320" s="124"/>
      <c r="H320" s="14"/>
      <c r="I320" s="14"/>
      <c r="J320" s="14"/>
      <c r="K320" s="14"/>
    </row>
  </sheetData>
  <sheetProtection/>
  <mergeCells count="147">
    <mergeCell ref="B6:E6"/>
    <mergeCell ref="H6:L6"/>
    <mergeCell ref="A9:L9"/>
    <mergeCell ref="A11:K11"/>
    <mergeCell ref="B13:K13"/>
    <mergeCell ref="B2:E2"/>
    <mergeCell ref="H2:L2"/>
    <mergeCell ref="B3:E3"/>
    <mergeCell ref="H3:L3"/>
    <mergeCell ref="B5:E5"/>
    <mergeCell ref="H5:L5"/>
    <mergeCell ref="C25:G25"/>
    <mergeCell ref="D29:E29"/>
    <mergeCell ref="D32:E32"/>
    <mergeCell ref="D33:E33"/>
    <mergeCell ref="D34:E34"/>
    <mergeCell ref="D35:E35"/>
    <mergeCell ref="B15:K15"/>
    <mergeCell ref="B16:K16"/>
    <mergeCell ref="B18:K18"/>
    <mergeCell ref="B20:K20"/>
    <mergeCell ref="C24:G24"/>
    <mergeCell ref="K37:K40"/>
    <mergeCell ref="L37:L40"/>
    <mergeCell ref="A316:B316"/>
    <mergeCell ref="H316:K316"/>
    <mergeCell ref="C317:G317"/>
    <mergeCell ref="A319:B319"/>
    <mergeCell ref="H319:K319"/>
    <mergeCell ref="C89:H89"/>
    <mergeCell ref="C88:H88"/>
    <mergeCell ref="C87:H87"/>
    <mergeCell ref="A37:A40"/>
    <mergeCell ref="B37:B40"/>
    <mergeCell ref="C37:C40"/>
    <mergeCell ref="D37:D40"/>
    <mergeCell ref="E37:G39"/>
    <mergeCell ref="H37:J39"/>
    <mergeCell ref="A43:L43"/>
    <mergeCell ref="I216:J216"/>
    <mergeCell ref="K198:L198"/>
    <mergeCell ref="I198:J198"/>
    <mergeCell ref="K180:L180"/>
    <mergeCell ref="I180:J180"/>
    <mergeCell ref="K162:L162"/>
    <mergeCell ref="K65:L65"/>
    <mergeCell ref="C320:G320"/>
    <mergeCell ref="C94:H94"/>
    <mergeCell ref="C93:H93"/>
    <mergeCell ref="C92:H92"/>
    <mergeCell ref="C91:H91"/>
    <mergeCell ref="C90:H90"/>
    <mergeCell ref="C256:H256"/>
    <mergeCell ref="C255:H255"/>
    <mergeCell ref="C254:H254"/>
    <mergeCell ref="C253:H253"/>
    <mergeCell ref="C216:H216"/>
    <mergeCell ref="C198:H198"/>
    <mergeCell ref="C180:H180"/>
    <mergeCell ref="C96:H96"/>
    <mergeCell ref="C95:H95"/>
    <mergeCell ref="C284:H284"/>
    <mergeCell ref="C283:H283"/>
    <mergeCell ref="C282:H282"/>
    <mergeCell ref="C281:H281"/>
    <mergeCell ref="C280:H280"/>
    <mergeCell ref="C301:H301"/>
    <mergeCell ref="C300:H300"/>
    <mergeCell ref="C299:H299"/>
    <mergeCell ref="C298:H298"/>
    <mergeCell ref="I65:J65"/>
    <mergeCell ref="C65:H65"/>
    <mergeCell ref="K54:L54"/>
    <mergeCell ref="I54:J54"/>
    <mergeCell ref="C54:H54"/>
    <mergeCell ref="C86:H86"/>
    <mergeCell ref="C85:H85"/>
    <mergeCell ref="C84:H84"/>
    <mergeCell ref="C83:H83"/>
    <mergeCell ref="C82:H82"/>
    <mergeCell ref="K80:L80"/>
    <mergeCell ref="I80:J80"/>
    <mergeCell ref="C80:H80"/>
    <mergeCell ref="K114:L114"/>
    <mergeCell ref="I114:J114"/>
    <mergeCell ref="C114:H114"/>
    <mergeCell ref="A98:L98"/>
    <mergeCell ref="I275:J275"/>
    <mergeCell ref="C275:H275"/>
    <mergeCell ref="K272:L272"/>
    <mergeCell ref="I272:J272"/>
    <mergeCell ref="C272:H272"/>
    <mergeCell ref="A262:L262"/>
    <mergeCell ref="K216:L216"/>
    <mergeCell ref="I162:J162"/>
    <mergeCell ref="C162:H162"/>
    <mergeCell ref="K145:L145"/>
    <mergeCell ref="I145:J145"/>
    <mergeCell ref="C145:H145"/>
    <mergeCell ref="K129:L129"/>
    <mergeCell ref="I129:J129"/>
    <mergeCell ref="C129:H129"/>
    <mergeCell ref="C251:H251"/>
    <mergeCell ref="C250:H250"/>
    <mergeCell ref="C249:H249"/>
    <mergeCell ref="C248:H248"/>
    <mergeCell ref="C247:H247"/>
    <mergeCell ref="K278:L278"/>
    <mergeCell ref="I278:J278"/>
    <mergeCell ref="C278:H278"/>
    <mergeCell ref="K275:L275"/>
    <mergeCell ref="C246:H246"/>
    <mergeCell ref="K244:L244"/>
    <mergeCell ref="I244:J244"/>
    <mergeCell ref="C244:H244"/>
    <mergeCell ref="K230:L230"/>
    <mergeCell ref="I230:J230"/>
    <mergeCell ref="C230:H230"/>
    <mergeCell ref="C252:H252"/>
    <mergeCell ref="C260:H260"/>
    <mergeCell ref="C259:H259"/>
    <mergeCell ref="C258:H258"/>
    <mergeCell ref="C257:H257"/>
    <mergeCell ref="C297:H297"/>
    <mergeCell ref="C296:H296"/>
    <mergeCell ref="C285:H285"/>
    <mergeCell ref="C313:H313"/>
    <mergeCell ref="C312:H312"/>
    <mergeCell ref="C311:H311"/>
    <mergeCell ref="C310:H310"/>
    <mergeCell ref="C309:H309"/>
    <mergeCell ref="C308:H308"/>
    <mergeCell ref="C294:H294"/>
    <mergeCell ref="C293:H293"/>
    <mergeCell ref="C292:H292"/>
    <mergeCell ref="C291:H291"/>
    <mergeCell ref="C290:H290"/>
    <mergeCell ref="C289:H289"/>
    <mergeCell ref="C307:H307"/>
    <mergeCell ref="C306:H306"/>
    <mergeCell ref="C305:H305"/>
    <mergeCell ref="C304:H304"/>
    <mergeCell ref="C303:H303"/>
    <mergeCell ref="C302:H302"/>
    <mergeCell ref="C288:H288"/>
    <mergeCell ref="C287:H287"/>
    <mergeCell ref="C286:H286"/>
  </mergeCells>
  <printOptions/>
  <pageMargins left="0.4" right="0.2" top="0.2" bottom="0.4" header="0.2" footer="0.2"/>
  <pageSetup fitToHeight="0" fitToWidth="1" horizontalDpi="600" verticalDpi="600" orientation="portrait" paperSize="9" scale="50" r:id="rId1"/>
  <headerFooter>
    <oddHeader>&amp;L&amp;8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75.7109375" style="0" customWidth="1"/>
    <col min="3" max="5" width="15.7109375" style="0" customWidth="1"/>
    <col min="30" max="30" width="114.7109375" style="0" hidden="1" customWidth="1"/>
    <col min="31" max="32" width="0" style="0" hidden="1" customWidth="1"/>
  </cols>
  <sheetData>
    <row r="1" ht="12.75">
      <c r="A1" s="12" t="str">
        <f>Source!B1</f>
        <v>Smeta.RU  (495) 974-1589</v>
      </c>
    </row>
    <row r="2" spans="3:4" ht="14.25">
      <c r="C2" s="14"/>
      <c r="D2" s="14"/>
    </row>
    <row r="3" spans="3:4" ht="15">
      <c r="C3" s="14"/>
      <c r="D3" s="62" t="s">
        <v>382</v>
      </c>
    </row>
    <row r="4" spans="3:4" ht="15">
      <c r="C4" s="62"/>
      <c r="D4" s="62"/>
    </row>
    <row r="5" spans="3:4" ht="15">
      <c r="C5" s="165" t="s">
        <v>486</v>
      </c>
      <c r="D5" s="165"/>
    </row>
    <row r="6" spans="3:4" ht="15">
      <c r="C6" s="79"/>
      <c r="D6" s="79"/>
    </row>
    <row r="7" spans="3:4" ht="15">
      <c r="C7" s="165" t="s">
        <v>486</v>
      </c>
      <c r="D7" s="165"/>
    </row>
    <row r="8" spans="3:4" ht="15">
      <c r="C8" s="79"/>
      <c r="D8" s="79"/>
    </row>
    <row r="9" spans="3:4" ht="15">
      <c r="C9" s="62" t="s">
        <v>487</v>
      </c>
      <c r="D9" s="14"/>
    </row>
    <row r="10" spans="1:5" ht="14.25">
      <c r="A10" s="14"/>
      <c r="B10" s="14"/>
      <c r="C10" s="14"/>
      <c r="D10" s="14"/>
      <c r="E10" s="14"/>
    </row>
    <row r="11" spans="1:5" ht="15.75">
      <c r="A11" s="166" t="str">
        <f>CONCATENATE("Дефектный акт ",IF(Source!AN15&lt;&gt;"",Source!AN15," "))</f>
        <v>Дефектный акт  </v>
      </c>
      <c r="B11" s="166"/>
      <c r="C11" s="166"/>
      <c r="D11" s="166"/>
      <c r="E11" s="14"/>
    </row>
    <row r="12" spans="1:30" ht="15">
      <c r="A12" s="167" t="str">
        <f>CONCATENATE("На капитальный ремонт ",Source!F12," ",Source!G12)</f>
        <v>На капитальный ремонт  Выполнение работ по текущему ремонту кровли строения 2 (КОН)_3 млн</v>
      </c>
      <c r="B12" s="167"/>
      <c r="C12" s="167"/>
      <c r="D12" s="167"/>
      <c r="E12" s="14"/>
      <c r="AD12" s="83" t="str">
        <f>CONCATENATE("На капитальный ремонт ",Source!F12," ",Source!G12)</f>
        <v>На капитальный ремонт  Выполнение работ по текущему ремонту кровли строения 2 (КОН)_3 млн</v>
      </c>
    </row>
    <row r="13" spans="1:5" ht="14.25">
      <c r="A13" s="14"/>
      <c r="B13" s="14"/>
      <c r="C13" s="14"/>
      <c r="D13" s="14"/>
      <c r="E13" s="14"/>
    </row>
    <row r="14" spans="1:5" ht="15">
      <c r="A14" s="14"/>
      <c r="B14" s="80" t="s">
        <v>488</v>
      </c>
      <c r="C14" s="14"/>
      <c r="D14" s="14"/>
      <c r="E14" s="14"/>
    </row>
    <row r="15" spans="1:5" ht="15">
      <c r="A15" s="14"/>
      <c r="B15" s="80" t="s">
        <v>489</v>
      </c>
      <c r="C15" s="14"/>
      <c r="D15" s="14"/>
      <c r="E15" s="14"/>
    </row>
    <row r="16" spans="1:5" ht="15">
      <c r="A16" s="14"/>
      <c r="B16" s="80" t="s">
        <v>490</v>
      </c>
      <c r="C16" s="14"/>
      <c r="D16" s="14"/>
      <c r="E16" s="14"/>
    </row>
    <row r="17" spans="1:5" ht="28.5">
      <c r="A17" s="81" t="s">
        <v>406</v>
      </c>
      <c r="B17" s="81" t="s">
        <v>408</v>
      </c>
      <c r="C17" s="81" t="s">
        <v>409</v>
      </c>
      <c r="D17" s="81" t="s">
        <v>410</v>
      </c>
      <c r="E17" s="82" t="s">
        <v>491</v>
      </c>
    </row>
    <row r="18" spans="1:5" ht="14.25">
      <c r="A18" s="84">
        <v>1</v>
      </c>
      <c r="B18" s="84">
        <v>2</v>
      </c>
      <c r="C18" s="84">
        <v>3</v>
      </c>
      <c r="D18" s="84">
        <v>4</v>
      </c>
      <c r="E18" s="85">
        <v>5</v>
      </c>
    </row>
    <row r="19" spans="1:5" ht="16.5">
      <c r="A19" s="164" t="str">
        <f>CONCATENATE("Локальная смета: ",Source!G20)</f>
        <v>Локальная смета: Новая локальная смета</v>
      </c>
      <c r="B19" s="164"/>
      <c r="C19" s="164"/>
      <c r="D19" s="164"/>
      <c r="E19" s="164"/>
    </row>
    <row r="20" spans="1:5" ht="16.5">
      <c r="A20" s="164" t="str">
        <f>CONCATENATE("Раздел: ",Source!G24)</f>
        <v>Раздел: Демонтаж</v>
      </c>
      <c r="B20" s="164"/>
      <c r="C20" s="164"/>
      <c r="D20" s="164"/>
      <c r="E20" s="164"/>
    </row>
    <row r="21" spans="1:5" ht="14.25">
      <c r="A21" s="90">
        <v>1</v>
      </c>
      <c r="B21" s="91" t="str">
        <f>Source!G28</f>
        <v>Разборка покрытий кровель: из листовой стали</v>
      </c>
      <c r="C21" s="92" t="str">
        <f>Source!H28</f>
        <v>100 м2</v>
      </c>
      <c r="D21" s="93">
        <f>Source!I28</f>
        <v>1.35</v>
      </c>
      <c r="E21" s="91"/>
    </row>
    <row r="22" spans="1:5" ht="14.25">
      <c r="A22" s="90">
        <v>2</v>
      </c>
      <c r="B22" s="91" t="str">
        <f>Source!G30</f>
        <v>Разборка покрытий кровель: из рулонных материалов</v>
      </c>
      <c r="C22" s="92" t="str">
        <f>Source!H30</f>
        <v>100 м2</v>
      </c>
      <c r="D22" s="93">
        <f>Source!I30</f>
        <v>21.2</v>
      </c>
      <c r="E22" s="91"/>
    </row>
    <row r="23" spans="1:5" ht="14.25">
      <c r="A23" s="90">
        <v>3</v>
      </c>
      <c r="B23" s="91" t="str">
        <f>Source!G32</f>
        <v>Разборка стяжек: цементных толщиной 20 мм (Применительно)</v>
      </c>
      <c r="C23" s="92" t="str">
        <f>Source!H32</f>
        <v>100 м2</v>
      </c>
      <c r="D23" s="93">
        <f>Source!I32</f>
        <v>11.1</v>
      </c>
      <c r="E23" s="91"/>
    </row>
    <row r="24" spans="1:5" ht="16.5">
      <c r="A24" s="164" t="str">
        <f>CONCATENATE("Раздел: ",Source!G67)</f>
        <v>Раздел: Монтаж</v>
      </c>
      <c r="B24" s="164"/>
      <c r="C24" s="164"/>
      <c r="D24" s="164"/>
      <c r="E24" s="164"/>
    </row>
    <row r="25" spans="1:5" ht="14.25">
      <c r="A25" s="90">
        <v>4</v>
      </c>
      <c r="B25" s="91" t="str">
        <f>Source!G71</f>
        <v>Устройство выравнивающих стяжек: цементно-песчаных толщиной 15 мм</v>
      </c>
      <c r="C25" s="92" t="str">
        <f>Source!H71</f>
        <v>100 м2</v>
      </c>
      <c r="D25" s="93">
        <f>Source!I71</f>
        <v>11.1</v>
      </c>
      <c r="E25" s="91"/>
    </row>
    <row r="26" spans="1:5" ht="14.25">
      <c r="A26" s="90">
        <v>4.1</v>
      </c>
      <c r="B26" s="91" t="str">
        <f>Source!G73</f>
        <v>Смеси сухие цементные (пескобетон), класс B22,5 (M300)</v>
      </c>
      <c r="C26" s="92" t="str">
        <f>Source!H73</f>
        <v>т</v>
      </c>
      <c r="D26" s="93">
        <f>Source!I73</f>
        <v>30.058412</v>
      </c>
      <c r="E26" s="91"/>
    </row>
    <row r="27" spans="1:5" ht="28.5">
      <c r="A27" s="90">
        <v>5</v>
      </c>
      <c r="B27" s="91" t="str">
        <f>Source!G75</f>
        <v>Устройство выравнивающих стяжек: на каждый 1 мм изменения толщины добавлять или исключать к расценке 12-01-017-01 (К=5, до 20 мм)</v>
      </c>
      <c r="C27" s="92" t="str">
        <f>Source!H75</f>
        <v>100 м2</v>
      </c>
      <c r="D27" s="93">
        <f>Source!I75</f>
        <v>5.5</v>
      </c>
      <c r="E27" s="91"/>
    </row>
    <row r="28" spans="1:5" ht="14.25">
      <c r="A28" s="90">
        <v>5.1</v>
      </c>
      <c r="B28" s="91" t="str">
        <f>Source!G77</f>
        <v>Смеси сухие цементные (пескобетон), класс B22,5 (M300)</v>
      </c>
      <c r="C28" s="92" t="str">
        <f>Source!H77</f>
        <v>т</v>
      </c>
      <c r="D28" s="93">
        <f>Source!I77</f>
        <v>4.97</v>
      </c>
      <c r="E28" s="91"/>
    </row>
    <row r="29" spans="1:5" ht="28.5">
      <c r="A29" s="90">
        <v>6</v>
      </c>
      <c r="B29" s="91" t="str">
        <f>Source!G79</f>
        <v>Огрунтовка оснований из бетона или раствора под водоизоляционный кровельный ковер: готовой эмульсией битумной</v>
      </c>
      <c r="C29" s="92" t="str">
        <f>Source!H79</f>
        <v>100 м2</v>
      </c>
      <c r="D29" s="93">
        <f>Source!I79</f>
        <v>21.2</v>
      </c>
      <c r="E29" s="91"/>
    </row>
    <row r="30" spans="1:5" ht="14.25">
      <c r="A30" s="90">
        <v>6.1</v>
      </c>
      <c r="B30" s="91" t="str">
        <f>Source!G81</f>
        <v>Эмульсия битумная гидроизоляционная</v>
      </c>
      <c r="C30" s="92" t="str">
        <f>Source!H81</f>
        <v>т</v>
      </c>
      <c r="D30" s="93">
        <f>Source!I81</f>
        <v>-0.954</v>
      </c>
      <c r="E30" s="91"/>
    </row>
    <row r="31" spans="1:5" ht="14.25">
      <c r="A31" s="90">
        <v>6.2</v>
      </c>
      <c r="B31" s="91" t="str">
        <f>Source!G83</f>
        <v>Праймер битумный производства «Техно-Николь»</v>
      </c>
      <c r="C31" s="92" t="str">
        <f>Source!H83</f>
        <v>т</v>
      </c>
      <c r="D31" s="93">
        <f>Source!I83</f>
        <v>0.954</v>
      </c>
      <c r="E31" s="91"/>
    </row>
    <row r="32" spans="1:5" ht="28.5">
      <c r="A32" s="90">
        <v>7</v>
      </c>
      <c r="B32" s="91" t="str">
        <f>Source!G85</f>
        <v>Устройство мелких покрытий (брандмауэры, парапеты, свесы и т.п.) из листовой оцинкованной стали</v>
      </c>
      <c r="C32" s="92" t="str">
        <f>Source!H85</f>
        <v>100 м2</v>
      </c>
      <c r="D32" s="93">
        <f>Source!I85</f>
        <v>1.35</v>
      </c>
      <c r="E32" s="91"/>
    </row>
    <row r="33" spans="1:5" ht="14.25">
      <c r="A33" s="90">
        <v>7.1</v>
      </c>
      <c r="B33" s="91" t="str">
        <f>Source!G87</f>
        <v>Гвозди толевые круглые, размер 3,0x40 мм</v>
      </c>
      <c r="C33" s="92" t="str">
        <f>Source!H87</f>
        <v>т</v>
      </c>
      <c r="D33" s="93">
        <f>Source!I87</f>
        <v>-0.0054</v>
      </c>
      <c r="E33" s="91"/>
    </row>
    <row r="34" spans="1:5" ht="14.25">
      <c r="A34" s="90">
        <v>7.2</v>
      </c>
      <c r="B34" s="91" t="str">
        <f>Source!G89</f>
        <v>Проволока канатная оцинкованная, диаметр 3 мм</v>
      </c>
      <c r="C34" s="92" t="str">
        <f>Source!H89</f>
        <v>т</v>
      </c>
      <c r="D34" s="93">
        <f>Source!I89</f>
        <v>-0.0162</v>
      </c>
      <c r="E34" s="91"/>
    </row>
    <row r="35" spans="1:5" ht="14.25">
      <c r="A35" s="90">
        <v>7.3</v>
      </c>
      <c r="B35" s="91" t="str">
        <f>Source!G91</f>
        <v>Сталь листовая оцинкованная, толщина 0,5 мм</v>
      </c>
      <c r="C35" s="92" t="str">
        <f>Source!H91</f>
        <v>т</v>
      </c>
      <c r="D35" s="93">
        <f>Source!I91</f>
        <v>-0.7695</v>
      </c>
      <c r="E35" s="91"/>
    </row>
    <row r="36" spans="1:5" ht="14.25">
      <c r="A36" s="90">
        <v>8</v>
      </c>
      <c r="B36" s="91" t="str">
        <f>Source!G93</f>
        <v>Устройство кровель плоских из наплавляемых материалов в два слоя</v>
      </c>
      <c r="C36" s="92" t="str">
        <f>Source!H93</f>
        <v>100 м2</v>
      </c>
      <c r="D36" s="93">
        <f>Source!I93</f>
        <v>21.2</v>
      </c>
      <c r="E36" s="91"/>
    </row>
    <row r="37" spans="1:5" ht="14.25">
      <c r="A37" s="90">
        <v>8.1</v>
      </c>
      <c r="B37" s="91" t="str">
        <f>Source!G95</f>
        <v>Линокром: ТКП</v>
      </c>
      <c r="C37" s="92" t="str">
        <f>Source!H95</f>
        <v>м2</v>
      </c>
      <c r="D37" s="93">
        <f>Source!I95</f>
        <v>2416.8</v>
      </c>
      <c r="E37" s="91"/>
    </row>
    <row r="38" spans="1:5" ht="14.25">
      <c r="A38" s="90">
        <v>8.2</v>
      </c>
      <c r="B38" s="91" t="str">
        <f>Source!G97</f>
        <v>Линокром: ТПП</v>
      </c>
      <c r="C38" s="92" t="str">
        <f>Source!H97</f>
        <v>м2</v>
      </c>
      <c r="D38" s="93">
        <f>Source!I97</f>
        <v>2459.2</v>
      </c>
      <c r="E38" s="91"/>
    </row>
    <row r="39" spans="1:5" ht="28.5">
      <c r="A39" s="90">
        <v>9</v>
      </c>
      <c r="B39" s="91" t="str">
        <f>Source!G99</f>
        <v>Устройство кровель плоских из наплавляемых материалов в два слоя (услиление мест установки водоприемных воронок) (Применительно</v>
      </c>
      <c r="C39" s="92" t="str">
        <f>Source!H99</f>
        <v>100 м2</v>
      </c>
      <c r="D39" s="93">
        <f>Source!I99</f>
        <v>0.16</v>
      </c>
      <c r="E39" s="91"/>
    </row>
    <row r="40" spans="1:5" ht="14.25">
      <c r="A40" s="90">
        <v>9.1</v>
      </c>
      <c r="B40" s="91" t="str">
        <f>Source!G101</f>
        <v>Линокром: ТКП</v>
      </c>
      <c r="C40" s="92" t="str">
        <f>Source!H101</f>
        <v>м2</v>
      </c>
      <c r="D40" s="93">
        <f>Source!I101</f>
        <v>18.24</v>
      </c>
      <c r="E40" s="91"/>
    </row>
    <row r="41" spans="1:5" ht="14.25">
      <c r="A41" s="90">
        <v>9.2</v>
      </c>
      <c r="B41" s="91" t="str">
        <f>Source!G103</f>
        <v>Линокром: ТПП</v>
      </c>
      <c r="C41" s="92" t="str">
        <f>Source!H103</f>
        <v>м2</v>
      </c>
      <c r="D41" s="93">
        <f>Source!I103</f>
        <v>18.56</v>
      </c>
      <c r="E41" s="91"/>
    </row>
    <row r="42" spans="1:5" ht="28.5">
      <c r="A42" s="90">
        <v>10</v>
      </c>
      <c r="B42" s="91" t="str">
        <f>Source!G105</f>
        <v>Устройство примыканий кровель из наплавляемых материалов к стенам и парапетам высотой: до 600 мм без фартуков</v>
      </c>
      <c r="C42" s="92" t="str">
        <f>Source!H105</f>
        <v>100 м</v>
      </c>
      <c r="D42" s="93">
        <f>Source!I105</f>
        <v>1.5</v>
      </c>
      <c r="E42" s="91"/>
    </row>
    <row r="43" spans="1:5" ht="14.25">
      <c r="A43" s="90">
        <v>10.1</v>
      </c>
      <c r="B43" s="91" t="str">
        <f>Source!G107</f>
        <v>Линокром: ТКП</v>
      </c>
      <c r="C43" s="92" t="str">
        <f>Source!H107</f>
        <v>м2</v>
      </c>
      <c r="D43" s="93">
        <f>Source!I107</f>
        <v>171</v>
      </c>
      <c r="E43" s="91"/>
    </row>
    <row r="44" spans="1:5" ht="14.25">
      <c r="A44" s="90">
        <v>10.2</v>
      </c>
      <c r="B44" s="91" t="str">
        <f>Source!G109</f>
        <v>Линокром: ТПП</v>
      </c>
      <c r="C44" s="92" t="str">
        <f>Source!H109</f>
        <v>м2</v>
      </c>
      <c r="D44" s="93">
        <f>Source!I109</f>
        <v>174</v>
      </c>
      <c r="E44" s="91"/>
    </row>
    <row r="45" spans="1:5" ht="14.25">
      <c r="A45" s="90">
        <v>10.3</v>
      </c>
      <c r="B45" s="91" t="str">
        <f>Source!G111</f>
        <v>Раствор готовый кладочный, цементный, М100</v>
      </c>
      <c r="C45" s="92" t="str">
        <f>Source!H111</f>
        <v>м3</v>
      </c>
      <c r="D45" s="93">
        <f>Source!I111</f>
        <v>-0.765</v>
      </c>
      <c r="E45" s="91"/>
    </row>
    <row r="46" spans="1:5" ht="14.25">
      <c r="A46" s="90">
        <v>11</v>
      </c>
      <c r="B46" s="91" t="str">
        <f>Source!G113</f>
        <v>Герметизация мастикой швов: горизонтальных</v>
      </c>
      <c r="C46" s="92" t="str">
        <f>Source!H113</f>
        <v>100 м</v>
      </c>
      <c r="D46" s="93">
        <f>Source!I113</f>
        <v>0.5</v>
      </c>
      <c r="E46" s="91"/>
    </row>
    <row r="47" spans="1:5" ht="28.5">
      <c r="A47" s="90">
        <v>11.1</v>
      </c>
      <c r="B47" s="91" t="str">
        <f>Source!G115</f>
        <v>Лента герметизирующая самоклеящая Герлен-Д шириной: 100 мм толщиной 3 мм</v>
      </c>
      <c r="C47" s="92" t="str">
        <f>Source!H115</f>
        <v>кг</v>
      </c>
      <c r="D47" s="93">
        <f>Source!I115</f>
        <v>9.75</v>
      </c>
      <c r="E47" s="91"/>
    </row>
    <row r="48" spans="1:5" ht="28.5">
      <c r="A48" s="90">
        <v>11.2</v>
      </c>
      <c r="B48" s="91" t="str">
        <f>Source!G117</f>
        <v>Мастика сланцевая уплотняющая неотверждающаяся для уплотнения и герметизации стеклянного ограждения теплиц и парников</v>
      </c>
      <c r="C48" s="92" t="str">
        <f>Source!H117</f>
        <v>т</v>
      </c>
      <c r="D48" s="93">
        <f>Source!I117</f>
        <v>-0.0375</v>
      </c>
      <c r="E48" s="91"/>
    </row>
    <row r="49" spans="1:5" ht="14.25">
      <c r="A49" s="90">
        <v>12</v>
      </c>
      <c r="B49" s="91" t="str">
        <f>Source!G119</f>
        <v>Герметизация мастикой швов: вертикальных</v>
      </c>
      <c r="C49" s="92" t="str">
        <f>Source!H119</f>
        <v>100 м</v>
      </c>
      <c r="D49" s="93">
        <f>Source!I119</f>
        <v>0.7</v>
      </c>
      <c r="E49" s="91"/>
    </row>
    <row r="50" spans="1:5" ht="28.5">
      <c r="A50" s="90">
        <v>12.1</v>
      </c>
      <c r="B50" s="91" t="str">
        <f>Source!G121</f>
        <v>Лента герметизирующая самоклеящая Герлен-Д шириной: 100 мм толщиной 3 мм</v>
      </c>
      <c r="C50" s="92" t="str">
        <f>Source!H121</f>
        <v>кг</v>
      </c>
      <c r="D50" s="93">
        <f>Source!I121</f>
        <v>13.649999999999999</v>
      </c>
      <c r="E50" s="91"/>
    </row>
    <row r="51" spans="1:5" ht="28.5">
      <c r="A51" s="90">
        <v>12.2</v>
      </c>
      <c r="B51" s="91" t="str">
        <f>Source!G123</f>
        <v>Мастика сланцевая уплотняющая неотверждающаяся для уплотнения и герметизации стеклянного ограждения теплиц и парников</v>
      </c>
      <c r="C51" s="92" t="str">
        <f>Source!H123</f>
        <v>т</v>
      </c>
      <c r="D51" s="93">
        <f>Source!I123</f>
        <v>-0.0595</v>
      </c>
      <c r="E51" s="91"/>
    </row>
    <row r="52" spans="1:5" ht="16.5">
      <c r="A52" s="164" t="str">
        <f>CONCATENATE("Раздел: ",Source!G156)</f>
        <v>Раздел: Разные работы</v>
      </c>
      <c r="B52" s="164"/>
      <c r="C52" s="164"/>
      <c r="D52" s="164"/>
      <c r="E52" s="164"/>
    </row>
    <row r="53" spans="1:5" ht="14.25">
      <c r="A53" s="90">
        <v>13</v>
      </c>
      <c r="B53" s="91" t="str">
        <f>Source!G160</f>
        <v>Затаривание строительного мусора в мешки</v>
      </c>
      <c r="C53" s="92" t="str">
        <f>Source!H160</f>
        <v>т</v>
      </c>
      <c r="D53" s="93">
        <f>Source!I160</f>
        <v>61</v>
      </c>
      <c r="E53" s="91"/>
    </row>
    <row r="54" spans="1:5" ht="28.5">
      <c r="A54" s="90">
        <v>14</v>
      </c>
      <c r="B54" s="91" t="str">
        <f>Source!G162</f>
        <v>Погрузочные работы при автомобильных перевозках мусора строительного с погрузкой вручную</v>
      </c>
      <c r="C54" s="92" t="str">
        <f>Source!H162</f>
        <v>1 Т ГРУЗА</v>
      </c>
      <c r="D54" s="93">
        <f>Source!I162</f>
        <v>61</v>
      </c>
      <c r="E54" s="91"/>
    </row>
    <row r="55" spans="1:5" ht="42.75">
      <c r="A55" s="86">
        <v>15</v>
      </c>
      <c r="B55" s="87" t="str">
        <f>Source!G164</f>
        <v>Перевозка грузов I класса автомобилями бортовыми грузоподъемностью до 15 т на расстояние: 50 км (Приказ от 06.11.2020 № МКЭ-ОД/20-68 прил. 2 по ЮЗАО - 50 км) Применительно</v>
      </c>
      <c r="C55" s="88" t="str">
        <f>Source!H164</f>
        <v>1 Т ГРУЗА</v>
      </c>
      <c r="D55" s="89">
        <f>Source!I164</f>
        <v>61</v>
      </c>
      <c r="E55" s="87"/>
    </row>
    <row r="58" spans="1:5" ht="15">
      <c r="A58" s="50" t="s">
        <v>492</v>
      </c>
      <c r="B58" s="50"/>
      <c r="C58" s="50" t="s">
        <v>493</v>
      </c>
      <c r="D58" s="50"/>
      <c r="E58" s="50"/>
    </row>
  </sheetData>
  <sheetProtection/>
  <mergeCells count="8">
    <mergeCell ref="A24:E24"/>
    <mergeCell ref="A52:E52"/>
    <mergeCell ref="C5:D5"/>
    <mergeCell ref="C7:D7"/>
    <mergeCell ref="A11:D11"/>
    <mergeCell ref="A12:D12"/>
    <mergeCell ref="A19:E19"/>
    <mergeCell ref="A20:E20"/>
  </mergeCells>
  <printOptions/>
  <pageMargins left="0.4" right="0.2" top="0.2" bottom="0.4" header="0.2" footer="0.2"/>
  <pageSetup fitToHeight="0" fitToWidth="1" horizontalDpi="600" verticalDpi="600" orientation="portrait" paperSize="9" scale="76" r:id="rId1"/>
  <headerFooter>
    <oddHeader>&amp;L&amp;8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4" ht="12.75">
      <c r="A1" t="s">
        <v>521</v>
      </c>
      <c r="B1" t="s">
        <v>522</v>
      </c>
      <c r="C1" t="s">
        <v>523</v>
      </c>
      <c r="D1" t="s">
        <v>524</v>
      </c>
      <c r="E1" t="s">
        <v>525</v>
      </c>
      <c r="F1" t="s">
        <v>526</v>
      </c>
      <c r="G1" t="s">
        <v>527</v>
      </c>
      <c r="H1" t="s">
        <v>528</v>
      </c>
      <c r="I1" t="s">
        <v>529</v>
      </c>
      <c r="J1" t="s">
        <v>530</v>
      </c>
      <c r="K1" t="s">
        <v>531</v>
      </c>
      <c r="L1" t="s">
        <v>532</v>
      </c>
      <c r="M1" t="s">
        <v>533</v>
      </c>
      <c r="N1" t="s">
        <v>534</v>
      </c>
    </row>
    <row r="2" spans="1:14" ht="12.75">
      <c r="A2">
        <v>1</v>
      </c>
      <c r="B2">
        <v>0</v>
      </c>
      <c r="C2">
        <v>0</v>
      </c>
      <c r="D2">
        <v>1</v>
      </c>
      <c r="E2">
        <v>1</v>
      </c>
      <c r="F2">
        <v>0</v>
      </c>
      <c r="G2">
        <v>0</v>
      </c>
      <c r="H2">
        <v>1</v>
      </c>
      <c r="I2">
        <v>1</v>
      </c>
      <c r="J2">
        <v>0</v>
      </c>
      <c r="K2">
        <v>1</v>
      </c>
      <c r="L2">
        <v>55110074</v>
      </c>
      <c r="M2">
        <v>0</v>
      </c>
      <c r="N2">
        <v>0</v>
      </c>
    </row>
    <row r="4" spans="1:27" ht="12.75">
      <c r="A4" t="s">
        <v>494</v>
      </c>
      <c r="B4" t="s">
        <v>495</v>
      </c>
      <c r="C4" t="s">
        <v>496</v>
      </c>
      <c r="D4" t="s">
        <v>497</v>
      </c>
      <c r="E4" t="s">
        <v>498</v>
      </c>
      <c r="F4" t="s">
        <v>499</v>
      </c>
      <c r="G4" t="s">
        <v>500</v>
      </c>
      <c r="H4" t="s">
        <v>501</v>
      </c>
      <c r="I4" t="s">
        <v>502</v>
      </c>
      <c r="J4" t="s">
        <v>503</v>
      </c>
      <c r="K4" t="s">
        <v>504</v>
      </c>
      <c r="L4" t="s">
        <v>505</v>
      </c>
      <c r="M4" t="s">
        <v>506</v>
      </c>
      <c r="N4" t="s">
        <v>507</v>
      </c>
      <c r="O4" t="s">
        <v>508</v>
      </c>
      <c r="P4" t="s">
        <v>509</v>
      </c>
      <c r="Q4" t="s">
        <v>510</v>
      </c>
      <c r="R4" t="s">
        <v>511</v>
      </c>
      <c r="S4" t="s">
        <v>512</v>
      </c>
      <c r="T4" t="s">
        <v>513</v>
      </c>
      <c r="U4" t="s">
        <v>517</v>
      </c>
      <c r="V4" t="s">
        <v>518</v>
      </c>
      <c r="W4" t="s">
        <v>519</v>
      </c>
      <c r="X4" t="s">
        <v>520</v>
      </c>
      <c r="Y4" t="s">
        <v>514</v>
      </c>
      <c r="Z4" t="s">
        <v>515</v>
      </c>
      <c r="AA4" t="s">
        <v>516</v>
      </c>
    </row>
    <row r="6" spans="1:7" ht="12.75">
      <c r="A6">
        <f>Source!A20</f>
        <v>3</v>
      </c>
      <c r="B6">
        <v>20</v>
      </c>
      <c r="G6" t="str">
        <f>Source!G20</f>
        <v>Новая локальная смета</v>
      </c>
    </row>
    <row r="7" spans="1:7" ht="12.75">
      <c r="A7">
        <f>Source!A24</f>
        <v>4</v>
      </c>
      <c r="B7">
        <v>24</v>
      </c>
      <c r="G7" t="str">
        <f>Source!G24</f>
        <v>Демонтаж</v>
      </c>
    </row>
    <row r="8" spans="1:7" ht="12.75">
      <c r="A8">
        <f>Source!A67</f>
        <v>4</v>
      </c>
      <c r="B8">
        <v>67</v>
      </c>
      <c r="G8" t="str">
        <f>Source!G67</f>
        <v>Монтаж</v>
      </c>
    </row>
    <row r="9" spans="1:27" ht="12.75">
      <c r="A9">
        <v>20</v>
      </c>
      <c r="B9">
        <v>26</v>
      </c>
      <c r="C9">
        <v>3</v>
      </c>
      <c r="D9">
        <v>0</v>
      </c>
      <c r="E9">
        <f>SmtRes!AV26</f>
        <v>0</v>
      </c>
      <c r="F9" t="str">
        <f>SmtRes!I26</f>
        <v>12.1.02.06-0022</v>
      </c>
      <c r="G9" t="str">
        <f>SmtRes!K26</f>
        <v>Рубероид кровельный РКП-350</v>
      </c>
      <c r="H9" t="str">
        <f>SmtRes!O26</f>
        <v>м2</v>
      </c>
      <c r="I9">
        <f>SmtRes!Y26*Source!I71</f>
        <v>48.84</v>
      </c>
      <c r="J9">
        <f>SmtRes!AO26</f>
        <v>1</v>
      </c>
      <c r="K9">
        <f>SmtRes!AE26</f>
        <v>6.2</v>
      </c>
      <c r="L9">
        <f>SmtRes!DB26</f>
        <v>27.28</v>
      </c>
      <c r="M9">
        <f>ROUND(ROUND(L9*Source!I71,2)*1,0)</f>
        <v>303</v>
      </c>
      <c r="N9">
        <f>SmtRes!AA26</f>
        <v>6.2</v>
      </c>
      <c r="O9">
        <f>ROUND(ROUND(L9*Source!I71,2)*SmtRes!DA26,0)</f>
        <v>303</v>
      </c>
      <c r="P9">
        <f>SmtRes!AG26</f>
        <v>0</v>
      </c>
      <c r="Q9">
        <f>SmtRes!DC26</f>
        <v>0</v>
      </c>
      <c r="R9">
        <f>ROUND(ROUND(Q9*Source!I71,2)*1,0)</f>
        <v>0</v>
      </c>
      <c r="S9">
        <f>SmtRes!AC26</f>
        <v>0</v>
      </c>
      <c r="T9">
        <f>ROUND(ROUND(Q9*Source!I71,2)*SmtRes!AK26,0)</f>
        <v>0</v>
      </c>
      <c r="U9">
        <v>3</v>
      </c>
      <c r="Y9">
        <f>SmtRes!X26</f>
        <v>1228981401</v>
      </c>
      <c r="Z9">
        <v>-534548385</v>
      </c>
      <c r="AA9">
        <v>-276307216</v>
      </c>
    </row>
    <row r="10" spans="1:27" ht="12.75">
      <c r="A10">
        <v>20</v>
      </c>
      <c r="B10">
        <v>24</v>
      </c>
      <c r="C10">
        <v>3</v>
      </c>
      <c r="D10">
        <v>0</v>
      </c>
      <c r="E10">
        <f>SmtRes!AV24</f>
        <v>0</v>
      </c>
      <c r="F10" t="str">
        <f>SmtRes!I24</f>
        <v>01.7.03.01-0001</v>
      </c>
      <c r="G10" t="str">
        <f>SmtRes!K24</f>
        <v>Вода</v>
      </c>
      <c r="H10" t="str">
        <f>SmtRes!O24</f>
        <v>м3</v>
      </c>
      <c r="I10">
        <f>SmtRes!Y24*Source!I71</f>
        <v>42.735</v>
      </c>
      <c r="J10">
        <f>SmtRes!AO24</f>
        <v>1</v>
      </c>
      <c r="K10">
        <f>SmtRes!AE24</f>
        <v>2.44</v>
      </c>
      <c r="L10">
        <f>SmtRes!DB24</f>
        <v>9.39</v>
      </c>
      <c r="M10">
        <f>ROUND(ROUND(L10*Source!I71,2)*1,0)</f>
        <v>104</v>
      </c>
      <c r="N10">
        <f>SmtRes!AA24</f>
        <v>2.44</v>
      </c>
      <c r="O10">
        <f>ROUND(ROUND(L10*Source!I71,2)*SmtRes!DA24,0)</f>
        <v>104</v>
      </c>
      <c r="P10">
        <f>SmtRes!AG24</f>
        <v>0</v>
      </c>
      <c r="Q10">
        <f>SmtRes!DC24</f>
        <v>0</v>
      </c>
      <c r="R10">
        <f>ROUND(ROUND(Q10*Source!I71,2)*1,0)</f>
        <v>0</v>
      </c>
      <c r="S10">
        <f>SmtRes!AC24</f>
        <v>0</v>
      </c>
      <c r="T10">
        <f>ROUND(ROUND(Q10*Source!I71,2)*SmtRes!AK24,0)</f>
        <v>0</v>
      </c>
      <c r="U10">
        <v>3</v>
      </c>
      <c r="Y10">
        <f>SmtRes!X24</f>
        <v>-1033255509</v>
      </c>
      <c r="Z10">
        <v>-170315387</v>
      </c>
      <c r="AA10">
        <v>951995842</v>
      </c>
    </row>
    <row r="11" spans="1:27" ht="12.75">
      <c r="A11">
        <f>Source!A73</f>
        <v>18</v>
      </c>
      <c r="B11">
        <v>73</v>
      </c>
      <c r="C11">
        <v>3</v>
      </c>
      <c r="D11">
        <f>Source!BI73</f>
        <v>1</v>
      </c>
      <c r="E11">
        <f>Source!FS73</f>
        <v>0</v>
      </c>
      <c r="F11" t="str">
        <f>Source!F73</f>
        <v>04.3.02.11-0011</v>
      </c>
      <c r="G11" t="str">
        <f>Source!G73</f>
        <v>Смеси сухие цементные (пескобетон), класс B22,5 (M300)</v>
      </c>
      <c r="H11" t="str">
        <f>Source!H73</f>
        <v>т</v>
      </c>
      <c r="I11">
        <f>Source!I73</f>
        <v>30.058412</v>
      </c>
      <c r="J11">
        <v>1</v>
      </c>
      <c r="K11">
        <f>Source!AC73</f>
        <v>1243.05</v>
      </c>
      <c r="M11">
        <f>ROUND(K11*I11,0)</f>
        <v>37364</v>
      </c>
      <c r="N11">
        <f>Source!AC73*IF(Source!BC73&lt;&gt;0,Source!BC73,1)</f>
        <v>1243.05</v>
      </c>
      <c r="O11">
        <f>ROUND(N11*I11,0)</f>
        <v>37364</v>
      </c>
      <c r="P11">
        <f>Source!AE73</f>
        <v>0</v>
      </c>
      <c r="R11">
        <f>ROUND(P11*I11,0)</f>
        <v>0</v>
      </c>
      <c r="S11">
        <f>Source!AE73*IF(Source!BS73&lt;&gt;0,Source!BS73,1)</f>
        <v>0</v>
      </c>
      <c r="T11">
        <f>ROUND(S11*I11,0)</f>
        <v>0</v>
      </c>
      <c r="U11">
        <v>3</v>
      </c>
      <c r="Y11">
        <f>Source!GF73</f>
        <v>-1961211957</v>
      </c>
      <c r="Z11">
        <v>-591983889</v>
      </c>
      <c r="AA11">
        <v>-886681749</v>
      </c>
    </row>
    <row r="12" spans="1:27" ht="12.75">
      <c r="A12">
        <f>Source!A77</f>
        <v>18</v>
      </c>
      <c r="B12">
        <v>77</v>
      </c>
      <c r="C12">
        <v>3</v>
      </c>
      <c r="D12">
        <f>Source!BI77</f>
        <v>1</v>
      </c>
      <c r="E12">
        <f>Source!FS77</f>
        <v>0</v>
      </c>
      <c r="F12" t="str">
        <f>Source!F77</f>
        <v>04.3.02.11-0011</v>
      </c>
      <c r="G12" t="str">
        <f>Source!G77</f>
        <v>Смеси сухие цементные (пескобетон), класс B22,5 (M300)</v>
      </c>
      <c r="H12" t="str">
        <f>Source!H77</f>
        <v>т</v>
      </c>
      <c r="I12">
        <f>Source!I77</f>
        <v>4.97</v>
      </c>
      <c r="J12">
        <v>1</v>
      </c>
      <c r="K12">
        <f>Source!AC77</f>
        <v>1243.05</v>
      </c>
      <c r="M12">
        <f>ROUND(K12*I12,0)</f>
        <v>6178</v>
      </c>
      <c r="N12">
        <f>Source!AC77*IF(Source!BC77&lt;&gt;0,Source!BC77,1)</f>
        <v>1243.05</v>
      </c>
      <c r="O12">
        <f>ROUND(N12*I12,0)</f>
        <v>6178</v>
      </c>
      <c r="P12">
        <f>Source!AE77</f>
        <v>0</v>
      </c>
      <c r="R12">
        <f>ROUND(P12*I12,0)</f>
        <v>0</v>
      </c>
      <c r="S12">
        <f>Source!AE77*IF(Source!BS77&lt;&gt;0,Source!BS77,1)</f>
        <v>0</v>
      </c>
      <c r="T12">
        <f>ROUND(S12*I12,0)</f>
        <v>0</v>
      </c>
      <c r="U12">
        <v>3</v>
      </c>
      <c r="Y12">
        <f>Source!GF77</f>
        <v>-1961211957</v>
      </c>
      <c r="Z12">
        <v>-591983889</v>
      </c>
      <c r="AA12">
        <v>-886681749</v>
      </c>
    </row>
    <row r="13" spans="1:27" ht="12.75">
      <c r="A13">
        <f>Source!A83</f>
        <v>18</v>
      </c>
      <c r="B13">
        <v>83</v>
      </c>
      <c r="C13">
        <v>3</v>
      </c>
      <c r="D13">
        <f>Source!BI83</f>
        <v>1</v>
      </c>
      <c r="E13">
        <f>Source!FS83</f>
        <v>0</v>
      </c>
      <c r="F13" t="str">
        <f>Source!F83</f>
        <v>01.2.03.05-0010</v>
      </c>
      <c r="G13" t="str">
        <f>Source!G83</f>
        <v>Праймер битумный производства «Техно-Николь»</v>
      </c>
      <c r="H13" t="str">
        <f>Source!H83</f>
        <v>т</v>
      </c>
      <c r="I13">
        <f>Source!I83</f>
        <v>0.954</v>
      </c>
      <c r="J13">
        <v>1</v>
      </c>
      <c r="K13">
        <f>Source!AC83</f>
        <v>11885.47</v>
      </c>
      <c r="M13">
        <f>ROUND(K13*I13,0)</f>
        <v>11339</v>
      </c>
      <c r="N13">
        <f>Source!AC83*IF(Source!BC83&lt;&gt;0,Source!BC83,1)</f>
        <v>11885.47</v>
      </c>
      <c r="O13">
        <f>ROUND(N13*I13,0)</f>
        <v>11339</v>
      </c>
      <c r="P13">
        <f>Source!AE83</f>
        <v>0</v>
      </c>
      <c r="R13">
        <f>ROUND(P13*I13,0)</f>
        <v>0</v>
      </c>
      <c r="S13">
        <f>Source!AE83*IF(Source!BS83&lt;&gt;0,Source!BS83,1)</f>
        <v>0</v>
      </c>
      <c r="T13">
        <f>ROUND(S13*I13,0)</f>
        <v>0</v>
      </c>
      <c r="U13">
        <v>3</v>
      </c>
      <c r="Y13">
        <f>Source!GF83</f>
        <v>-793660939</v>
      </c>
      <c r="Z13">
        <v>-1288698929</v>
      </c>
      <c r="AA13">
        <v>1773281349</v>
      </c>
    </row>
    <row r="14" spans="1:27" ht="12.75">
      <c r="A14">
        <v>20</v>
      </c>
      <c r="B14">
        <v>74</v>
      </c>
      <c r="C14">
        <v>3</v>
      </c>
      <c r="D14">
        <v>0</v>
      </c>
      <c r="E14">
        <f>SmtRes!AV74</f>
        <v>0</v>
      </c>
      <c r="F14" t="str">
        <f>SmtRes!I74</f>
        <v>01.3.02.09-0022</v>
      </c>
      <c r="G14" t="str">
        <f>SmtRes!K74</f>
        <v>Пропан-бутан смесь техническая</v>
      </c>
      <c r="H14" t="str">
        <f>SmtRes!O74</f>
        <v>кг</v>
      </c>
      <c r="I14">
        <f>SmtRes!Y74*Source!I93</f>
        <v>634.728</v>
      </c>
      <c r="J14">
        <f>SmtRes!AO74</f>
        <v>1</v>
      </c>
      <c r="K14">
        <f>SmtRes!AE74</f>
        <v>6.09</v>
      </c>
      <c r="L14">
        <f>SmtRes!DB74</f>
        <v>182.33</v>
      </c>
      <c r="M14">
        <f>ROUND(ROUND(L14*Source!I93,2)*1,0)</f>
        <v>3865</v>
      </c>
      <c r="N14">
        <f>SmtRes!AA74</f>
        <v>6.09</v>
      </c>
      <c r="O14">
        <f>ROUND(ROUND(L14*Source!I93,2)*SmtRes!DA74,0)</f>
        <v>3865</v>
      </c>
      <c r="P14">
        <f>SmtRes!AG74</f>
        <v>0</v>
      </c>
      <c r="Q14">
        <f>SmtRes!DC74</f>
        <v>0</v>
      </c>
      <c r="R14">
        <f>ROUND(ROUND(Q14*Source!I93,2)*1,0)</f>
        <v>0</v>
      </c>
      <c r="S14">
        <f>SmtRes!AC74</f>
        <v>0</v>
      </c>
      <c r="T14">
        <f>ROUND(ROUND(Q14*Source!I93,2)*SmtRes!AK74,0)</f>
        <v>0</v>
      </c>
      <c r="U14">
        <v>3</v>
      </c>
      <c r="Y14">
        <f>SmtRes!X74</f>
        <v>795665641</v>
      </c>
      <c r="Z14">
        <v>376101289</v>
      </c>
      <c r="AA14">
        <v>-479857971</v>
      </c>
    </row>
    <row r="15" spans="1:27" ht="12.75">
      <c r="A15">
        <f>Source!A95</f>
        <v>18</v>
      </c>
      <c r="B15">
        <v>95</v>
      </c>
      <c r="C15">
        <v>3</v>
      </c>
      <c r="D15">
        <f>Source!BI95</f>
        <v>1</v>
      </c>
      <c r="E15">
        <f>Source!FS95</f>
        <v>0</v>
      </c>
      <c r="F15" t="str">
        <f>Source!F95</f>
        <v>12.1.02.08-0091</v>
      </c>
      <c r="G15" t="str">
        <f>Source!G95</f>
        <v>Линокром: ТКП</v>
      </c>
      <c r="H15" t="str">
        <f>Source!H95</f>
        <v>м2</v>
      </c>
      <c r="I15">
        <f>Source!I95</f>
        <v>2416.8</v>
      </c>
      <c r="J15">
        <v>1</v>
      </c>
      <c r="K15">
        <f>Source!AC95</f>
        <v>27.73</v>
      </c>
      <c r="M15">
        <f>ROUND(K15*I15,0)</f>
        <v>67018</v>
      </c>
      <c r="N15">
        <f>Source!AC95*IF(Source!BC95&lt;&gt;0,Source!BC95,1)</f>
        <v>27.73</v>
      </c>
      <c r="O15">
        <f>ROUND(N15*I15,0)</f>
        <v>67018</v>
      </c>
      <c r="P15">
        <f>Source!AE95</f>
        <v>0</v>
      </c>
      <c r="R15">
        <f>ROUND(P15*I15,0)</f>
        <v>0</v>
      </c>
      <c r="S15">
        <f>Source!AE95*IF(Source!BS95&lt;&gt;0,Source!BS95,1)</f>
        <v>0</v>
      </c>
      <c r="T15">
        <f>ROUND(S15*I15,0)</f>
        <v>0</v>
      </c>
      <c r="U15">
        <v>3</v>
      </c>
      <c r="Y15">
        <f>Source!GF95</f>
        <v>1276428827</v>
      </c>
      <c r="Z15">
        <v>1372056642</v>
      </c>
      <c r="AA15">
        <v>768931257</v>
      </c>
    </row>
    <row r="16" spans="1:27" ht="12.75">
      <c r="A16">
        <f>Source!A97</f>
        <v>18</v>
      </c>
      <c r="B16">
        <v>97</v>
      </c>
      <c r="C16">
        <v>3</v>
      </c>
      <c r="D16">
        <f>Source!BI97</f>
        <v>1</v>
      </c>
      <c r="E16">
        <f>Source!FS97</f>
        <v>0</v>
      </c>
      <c r="F16" t="str">
        <f>Source!F97</f>
        <v>12.1.02.08-0095</v>
      </c>
      <c r="G16" t="str">
        <f>Source!G97</f>
        <v>Линокром: ТПП</v>
      </c>
      <c r="H16" t="str">
        <f>Source!H97</f>
        <v>м2</v>
      </c>
      <c r="I16">
        <f>Source!I97</f>
        <v>2459.2</v>
      </c>
      <c r="J16">
        <v>1</v>
      </c>
      <c r="K16">
        <f>Source!AC97</f>
        <v>19.75</v>
      </c>
      <c r="M16">
        <f>ROUND(K16*I16,0)</f>
        <v>48569</v>
      </c>
      <c r="N16">
        <f>Source!AC97*IF(Source!BC97&lt;&gt;0,Source!BC97,1)</f>
        <v>19.75</v>
      </c>
      <c r="O16">
        <f>ROUND(N16*I16,0)</f>
        <v>48569</v>
      </c>
      <c r="P16">
        <f>Source!AE97</f>
        <v>0</v>
      </c>
      <c r="R16">
        <f>ROUND(P16*I16,0)</f>
        <v>0</v>
      </c>
      <c r="S16">
        <f>Source!AE97*IF(Source!BS97&lt;&gt;0,Source!BS97,1)</f>
        <v>0</v>
      </c>
      <c r="T16">
        <f>ROUND(S16*I16,0)</f>
        <v>0</v>
      </c>
      <c r="U16">
        <v>3</v>
      </c>
      <c r="Y16">
        <f>Source!GF97</f>
        <v>-583407189</v>
      </c>
      <c r="Z16">
        <v>-1031141170</v>
      </c>
      <c r="AA16">
        <v>1249394854</v>
      </c>
    </row>
    <row r="17" spans="1:27" ht="12.75">
      <c r="A17">
        <v>20</v>
      </c>
      <c r="B17">
        <v>90</v>
      </c>
      <c r="C17">
        <v>3</v>
      </c>
      <c r="D17">
        <v>0</v>
      </c>
      <c r="E17">
        <f>SmtRes!AV90</f>
        <v>0</v>
      </c>
      <c r="F17" t="str">
        <f>SmtRes!I90</f>
        <v>01.3.02.09-0022</v>
      </c>
      <c r="G17" t="str">
        <f>SmtRes!K90</f>
        <v>Пропан-бутан смесь техническая</v>
      </c>
      <c r="H17" t="str">
        <f>SmtRes!O90</f>
        <v>кг</v>
      </c>
      <c r="I17">
        <f>SmtRes!Y90*Source!I99</f>
        <v>4.7904</v>
      </c>
      <c r="J17">
        <f>SmtRes!AO90</f>
        <v>1</v>
      </c>
      <c r="K17">
        <f>SmtRes!AE90</f>
        <v>6.09</v>
      </c>
      <c r="L17">
        <f>SmtRes!DB90</f>
        <v>182.33</v>
      </c>
      <c r="M17">
        <f>ROUND(ROUND(L17*Source!I99,2)*1,0)</f>
        <v>29</v>
      </c>
      <c r="N17">
        <f>SmtRes!AA90</f>
        <v>6.09</v>
      </c>
      <c r="O17">
        <f>ROUND(ROUND(L17*Source!I99,2)*SmtRes!DA90,0)</f>
        <v>29</v>
      </c>
      <c r="P17">
        <f>SmtRes!AG90</f>
        <v>0</v>
      </c>
      <c r="Q17">
        <f>SmtRes!DC90</f>
        <v>0</v>
      </c>
      <c r="R17">
        <f>ROUND(ROUND(Q17*Source!I99,2)*1,0)</f>
        <v>0</v>
      </c>
      <c r="S17">
        <f>SmtRes!AC90</f>
        <v>0</v>
      </c>
      <c r="T17">
        <f>ROUND(ROUND(Q17*Source!I99,2)*SmtRes!AK90,0)</f>
        <v>0</v>
      </c>
      <c r="U17">
        <v>3</v>
      </c>
      <c r="Y17">
        <f>SmtRes!X90</f>
        <v>795665641</v>
      </c>
      <c r="Z17">
        <v>376101289</v>
      </c>
      <c r="AA17">
        <v>-479857971</v>
      </c>
    </row>
    <row r="18" spans="1:27" ht="12.75">
      <c r="A18">
        <f>Source!A101</f>
        <v>18</v>
      </c>
      <c r="B18">
        <v>101</v>
      </c>
      <c r="C18">
        <v>3</v>
      </c>
      <c r="D18">
        <f>Source!BI101</f>
        <v>1</v>
      </c>
      <c r="E18">
        <f>Source!FS101</f>
        <v>0</v>
      </c>
      <c r="F18" t="str">
        <f>Source!F101</f>
        <v>12.1.02.08-0091</v>
      </c>
      <c r="G18" t="str">
        <f>Source!G101</f>
        <v>Линокром: ТКП</v>
      </c>
      <c r="H18" t="str">
        <f>Source!H101</f>
        <v>м2</v>
      </c>
      <c r="I18">
        <f>Source!I101</f>
        <v>18.24</v>
      </c>
      <c r="J18">
        <v>1</v>
      </c>
      <c r="K18">
        <f>Source!AC101</f>
        <v>27.73</v>
      </c>
      <c r="M18">
        <f>ROUND(K18*I18,0)</f>
        <v>506</v>
      </c>
      <c r="N18">
        <f>Source!AC101*IF(Source!BC101&lt;&gt;0,Source!BC101,1)</f>
        <v>27.73</v>
      </c>
      <c r="O18">
        <f>ROUND(N18*I18,0)</f>
        <v>506</v>
      </c>
      <c r="P18">
        <f>Source!AE101</f>
        <v>0</v>
      </c>
      <c r="R18">
        <f>ROUND(P18*I18,0)</f>
        <v>0</v>
      </c>
      <c r="S18">
        <f>Source!AE101*IF(Source!BS101&lt;&gt;0,Source!BS101,1)</f>
        <v>0</v>
      </c>
      <c r="T18">
        <f>ROUND(S18*I18,0)</f>
        <v>0</v>
      </c>
      <c r="U18">
        <v>3</v>
      </c>
      <c r="Y18">
        <f>Source!GF101</f>
        <v>1276428827</v>
      </c>
      <c r="Z18">
        <v>1372056642</v>
      </c>
      <c r="AA18">
        <v>768931257</v>
      </c>
    </row>
    <row r="19" spans="1:27" ht="12.75">
      <c r="A19">
        <f>Source!A103</f>
        <v>18</v>
      </c>
      <c r="B19">
        <v>103</v>
      </c>
      <c r="C19">
        <v>3</v>
      </c>
      <c r="D19">
        <f>Source!BI103</f>
        <v>1</v>
      </c>
      <c r="E19">
        <f>Source!FS103</f>
        <v>0</v>
      </c>
      <c r="F19" t="str">
        <f>Source!F103</f>
        <v>12.1.02.08-0095</v>
      </c>
      <c r="G19" t="str">
        <f>Source!G103</f>
        <v>Линокром: ТПП</v>
      </c>
      <c r="H19" t="str">
        <f>Source!H103</f>
        <v>м2</v>
      </c>
      <c r="I19">
        <f>Source!I103</f>
        <v>18.56</v>
      </c>
      <c r="J19">
        <v>1</v>
      </c>
      <c r="K19">
        <f>Source!AC103</f>
        <v>19.75</v>
      </c>
      <c r="M19">
        <f>ROUND(K19*I19,0)</f>
        <v>367</v>
      </c>
      <c r="N19">
        <f>Source!AC103*IF(Source!BC103&lt;&gt;0,Source!BC103,1)</f>
        <v>19.75</v>
      </c>
      <c r="O19">
        <f>ROUND(N19*I19,0)</f>
        <v>367</v>
      </c>
      <c r="P19">
        <f>Source!AE103</f>
        <v>0</v>
      </c>
      <c r="R19">
        <f>ROUND(P19*I19,0)</f>
        <v>0</v>
      </c>
      <c r="S19">
        <f>Source!AE103*IF(Source!BS103&lt;&gt;0,Source!BS103,1)</f>
        <v>0</v>
      </c>
      <c r="T19">
        <f>ROUND(S19*I19,0)</f>
        <v>0</v>
      </c>
      <c r="U19">
        <v>3</v>
      </c>
      <c r="Y19">
        <f>Source!GF103</f>
        <v>-583407189</v>
      </c>
      <c r="Z19">
        <v>-1031141170</v>
      </c>
      <c r="AA19">
        <v>1249394854</v>
      </c>
    </row>
    <row r="20" spans="1:27" ht="12.75">
      <c r="A20">
        <v>20</v>
      </c>
      <c r="B20">
        <v>106</v>
      </c>
      <c r="C20">
        <v>3</v>
      </c>
      <c r="D20">
        <v>0</v>
      </c>
      <c r="E20">
        <f>SmtRes!AV106</f>
        <v>0</v>
      </c>
      <c r="F20" t="str">
        <f>SmtRes!I106</f>
        <v>01.3.02.09-0022</v>
      </c>
      <c r="G20" t="str">
        <f>SmtRes!K106</f>
        <v>Пропан-бутан смесь техническая</v>
      </c>
      <c r="H20" t="str">
        <f>SmtRes!O106</f>
        <v>кг</v>
      </c>
      <c r="I20">
        <f>SmtRes!Y106*Source!I105</f>
        <v>48.735</v>
      </c>
      <c r="J20">
        <f>SmtRes!AO106</f>
        <v>1</v>
      </c>
      <c r="K20">
        <f>SmtRes!AE106</f>
        <v>6.09</v>
      </c>
      <c r="L20">
        <f>SmtRes!DB106</f>
        <v>197.86</v>
      </c>
      <c r="M20">
        <f>ROUND(ROUND(L20*Source!I105,2)*1,0)</f>
        <v>297</v>
      </c>
      <c r="N20">
        <f>SmtRes!AA106</f>
        <v>6.09</v>
      </c>
      <c r="O20">
        <f>ROUND(ROUND(L20*Source!I105,2)*SmtRes!DA106,0)</f>
        <v>297</v>
      </c>
      <c r="P20">
        <f>SmtRes!AG106</f>
        <v>0</v>
      </c>
      <c r="Q20">
        <f>SmtRes!DC106</f>
        <v>0</v>
      </c>
      <c r="R20">
        <f>ROUND(ROUND(Q20*Source!I105,2)*1,0)</f>
        <v>0</v>
      </c>
      <c r="S20">
        <f>SmtRes!AC106</f>
        <v>0</v>
      </c>
      <c r="T20">
        <f>ROUND(ROUND(Q20*Source!I105,2)*SmtRes!AK106,0)</f>
        <v>0</v>
      </c>
      <c r="U20">
        <v>3</v>
      </c>
      <c r="Y20">
        <f>SmtRes!X106</f>
        <v>795665641</v>
      </c>
      <c r="Z20">
        <v>376101289</v>
      </c>
      <c r="AA20">
        <v>-479857971</v>
      </c>
    </row>
    <row r="21" spans="1:27" ht="12.75">
      <c r="A21">
        <f>Source!A107</f>
        <v>18</v>
      </c>
      <c r="B21">
        <v>107</v>
      </c>
      <c r="C21">
        <v>3</v>
      </c>
      <c r="D21">
        <f>Source!BI107</f>
        <v>1</v>
      </c>
      <c r="E21">
        <f>Source!FS107</f>
        <v>0</v>
      </c>
      <c r="F21" t="str">
        <f>Source!F107</f>
        <v>12.1.02.08-0091</v>
      </c>
      <c r="G21" t="str">
        <f>Source!G107</f>
        <v>Линокром: ТКП</v>
      </c>
      <c r="H21" t="str">
        <f>Source!H107</f>
        <v>м2</v>
      </c>
      <c r="I21">
        <f>Source!I107</f>
        <v>171</v>
      </c>
      <c r="J21">
        <v>1</v>
      </c>
      <c r="K21">
        <f>Source!AC107</f>
        <v>27.73</v>
      </c>
      <c r="M21">
        <f>ROUND(K21*I21,0)</f>
        <v>4742</v>
      </c>
      <c r="N21">
        <f>Source!AC107*IF(Source!BC107&lt;&gt;0,Source!BC107,1)</f>
        <v>27.73</v>
      </c>
      <c r="O21">
        <f>ROUND(N21*I21,0)</f>
        <v>4742</v>
      </c>
      <c r="P21">
        <f>Source!AE107</f>
        <v>0</v>
      </c>
      <c r="R21">
        <f>ROUND(P21*I21,0)</f>
        <v>0</v>
      </c>
      <c r="S21">
        <f>Source!AE107*IF(Source!BS107&lt;&gt;0,Source!BS107,1)</f>
        <v>0</v>
      </c>
      <c r="T21">
        <f>ROUND(S21*I21,0)</f>
        <v>0</v>
      </c>
      <c r="U21">
        <v>3</v>
      </c>
      <c r="Y21">
        <f>Source!GF107</f>
        <v>1276428827</v>
      </c>
      <c r="Z21">
        <v>1372056642</v>
      </c>
      <c r="AA21">
        <v>768931257</v>
      </c>
    </row>
    <row r="22" spans="1:27" ht="12.75">
      <c r="A22">
        <f>Source!A109</f>
        <v>18</v>
      </c>
      <c r="B22">
        <v>109</v>
      </c>
      <c r="C22">
        <v>3</v>
      </c>
      <c r="D22">
        <f>Source!BI109</f>
        <v>1</v>
      </c>
      <c r="E22">
        <f>Source!FS109</f>
        <v>0</v>
      </c>
      <c r="F22" t="str">
        <f>Source!F109</f>
        <v>12.1.02.08-0095</v>
      </c>
      <c r="G22" t="str">
        <f>Source!G109</f>
        <v>Линокром: ТПП</v>
      </c>
      <c r="H22" t="str">
        <f>Source!H109</f>
        <v>м2</v>
      </c>
      <c r="I22">
        <f>Source!I109</f>
        <v>174</v>
      </c>
      <c r="J22">
        <v>1</v>
      </c>
      <c r="K22">
        <f>Source!AC109</f>
        <v>19.75</v>
      </c>
      <c r="M22">
        <f>ROUND(K22*I22,0)</f>
        <v>3437</v>
      </c>
      <c r="N22">
        <f>Source!AC109*IF(Source!BC109&lt;&gt;0,Source!BC109,1)</f>
        <v>19.75</v>
      </c>
      <c r="O22">
        <f>ROUND(N22*I22,0)</f>
        <v>3437</v>
      </c>
      <c r="P22">
        <f>Source!AE109</f>
        <v>0</v>
      </c>
      <c r="R22">
        <f>ROUND(P22*I22,0)</f>
        <v>0</v>
      </c>
      <c r="S22">
        <f>Source!AE109*IF(Source!BS109&lt;&gt;0,Source!BS109,1)</f>
        <v>0</v>
      </c>
      <c r="T22">
        <f>ROUND(S22*I22,0)</f>
        <v>0</v>
      </c>
      <c r="U22">
        <v>3</v>
      </c>
      <c r="Y22">
        <f>Source!GF109</f>
        <v>-583407189</v>
      </c>
      <c r="Z22">
        <v>-1031141170</v>
      </c>
      <c r="AA22">
        <v>1249394854</v>
      </c>
    </row>
    <row r="23" spans="1:27" ht="12.75">
      <c r="A23">
        <f>Source!A115</f>
        <v>18</v>
      </c>
      <c r="B23">
        <v>115</v>
      </c>
      <c r="C23">
        <v>3</v>
      </c>
      <c r="D23">
        <f>Source!BI115</f>
        <v>1</v>
      </c>
      <c r="E23">
        <f>Source!FS115</f>
        <v>0</v>
      </c>
      <c r="F23" t="str">
        <f>Source!F115</f>
        <v>01.7.06.01-0012</v>
      </c>
      <c r="G23" t="str">
        <f>Source!G115</f>
        <v>Лента герметизирующая самоклеящая Герлен-Д шириной: 100 мм толщиной 3 мм</v>
      </c>
      <c r="H23" t="str">
        <f>Source!H115</f>
        <v>кг</v>
      </c>
      <c r="I23">
        <f>Source!I115</f>
        <v>9.75</v>
      </c>
      <c r="J23">
        <v>1</v>
      </c>
      <c r="K23">
        <f>Source!AC115</f>
        <v>31.08</v>
      </c>
      <c r="M23">
        <f>ROUND(K23*I23,0)</f>
        <v>303</v>
      </c>
      <c r="N23">
        <f>Source!AC115*IF(Source!BC115&lt;&gt;0,Source!BC115,1)</f>
        <v>31.08</v>
      </c>
      <c r="O23">
        <f>ROUND(N23*I23,0)</f>
        <v>303</v>
      </c>
      <c r="P23">
        <f>Source!AE115</f>
        <v>0</v>
      </c>
      <c r="R23">
        <f>ROUND(P23*I23,0)</f>
        <v>0</v>
      </c>
      <c r="S23">
        <f>Source!AE115*IF(Source!BS115&lt;&gt;0,Source!BS115,1)</f>
        <v>0</v>
      </c>
      <c r="T23">
        <f>ROUND(S23*I23,0)</f>
        <v>0</v>
      </c>
      <c r="U23">
        <v>3</v>
      </c>
      <c r="Y23">
        <f>Source!GF115</f>
        <v>624972744</v>
      </c>
      <c r="Z23">
        <v>-1696374153</v>
      </c>
      <c r="AA23">
        <v>1396935677</v>
      </c>
    </row>
    <row r="24" spans="1:27" ht="12.75">
      <c r="A24">
        <f>Source!A121</f>
        <v>18</v>
      </c>
      <c r="B24">
        <v>121</v>
      </c>
      <c r="C24">
        <v>3</v>
      </c>
      <c r="D24">
        <f>Source!BI121</f>
        <v>1</v>
      </c>
      <c r="E24">
        <f>Source!FS121</f>
        <v>0</v>
      </c>
      <c r="F24" t="str">
        <f>Source!F121</f>
        <v>01.7.06.01-0012</v>
      </c>
      <c r="G24" t="str">
        <f>Source!G121</f>
        <v>Лента герметизирующая самоклеящая Герлен-Д шириной: 100 мм толщиной 3 мм</v>
      </c>
      <c r="H24" t="str">
        <f>Source!H121</f>
        <v>кг</v>
      </c>
      <c r="I24">
        <f>Source!I121</f>
        <v>13.649999999999999</v>
      </c>
      <c r="J24">
        <v>1</v>
      </c>
      <c r="K24">
        <f>Source!AC121</f>
        <v>31.08</v>
      </c>
      <c r="M24">
        <f>ROUND(K24*I24,0)</f>
        <v>424</v>
      </c>
      <c r="N24">
        <f>Source!AC121*IF(Source!BC121&lt;&gt;0,Source!BC121,1)</f>
        <v>31.08</v>
      </c>
      <c r="O24">
        <f>ROUND(N24*I24,0)</f>
        <v>424</v>
      </c>
      <c r="P24">
        <f>Source!AE121</f>
        <v>0</v>
      </c>
      <c r="R24">
        <f>ROUND(P24*I24,0)</f>
        <v>0</v>
      </c>
      <c r="S24">
        <f>Source!AE121*IF(Source!BS121&lt;&gt;0,Source!BS121,1)</f>
        <v>0</v>
      </c>
      <c r="T24">
        <f>ROUND(S24*I24,0)</f>
        <v>0</v>
      </c>
      <c r="U24">
        <v>3</v>
      </c>
      <c r="Y24">
        <f>Source!GF121</f>
        <v>624972744</v>
      </c>
      <c r="Z24">
        <v>-1696374153</v>
      </c>
      <c r="AA24">
        <v>1396935677</v>
      </c>
    </row>
    <row r="25" spans="1:7" ht="12.75">
      <c r="A25">
        <f>Source!A156</f>
        <v>4</v>
      </c>
      <c r="B25">
        <v>156</v>
      </c>
      <c r="G25" t="str">
        <f>Source!G156</f>
        <v>Разные работы</v>
      </c>
    </row>
    <row r="26" spans="1:27" ht="12.75">
      <c r="A26">
        <v>20</v>
      </c>
      <c r="B26">
        <v>136</v>
      </c>
      <c r="C26">
        <v>3</v>
      </c>
      <c r="D26">
        <v>0</v>
      </c>
      <c r="E26">
        <f>SmtRes!AV136</f>
        <v>0</v>
      </c>
      <c r="F26" t="str">
        <f>SmtRes!I136</f>
        <v>01.7.20.03-0003</v>
      </c>
      <c r="G26" t="str">
        <f>SmtRes!K136</f>
        <v>Мешки полипропиленовые (50 кг)</v>
      </c>
      <c r="H26" t="str">
        <f>SmtRes!O136</f>
        <v>100 ШТ</v>
      </c>
      <c r="I26">
        <f>SmtRes!Y136*Source!I160</f>
        <v>12.200000000000001</v>
      </c>
      <c r="J26">
        <f>SmtRes!AO136</f>
        <v>1</v>
      </c>
      <c r="K26">
        <f>SmtRes!AE136</f>
        <v>82</v>
      </c>
      <c r="L26">
        <f>SmtRes!DB136</f>
        <v>16.4</v>
      </c>
      <c r="M26">
        <f>ROUND(ROUND(L26*Source!I160,2)*1,0)</f>
        <v>1000</v>
      </c>
      <c r="N26">
        <f>SmtRes!AA136</f>
        <v>82</v>
      </c>
      <c r="O26">
        <f>ROUND(ROUND(L26*Source!I160,2)*SmtRes!DA136,0)</f>
        <v>1000</v>
      </c>
      <c r="P26">
        <f>SmtRes!AG136</f>
        <v>0</v>
      </c>
      <c r="Q26">
        <f>SmtRes!DC136</f>
        <v>0</v>
      </c>
      <c r="R26">
        <f>ROUND(ROUND(Q26*Source!I160,2)*1,0)</f>
        <v>0</v>
      </c>
      <c r="S26">
        <f>SmtRes!AC136</f>
        <v>0</v>
      </c>
      <c r="T26">
        <f>ROUND(ROUND(Q26*Source!I160,2)*SmtRes!AK136,0)</f>
        <v>0</v>
      </c>
      <c r="U26">
        <v>3</v>
      </c>
      <c r="Y26">
        <f>SmtRes!X136</f>
        <v>1143101474</v>
      </c>
      <c r="Z26">
        <v>989280347</v>
      </c>
      <c r="AA26">
        <v>1744223565</v>
      </c>
    </row>
    <row r="27" ht="12.75">
      <c r="A27">
        <v>999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7109375" style="0" customWidth="1"/>
    <col min="2" max="2" width="40.7109375" style="0" customWidth="1"/>
    <col min="3" max="8" width="12.7109375" style="0" customWidth="1"/>
    <col min="15" max="15" width="68.7109375" style="0" hidden="1" customWidth="1"/>
    <col min="16" max="18" width="0" style="0" hidden="1" customWidth="1"/>
  </cols>
  <sheetData>
    <row r="2" spans="1:8" ht="16.5">
      <c r="A2" s="168" t="s">
        <v>535</v>
      </c>
      <c r="B2" s="169"/>
      <c r="C2" s="169"/>
      <c r="D2" s="169"/>
      <c r="E2" s="169"/>
      <c r="F2" s="169"/>
      <c r="G2" s="169"/>
      <c r="H2" s="169"/>
    </row>
    <row r="3" spans="1:15" ht="33">
      <c r="A3" s="168" t="str">
        <f>CONCATENATE("Объект: ",IF(Source!G227&lt;&gt;"Новый объект",Source!G227,""))</f>
        <v>Объект: Выполнение работ по текущему ремонту кровли строения 2 (КОН)_3 млн</v>
      </c>
      <c r="B3" s="169"/>
      <c r="C3" s="169"/>
      <c r="D3" s="169"/>
      <c r="E3" s="169"/>
      <c r="F3" s="169"/>
      <c r="G3" s="169"/>
      <c r="H3" s="169"/>
      <c r="O3" s="94" t="s">
        <v>536</v>
      </c>
    </row>
    <row r="4" spans="1:8" ht="12.75">
      <c r="A4" s="174" t="s">
        <v>407</v>
      </c>
      <c r="B4" s="174" t="s">
        <v>537</v>
      </c>
      <c r="C4" s="174" t="s">
        <v>409</v>
      </c>
      <c r="D4" s="174" t="s">
        <v>538</v>
      </c>
      <c r="E4" s="177" t="s">
        <v>539</v>
      </c>
      <c r="F4" s="178"/>
      <c r="G4" s="177" t="s">
        <v>542</v>
      </c>
      <c r="H4" s="178"/>
    </row>
    <row r="5" spans="1:8" ht="12.75">
      <c r="A5" s="175"/>
      <c r="B5" s="175"/>
      <c r="C5" s="175"/>
      <c r="D5" s="175"/>
      <c r="E5" s="179"/>
      <c r="F5" s="180"/>
      <c r="G5" s="179"/>
      <c r="H5" s="180"/>
    </row>
    <row r="6" spans="1:8" ht="14.25">
      <c r="A6" s="176"/>
      <c r="B6" s="176"/>
      <c r="C6" s="176"/>
      <c r="D6" s="176"/>
      <c r="E6" s="81" t="s">
        <v>540</v>
      </c>
      <c r="F6" s="81" t="s">
        <v>541</v>
      </c>
      <c r="G6" s="81" t="s">
        <v>540</v>
      </c>
      <c r="H6" s="81" t="s">
        <v>541</v>
      </c>
    </row>
    <row r="7" spans="1:8" ht="14.25">
      <c r="A7" s="81">
        <v>1</v>
      </c>
      <c r="B7" s="81">
        <v>2</v>
      </c>
      <c r="C7" s="81">
        <v>3</v>
      </c>
      <c r="D7" s="81">
        <v>4</v>
      </c>
      <c r="E7" s="81">
        <v>5</v>
      </c>
      <c r="F7" s="81">
        <v>6</v>
      </c>
      <c r="G7" s="81">
        <v>7</v>
      </c>
      <c r="H7" s="81">
        <v>8</v>
      </c>
    </row>
    <row r="8" spans="1:8" ht="16.5">
      <c r="A8" s="168" t="str">
        <f>CONCATENATE("Объект: ",IF(Source!G227&lt;&gt;"Новый объект",Source!G227,""))</f>
        <v>Объект: Выполнение работ по текущему ремонту кровли строения 2 (КОН)_3 млн</v>
      </c>
      <c r="B8" s="169"/>
      <c r="C8" s="169"/>
      <c r="D8" s="169"/>
      <c r="E8" s="169"/>
      <c r="F8" s="169"/>
      <c r="G8" s="169"/>
      <c r="H8" s="169"/>
    </row>
    <row r="9" spans="1:8" ht="14.25">
      <c r="A9" s="170" t="s">
        <v>543</v>
      </c>
      <c r="B9" s="171"/>
      <c r="C9" s="171"/>
      <c r="D9" s="171"/>
      <c r="E9" s="171"/>
      <c r="F9" s="171"/>
      <c r="G9" s="171"/>
      <c r="H9" s="171"/>
    </row>
    <row r="10" spans="1:17" ht="28.5">
      <c r="A10" s="95" t="s">
        <v>147</v>
      </c>
      <c r="B10" s="87" t="s">
        <v>148</v>
      </c>
      <c r="C10" s="87" t="s">
        <v>125</v>
      </c>
      <c r="D10" s="88">
        <f>ROUND(SUMIF(RV_DATA!AA6:RV_DATA!AA26,1773281349,RV_DATA!I6:RV_DATA!I26),6)</f>
        <v>0.954</v>
      </c>
      <c r="E10" s="96">
        <f>ROUND(RV_DATA!K13,2)</f>
        <v>11885.47</v>
      </c>
      <c r="F10" s="96">
        <f>ROUND(SUMIF(RV_DATA!AA6:RV_DATA!AA26,1773281349,RV_DATA!M6:RV_DATA!M26),6)</f>
        <v>11339</v>
      </c>
      <c r="G10" s="96">
        <f>ROUND(RV_DATA!N13,2)</f>
        <v>11885.47</v>
      </c>
      <c r="H10" s="96">
        <f>ROUND(SUMIF(RV_DATA!AA6:RV_DATA!AA26,1773281349,RV_DATA!O6:RV_DATA!O26),6)</f>
        <v>11339</v>
      </c>
      <c r="Q10">
        <v>3</v>
      </c>
    </row>
    <row r="11" spans="1:17" ht="14.25">
      <c r="A11" s="95" t="s">
        <v>355</v>
      </c>
      <c r="B11" s="87" t="s">
        <v>357</v>
      </c>
      <c r="C11" s="87" t="s">
        <v>205</v>
      </c>
      <c r="D11" s="88">
        <f>ROUND(SUMIF(RV_DATA!AA6:RV_DATA!AA26,-479857971,RV_DATA!I6:RV_DATA!I26),6)</f>
        <v>688.2534</v>
      </c>
      <c r="E11" s="96">
        <f>ROUND(RV_DATA!K14,2)</f>
        <v>6.09</v>
      </c>
      <c r="F11" s="96">
        <f>ROUND(SUMIF(RV_DATA!AA6:RV_DATA!AA26,-479857971,RV_DATA!M6:RV_DATA!M26),6)</f>
        <v>4191</v>
      </c>
      <c r="G11" s="96">
        <f>ROUND(RV_DATA!N14,2)</f>
        <v>6.09</v>
      </c>
      <c r="H11" s="96">
        <f>ROUND(SUMIF(RV_DATA!AA6:RV_DATA!AA26,-479857971,RV_DATA!O6:RV_DATA!O26),6)</f>
        <v>4191</v>
      </c>
      <c r="Q11">
        <v>3</v>
      </c>
    </row>
    <row r="12" spans="1:17" ht="14.25">
      <c r="A12" s="95" t="s">
        <v>52</v>
      </c>
      <c r="B12" s="87" t="s">
        <v>53</v>
      </c>
      <c r="C12" s="87" t="s">
        <v>54</v>
      </c>
      <c r="D12" s="88">
        <f>ROUND(SUMIF(RV_DATA!AA6:RV_DATA!AA26,951995842,RV_DATA!I6:RV_DATA!I26),6)</f>
        <v>42.735</v>
      </c>
      <c r="E12" s="96">
        <f>ROUND(RV_DATA!K10,2)</f>
        <v>2.44</v>
      </c>
      <c r="F12" s="96">
        <f>ROUND(SUMIF(RV_DATA!AA6:RV_DATA!AA26,951995842,RV_DATA!M6:RV_DATA!M26),6)</f>
        <v>104</v>
      </c>
      <c r="G12" s="96">
        <f>ROUND(RV_DATA!N10,2)</f>
        <v>2.44</v>
      </c>
      <c r="H12" s="96">
        <f>ROUND(SUMIF(RV_DATA!AA6:RV_DATA!AA26,951995842,RV_DATA!O6:RV_DATA!O26),6)</f>
        <v>104</v>
      </c>
      <c r="Q12">
        <v>3</v>
      </c>
    </row>
    <row r="13" spans="1:17" ht="42.75">
      <c r="A13" s="95" t="s">
        <v>203</v>
      </c>
      <c r="B13" s="87" t="s">
        <v>204</v>
      </c>
      <c r="C13" s="87" t="s">
        <v>205</v>
      </c>
      <c r="D13" s="88">
        <f>ROUND(SUMIF(RV_DATA!AA6:RV_DATA!AA26,1396935677,RV_DATA!I6:RV_DATA!I26),6)</f>
        <v>23.4</v>
      </c>
      <c r="E13" s="96">
        <f>ROUND(RV_DATA!K23,2)</f>
        <v>31.08</v>
      </c>
      <c r="F13" s="96">
        <f>ROUND(SUMIF(RV_DATA!AA6:RV_DATA!AA26,1396935677,RV_DATA!M6:RV_DATA!M26),6)</f>
        <v>727</v>
      </c>
      <c r="G13" s="96">
        <f>ROUND(RV_DATA!N23,2)</f>
        <v>31.08</v>
      </c>
      <c r="H13" s="96">
        <f>ROUND(SUMIF(RV_DATA!AA6:RV_DATA!AA26,1396935677,RV_DATA!O6:RV_DATA!O26),6)</f>
        <v>727</v>
      </c>
      <c r="Q13">
        <v>3</v>
      </c>
    </row>
    <row r="14" spans="1:17" ht="14.25">
      <c r="A14" s="95" t="s">
        <v>369</v>
      </c>
      <c r="B14" s="87" t="s">
        <v>371</v>
      </c>
      <c r="C14" s="87" t="s">
        <v>372</v>
      </c>
      <c r="D14" s="88">
        <f>ROUND(SUMIF(RV_DATA!AA6:RV_DATA!AA26,1744223565,RV_DATA!I6:RV_DATA!I26),6)</f>
        <v>12.2</v>
      </c>
      <c r="E14" s="96">
        <f>ROUND(RV_DATA!K26,2)</f>
        <v>82</v>
      </c>
      <c r="F14" s="96">
        <f>ROUND(SUMIF(RV_DATA!AA6:RV_DATA!AA26,1744223565,RV_DATA!M6:RV_DATA!M26),6)</f>
        <v>1000</v>
      </c>
      <c r="G14" s="96">
        <f>ROUND(RV_DATA!N26,2)</f>
        <v>82</v>
      </c>
      <c r="H14" s="96">
        <f>ROUND(SUMIF(RV_DATA!AA6:RV_DATA!AA26,1744223565,RV_DATA!O6:RV_DATA!O26),6)</f>
        <v>1000</v>
      </c>
      <c r="Q14">
        <v>3</v>
      </c>
    </row>
    <row r="15" spans="1:17" ht="28.5">
      <c r="A15" s="95" t="s">
        <v>123</v>
      </c>
      <c r="B15" s="87" t="s">
        <v>124</v>
      </c>
      <c r="C15" s="87" t="s">
        <v>125</v>
      </c>
      <c r="D15" s="88">
        <f>ROUND(SUMIF(RV_DATA!AA6:RV_DATA!AA26,-886681749,RV_DATA!I6:RV_DATA!I26),6)</f>
        <v>35.028412</v>
      </c>
      <c r="E15" s="96">
        <f>ROUND(RV_DATA!K11,2)</f>
        <v>1243.05</v>
      </c>
      <c r="F15" s="96">
        <f>ROUND(SUMIF(RV_DATA!AA6:RV_DATA!AA26,-886681749,RV_DATA!M6:RV_DATA!M26),6)</f>
        <v>43542</v>
      </c>
      <c r="G15" s="96">
        <f>ROUND(RV_DATA!N11,2)</f>
        <v>1243.05</v>
      </c>
      <c r="H15" s="96">
        <f>ROUND(SUMIF(RV_DATA!AA6:RV_DATA!AA26,-886681749,RV_DATA!O6:RV_DATA!O26),6)</f>
        <v>43542</v>
      </c>
      <c r="Q15">
        <v>3</v>
      </c>
    </row>
    <row r="16" spans="1:17" ht="14.25">
      <c r="A16" s="95" t="s">
        <v>340</v>
      </c>
      <c r="B16" s="87" t="s">
        <v>342</v>
      </c>
      <c r="C16" s="87" t="s">
        <v>173</v>
      </c>
      <c r="D16" s="88">
        <f>ROUND(SUMIF(RV_DATA!AA6:RV_DATA!AA26,-276307216,RV_DATA!I6:RV_DATA!I26),6)</f>
        <v>48.84</v>
      </c>
      <c r="E16" s="96">
        <f>ROUND(RV_DATA!K9,2)</f>
        <v>6.2</v>
      </c>
      <c r="F16" s="96">
        <f>ROUND(SUMIF(RV_DATA!AA6:RV_DATA!AA26,-276307216,RV_DATA!M6:RV_DATA!M26),6)</f>
        <v>303</v>
      </c>
      <c r="G16" s="96">
        <f>ROUND(RV_DATA!N9,2)</f>
        <v>6.2</v>
      </c>
      <c r="H16" s="96">
        <f>ROUND(SUMIF(RV_DATA!AA6:RV_DATA!AA26,-276307216,RV_DATA!O6:RV_DATA!O26),6)</f>
        <v>303</v>
      </c>
      <c r="Q16">
        <v>3</v>
      </c>
    </row>
    <row r="17" spans="1:17" ht="14.25">
      <c r="A17" s="95" t="s">
        <v>171</v>
      </c>
      <c r="B17" s="87" t="s">
        <v>172</v>
      </c>
      <c r="C17" s="87" t="s">
        <v>173</v>
      </c>
      <c r="D17" s="88">
        <f>ROUND(SUMIF(RV_DATA!AA6:RV_DATA!AA26,768931257,RV_DATA!I6:RV_DATA!I26),6)</f>
        <v>2606.04</v>
      </c>
      <c r="E17" s="96">
        <f>ROUND(RV_DATA!K15,2)</f>
        <v>27.73</v>
      </c>
      <c r="F17" s="96">
        <f>ROUND(SUMIF(RV_DATA!AA6:RV_DATA!AA26,768931257,RV_DATA!M6:RV_DATA!M26),6)</f>
        <v>72266</v>
      </c>
      <c r="G17" s="96">
        <f>ROUND(RV_DATA!N15,2)</f>
        <v>27.73</v>
      </c>
      <c r="H17" s="96">
        <f>ROUND(SUMIF(RV_DATA!AA6:RV_DATA!AA26,768931257,RV_DATA!O6:RV_DATA!O26),6)</f>
        <v>72266</v>
      </c>
      <c r="Q17">
        <v>3</v>
      </c>
    </row>
    <row r="18" spans="1:17" ht="14.25">
      <c r="A18" s="95" t="s">
        <v>176</v>
      </c>
      <c r="B18" s="87" t="s">
        <v>177</v>
      </c>
      <c r="C18" s="87" t="s">
        <v>173</v>
      </c>
      <c r="D18" s="88">
        <f>ROUND(SUMIF(RV_DATA!AA6:RV_DATA!AA26,1249394854,RV_DATA!I6:RV_DATA!I26),6)</f>
        <v>2651.76</v>
      </c>
      <c r="E18" s="96">
        <f>ROUND(RV_DATA!K16,2)</f>
        <v>19.75</v>
      </c>
      <c r="F18" s="96">
        <f>ROUND(SUMIF(RV_DATA!AA6:RV_DATA!AA26,1249394854,RV_DATA!M6:RV_DATA!M26),6)</f>
        <v>52373</v>
      </c>
      <c r="G18" s="96">
        <f>ROUND(RV_DATA!N16,2)</f>
        <v>19.75</v>
      </c>
      <c r="H18" s="96">
        <f>ROUND(SUMIF(RV_DATA!AA6:RV_DATA!AA26,1249394854,RV_DATA!O6:RV_DATA!O26),6)</f>
        <v>52373</v>
      </c>
      <c r="Q18">
        <v>3</v>
      </c>
    </row>
    <row r="19" spans="1:8" ht="15">
      <c r="A19" s="172" t="s">
        <v>544</v>
      </c>
      <c r="B19" s="172"/>
      <c r="C19" s="172"/>
      <c r="D19" s="172"/>
      <c r="E19" s="173">
        <f>SUMIF(Q10:Q18,3,F10:F18)</f>
        <v>185845</v>
      </c>
      <c r="F19" s="173"/>
      <c r="G19" s="173">
        <f>SUMIF(Q10:Q18,3,H10:H18)</f>
        <v>185845</v>
      </c>
      <c r="H19" s="172"/>
    </row>
  </sheetData>
  <sheetProtection/>
  <mergeCells count="13">
    <mergeCell ref="A2:H2"/>
    <mergeCell ref="A3:H3"/>
    <mergeCell ref="A4:A6"/>
    <mergeCell ref="B4:B6"/>
    <mergeCell ref="C4:C6"/>
    <mergeCell ref="D4:D6"/>
    <mergeCell ref="E4:F5"/>
    <mergeCell ref="G4:H5"/>
    <mergeCell ref="A8:H8"/>
    <mergeCell ref="A9:H9"/>
    <mergeCell ref="A19:D19"/>
    <mergeCell ref="E19:F19"/>
    <mergeCell ref="G19:H19"/>
  </mergeCells>
  <printOptions/>
  <pageMargins left="0.6" right="0.4" top="0.65" bottom="0.4" header="0.4" footer="0.4"/>
  <pageSetup fitToHeight="0" fitToWidth="1" horizontalDpi="600" verticalDpi="600" orientation="portrait" paperSize="9" scale="69" r:id="rId1"/>
  <headerFooter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U291"/>
  <sheetViews>
    <sheetView zoomScalePageLayoutView="0" workbookViewId="0" topLeftCell="A1">
      <selection activeCell="A287" sqref="A287:AN287"/>
    </sheetView>
  </sheetViews>
  <sheetFormatPr defaultColWidth="9.140625" defaultRowHeight="12.75"/>
  <sheetData>
    <row r="1" spans="1:17" ht="12.75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K1">
        <v>1</v>
      </c>
      <c r="L1">
        <v>58091</v>
      </c>
      <c r="M1">
        <v>10</v>
      </c>
      <c r="N1">
        <v>11</v>
      </c>
      <c r="O1">
        <v>5</v>
      </c>
      <c r="P1">
        <v>0</v>
      </c>
      <c r="Q1">
        <v>1</v>
      </c>
    </row>
    <row r="12" spans="1:133" ht="12.75">
      <c r="A12" s="1">
        <v>1</v>
      </c>
      <c r="B12" s="1">
        <v>285</v>
      </c>
      <c r="C12" s="1">
        <v>0</v>
      </c>
      <c r="D12" s="1">
        <f>ROW(A227)</f>
        <v>227</v>
      </c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>
        <v>0</v>
      </c>
      <c r="M12" s="1">
        <v>11</v>
      </c>
      <c r="N12" s="1"/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4</v>
      </c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5</v>
      </c>
      <c r="AC12" s="1" t="s">
        <v>6</v>
      </c>
      <c r="AD12" s="1" t="s">
        <v>7</v>
      </c>
      <c r="AE12" s="1" t="s">
        <v>8</v>
      </c>
      <c r="AF12" s="1" t="s">
        <v>3</v>
      </c>
      <c r="AG12" s="1" t="s">
        <v>3</v>
      </c>
      <c r="AH12" s="1" t="s">
        <v>9</v>
      </c>
      <c r="AI12" s="1" t="s">
        <v>10</v>
      </c>
      <c r="AJ12" s="1" t="s">
        <v>11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>
        <v>0</v>
      </c>
      <c r="BC12" s="1"/>
      <c r="BD12" s="1"/>
      <c r="BE12" s="1"/>
      <c r="BF12" s="1"/>
      <c r="BG12" s="1"/>
      <c r="BH12" s="1" t="s">
        <v>12</v>
      </c>
      <c r="BI12" s="1" t="s">
        <v>13</v>
      </c>
      <c r="BJ12" s="1">
        <v>1</v>
      </c>
      <c r="BK12" s="1">
        <v>1</v>
      </c>
      <c r="BL12" s="1">
        <v>0</v>
      </c>
      <c r="BM12" s="1">
        <v>0</v>
      </c>
      <c r="BN12" s="1">
        <v>1</v>
      </c>
      <c r="BO12" s="1">
        <v>0</v>
      </c>
      <c r="BP12" s="1">
        <v>2</v>
      </c>
      <c r="BQ12" s="1">
        <v>0</v>
      </c>
      <c r="BR12" s="1">
        <v>1</v>
      </c>
      <c r="BS12" s="1">
        <v>1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 t="s">
        <v>14</v>
      </c>
      <c r="BZ12" s="1" t="s">
        <v>15</v>
      </c>
      <c r="CA12" s="1" t="s">
        <v>16</v>
      </c>
      <c r="CB12" s="1" t="s">
        <v>16</v>
      </c>
      <c r="CC12" s="1" t="s">
        <v>16</v>
      </c>
      <c r="CD12" s="1" t="s">
        <v>16</v>
      </c>
      <c r="CE12" s="1" t="s">
        <v>17</v>
      </c>
      <c r="CF12" s="1">
        <v>0</v>
      </c>
      <c r="CG12" s="1">
        <v>0</v>
      </c>
      <c r="CH12" s="1">
        <v>403177480</v>
      </c>
      <c r="CI12" s="1" t="s">
        <v>3</v>
      </c>
      <c r="CJ12" s="1" t="s">
        <v>3</v>
      </c>
      <c r="CK12" s="1">
        <v>9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ht="12.75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06" ht="12.75">
      <c r="A18" s="3">
        <v>52</v>
      </c>
      <c r="B18" s="3">
        <f aca="true" t="shared" si="0" ref="B18:G18">B227</f>
        <v>285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>
        <f t="shared" si="0"/>
      </c>
      <c r="G18" s="3" t="str">
        <f t="shared" si="0"/>
        <v>Выполнение работ по текущему ремонту кровли строения 2 (КОН)_3 млн</v>
      </c>
      <c r="H18" s="3"/>
      <c r="I18" s="3"/>
      <c r="J18" s="3"/>
      <c r="K18" s="3"/>
      <c r="L18" s="3"/>
      <c r="M18" s="3"/>
      <c r="N18" s="3"/>
      <c r="O18" s="3">
        <f aca="true" t="shared" si="1" ref="O18:AT18">O227</f>
        <v>205770</v>
      </c>
      <c r="P18" s="3">
        <f t="shared" si="1"/>
        <v>185844</v>
      </c>
      <c r="Q18" s="3">
        <f t="shared" si="1"/>
        <v>5556</v>
      </c>
      <c r="R18" s="3">
        <f t="shared" si="1"/>
        <v>606</v>
      </c>
      <c r="S18" s="3">
        <f t="shared" si="1"/>
        <v>14370</v>
      </c>
      <c r="T18" s="3">
        <f t="shared" si="1"/>
        <v>0</v>
      </c>
      <c r="U18" s="3">
        <f t="shared" si="1"/>
        <v>1694.79254</v>
      </c>
      <c r="V18" s="3">
        <f t="shared" si="1"/>
        <v>50.097474999999996</v>
      </c>
      <c r="W18" s="3">
        <f t="shared" si="1"/>
        <v>0</v>
      </c>
      <c r="X18" s="3">
        <f t="shared" si="1"/>
        <v>16101</v>
      </c>
      <c r="Y18" s="3">
        <f t="shared" si="1"/>
        <v>8717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234654</v>
      </c>
      <c r="AS18" s="3">
        <f t="shared" si="1"/>
        <v>234654</v>
      </c>
      <c r="AT18" s="3">
        <f t="shared" si="1"/>
        <v>0</v>
      </c>
      <c r="AU18" s="3">
        <f aca="true" t="shared" si="2" ref="AU18:BZ18">AU227</f>
        <v>0</v>
      </c>
      <c r="AV18" s="3">
        <f t="shared" si="2"/>
        <v>185844</v>
      </c>
      <c r="AW18" s="3">
        <f t="shared" si="2"/>
        <v>185844</v>
      </c>
      <c r="AX18" s="3">
        <f t="shared" si="2"/>
        <v>0</v>
      </c>
      <c r="AY18" s="3">
        <f t="shared" si="2"/>
        <v>185844</v>
      </c>
      <c r="AZ18" s="3">
        <f t="shared" si="2"/>
        <v>0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4066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aca="true" t="shared" si="3" ref="CA18:DF18">CA227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4">
        <f aca="true" t="shared" si="4" ref="DG18:EL18">DG227</f>
        <v>1554404</v>
      </c>
      <c r="DH18" s="4">
        <f t="shared" si="4"/>
        <v>989058</v>
      </c>
      <c r="DI18" s="4">
        <f t="shared" si="4"/>
        <v>47592</v>
      </c>
      <c r="DJ18" s="4">
        <f t="shared" si="4"/>
        <v>21870</v>
      </c>
      <c r="DK18" s="4">
        <f t="shared" si="4"/>
        <v>517754</v>
      </c>
      <c r="DL18" s="4">
        <f t="shared" si="4"/>
        <v>0</v>
      </c>
      <c r="DM18" s="4">
        <f t="shared" si="4"/>
        <v>1694.79254</v>
      </c>
      <c r="DN18" s="4">
        <f t="shared" si="4"/>
        <v>50.097474999999996</v>
      </c>
      <c r="DO18" s="4">
        <f t="shared" si="4"/>
        <v>0</v>
      </c>
      <c r="DP18" s="4">
        <f t="shared" si="4"/>
        <v>580263</v>
      </c>
      <c r="DQ18" s="4">
        <f t="shared" si="4"/>
        <v>314115</v>
      </c>
      <c r="DR18" s="4">
        <f t="shared" si="4"/>
        <v>0</v>
      </c>
      <c r="DS18" s="4">
        <f t="shared" si="4"/>
        <v>0</v>
      </c>
      <c r="DT18" s="4">
        <f t="shared" si="4"/>
        <v>0</v>
      </c>
      <c r="DU18" s="4">
        <f t="shared" si="4"/>
        <v>0</v>
      </c>
      <c r="DV18" s="4">
        <f t="shared" si="4"/>
        <v>0</v>
      </c>
      <c r="DW18" s="4">
        <f t="shared" si="4"/>
        <v>0</v>
      </c>
      <c r="DX18" s="4">
        <f t="shared" si="4"/>
        <v>0</v>
      </c>
      <c r="DY18" s="4">
        <f t="shared" si="4"/>
        <v>0</v>
      </c>
      <c r="DZ18" s="4">
        <f t="shared" si="4"/>
        <v>0</v>
      </c>
      <c r="EA18" s="4">
        <f t="shared" si="4"/>
        <v>0</v>
      </c>
      <c r="EB18" s="4">
        <f t="shared" si="4"/>
        <v>0</v>
      </c>
      <c r="EC18" s="4">
        <f t="shared" si="4"/>
        <v>0</v>
      </c>
      <c r="ED18" s="4">
        <f t="shared" si="4"/>
        <v>0</v>
      </c>
      <c r="EE18" s="4">
        <f t="shared" si="4"/>
        <v>0</v>
      </c>
      <c r="EF18" s="4">
        <f t="shared" si="4"/>
        <v>0</v>
      </c>
      <c r="EG18" s="4">
        <f t="shared" si="4"/>
        <v>0</v>
      </c>
      <c r="EH18" s="4">
        <f t="shared" si="4"/>
        <v>0</v>
      </c>
      <c r="EI18" s="4">
        <f t="shared" si="4"/>
        <v>0</v>
      </c>
      <c r="EJ18" s="4">
        <f t="shared" si="4"/>
        <v>2496116</v>
      </c>
      <c r="EK18" s="4">
        <f t="shared" si="4"/>
        <v>2496116</v>
      </c>
      <c r="EL18" s="4">
        <f t="shared" si="4"/>
        <v>0</v>
      </c>
      <c r="EM18" s="4">
        <f aca="true" t="shared" si="5" ref="EM18:FR18">EM227</f>
        <v>0</v>
      </c>
      <c r="EN18" s="4">
        <f t="shared" si="5"/>
        <v>989058</v>
      </c>
      <c r="EO18" s="4">
        <f t="shared" si="5"/>
        <v>989058</v>
      </c>
      <c r="EP18" s="4">
        <f t="shared" si="5"/>
        <v>0</v>
      </c>
      <c r="EQ18" s="4">
        <f t="shared" si="5"/>
        <v>989058</v>
      </c>
      <c r="ER18" s="4">
        <f t="shared" si="5"/>
        <v>0</v>
      </c>
      <c r="ES18" s="4">
        <f t="shared" si="5"/>
        <v>0</v>
      </c>
      <c r="ET18" s="4">
        <f t="shared" si="5"/>
        <v>0</v>
      </c>
      <c r="EU18" s="4">
        <f t="shared" si="5"/>
        <v>0</v>
      </c>
      <c r="EV18" s="4">
        <f t="shared" si="5"/>
        <v>47334</v>
      </c>
      <c r="EW18" s="4">
        <f t="shared" si="5"/>
        <v>0</v>
      </c>
      <c r="EX18" s="4">
        <f t="shared" si="5"/>
        <v>0</v>
      </c>
      <c r="EY18" s="4">
        <f t="shared" si="5"/>
        <v>0</v>
      </c>
      <c r="EZ18" s="4">
        <f t="shared" si="5"/>
        <v>0</v>
      </c>
      <c r="FA18" s="4">
        <f t="shared" si="5"/>
        <v>0</v>
      </c>
      <c r="FB18" s="4">
        <f t="shared" si="5"/>
        <v>0</v>
      </c>
      <c r="FC18" s="4">
        <f t="shared" si="5"/>
        <v>0</v>
      </c>
      <c r="FD18" s="4">
        <f t="shared" si="5"/>
        <v>0</v>
      </c>
      <c r="FE18" s="4">
        <f t="shared" si="5"/>
        <v>0</v>
      </c>
      <c r="FF18" s="4">
        <f t="shared" si="5"/>
        <v>0</v>
      </c>
      <c r="FG18" s="4">
        <f t="shared" si="5"/>
        <v>0</v>
      </c>
      <c r="FH18" s="4">
        <f t="shared" si="5"/>
        <v>0</v>
      </c>
      <c r="FI18" s="4">
        <f t="shared" si="5"/>
        <v>0</v>
      </c>
      <c r="FJ18" s="4">
        <f t="shared" si="5"/>
        <v>0</v>
      </c>
      <c r="FK18" s="4">
        <f t="shared" si="5"/>
        <v>0</v>
      </c>
      <c r="FL18" s="4">
        <f t="shared" si="5"/>
        <v>0</v>
      </c>
      <c r="FM18" s="4">
        <f t="shared" si="5"/>
        <v>0</v>
      </c>
      <c r="FN18" s="4">
        <f t="shared" si="5"/>
        <v>0</v>
      </c>
      <c r="FO18" s="4">
        <f t="shared" si="5"/>
        <v>0</v>
      </c>
      <c r="FP18" s="4">
        <f t="shared" si="5"/>
        <v>0</v>
      </c>
      <c r="FQ18" s="4">
        <f t="shared" si="5"/>
        <v>0</v>
      </c>
      <c r="FR18" s="4">
        <f t="shared" si="5"/>
        <v>0</v>
      </c>
      <c r="FS18" s="4">
        <f aca="true" t="shared" si="6" ref="FS18:GX18">FS227</f>
        <v>0</v>
      </c>
      <c r="FT18" s="4">
        <f t="shared" si="6"/>
        <v>0</v>
      </c>
      <c r="FU18" s="4">
        <f t="shared" si="6"/>
        <v>0</v>
      </c>
      <c r="FV18" s="4">
        <f t="shared" si="6"/>
        <v>0</v>
      </c>
      <c r="FW18" s="4">
        <f t="shared" si="6"/>
        <v>0</v>
      </c>
      <c r="FX18" s="4">
        <f t="shared" si="6"/>
        <v>0</v>
      </c>
      <c r="FY18" s="4">
        <f t="shared" si="6"/>
        <v>0</v>
      </c>
      <c r="FZ18" s="4">
        <f t="shared" si="6"/>
        <v>0</v>
      </c>
      <c r="GA18" s="4">
        <f t="shared" si="6"/>
        <v>0</v>
      </c>
      <c r="GB18" s="4">
        <f t="shared" si="6"/>
        <v>0</v>
      </c>
      <c r="GC18" s="4">
        <f t="shared" si="6"/>
        <v>0</v>
      </c>
      <c r="GD18" s="4">
        <f t="shared" si="6"/>
        <v>0</v>
      </c>
      <c r="GE18" s="4">
        <f t="shared" si="6"/>
        <v>0</v>
      </c>
      <c r="GF18" s="4">
        <f t="shared" si="6"/>
        <v>0</v>
      </c>
      <c r="GG18" s="4">
        <f t="shared" si="6"/>
        <v>0</v>
      </c>
      <c r="GH18" s="4">
        <f t="shared" si="6"/>
        <v>0</v>
      </c>
      <c r="GI18" s="4">
        <f t="shared" si="6"/>
        <v>0</v>
      </c>
      <c r="GJ18" s="4">
        <f t="shared" si="6"/>
        <v>0</v>
      </c>
      <c r="GK18" s="4">
        <f t="shared" si="6"/>
        <v>0</v>
      </c>
      <c r="GL18" s="4">
        <f t="shared" si="6"/>
        <v>0</v>
      </c>
      <c r="GM18" s="4">
        <f t="shared" si="6"/>
        <v>0</v>
      </c>
      <c r="GN18" s="4">
        <f t="shared" si="6"/>
        <v>0</v>
      </c>
      <c r="GO18" s="4">
        <f t="shared" si="6"/>
        <v>0</v>
      </c>
      <c r="GP18" s="4">
        <f t="shared" si="6"/>
        <v>0</v>
      </c>
      <c r="GQ18" s="4">
        <f t="shared" si="6"/>
        <v>0</v>
      </c>
      <c r="GR18" s="4">
        <f t="shared" si="6"/>
        <v>0</v>
      </c>
      <c r="GS18" s="4">
        <f t="shared" si="6"/>
        <v>0</v>
      </c>
      <c r="GT18" s="4">
        <f t="shared" si="6"/>
        <v>0</v>
      </c>
      <c r="GU18" s="4">
        <f t="shared" si="6"/>
        <v>0</v>
      </c>
      <c r="GV18" s="4">
        <f t="shared" si="6"/>
        <v>0</v>
      </c>
      <c r="GW18" s="4">
        <f t="shared" si="6"/>
        <v>0</v>
      </c>
      <c r="GX18" s="4">
        <f t="shared" si="6"/>
        <v>0</v>
      </c>
    </row>
    <row r="20" spans="1:95" ht="12.75">
      <c r="A20" s="1">
        <v>3</v>
      </c>
      <c r="B20" s="1">
        <v>1</v>
      </c>
      <c r="C20" s="1"/>
      <c r="D20" s="1">
        <f>ROW(A197)</f>
        <v>197</v>
      </c>
      <c r="E20" s="1"/>
      <c r="F20" s="1" t="s">
        <v>18</v>
      </c>
      <c r="G20" s="1" t="s">
        <v>18</v>
      </c>
      <c r="H20" s="1" t="s">
        <v>3</v>
      </c>
      <c r="I20" s="1">
        <v>0</v>
      </c>
      <c r="J20" s="1" t="s">
        <v>3</v>
      </c>
      <c r="K20" s="1">
        <v>0</v>
      </c>
      <c r="L20" s="1" t="s">
        <v>3</v>
      </c>
      <c r="M20" s="1" t="s">
        <v>3</v>
      </c>
      <c r="N20" s="1"/>
      <c r="O20" s="1"/>
      <c r="P20" s="1"/>
      <c r="Q20" s="1"/>
      <c r="R20" s="1"/>
      <c r="S20" s="1">
        <v>0</v>
      </c>
      <c r="T20" s="1">
        <v>0</v>
      </c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</row>
    <row r="22" spans="1:206" ht="12.75">
      <c r="A22" s="3">
        <v>52</v>
      </c>
      <c r="B22" s="3">
        <f aca="true" t="shared" si="7" ref="B22:G22">B197</f>
        <v>1</v>
      </c>
      <c r="C22" s="3">
        <f t="shared" si="7"/>
        <v>3</v>
      </c>
      <c r="D22" s="3">
        <f t="shared" si="7"/>
        <v>20</v>
      </c>
      <c r="E22" s="3">
        <f t="shared" si="7"/>
        <v>0</v>
      </c>
      <c r="F22" s="3" t="str">
        <f t="shared" si="7"/>
        <v>Новая локальная смета</v>
      </c>
      <c r="G22" s="3" t="str">
        <f t="shared" si="7"/>
        <v>Новая локальная смета</v>
      </c>
      <c r="H22" s="3"/>
      <c r="I22" s="3"/>
      <c r="J22" s="3"/>
      <c r="K22" s="3"/>
      <c r="L22" s="3"/>
      <c r="M22" s="3"/>
      <c r="N22" s="3"/>
      <c r="O22" s="3">
        <f aca="true" t="shared" si="8" ref="O22:AT22">O197</f>
        <v>205770</v>
      </c>
      <c r="P22" s="3">
        <f t="shared" si="8"/>
        <v>185844</v>
      </c>
      <c r="Q22" s="3">
        <f t="shared" si="8"/>
        <v>5556</v>
      </c>
      <c r="R22" s="3">
        <f t="shared" si="8"/>
        <v>606</v>
      </c>
      <c r="S22" s="3">
        <f t="shared" si="8"/>
        <v>14370</v>
      </c>
      <c r="T22" s="3">
        <f t="shared" si="8"/>
        <v>0</v>
      </c>
      <c r="U22" s="3">
        <f t="shared" si="8"/>
        <v>1694.79254</v>
      </c>
      <c r="V22" s="3">
        <f t="shared" si="8"/>
        <v>50.097474999999996</v>
      </c>
      <c r="W22" s="3">
        <f t="shared" si="8"/>
        <v>0</v>
      </c>
      <c r="X22" s="3">
        <f t="shared" si="8"/>
        <v>16101</v>
      </c>
      <c r="Y22" s="3">
        <f t="shared" si="8"/>
        <v>8717</v>
      </c>
      <c r="Z22" s="3">
        <f t="shared" si="8"/>
        <v>0</v>
      </c>
      <c r="AA22" s="3">
        <f t="shared" si="8"/>
        <v>0</v>
      </c>
      <c r="AB22" s="3">
        <f t="shared" si="8"/>
        <v>0</v>
      </c>
      <c r="AC22" s="3">
        <f t="shared" si="8"/>
        <v>0</v>
      </c>
      <c r="AD22" s="3">
        <f t="shared" si="8"/>
        <v>0</v>
      </c>
      <c r="AE22" s="3">
        <f t="shared" si="8"/>
        <v>0</v>
      </c>
      <c r="AF22" s="3">
        <f t="shared" si="8"/>
        <v>0</v>
      </c>
      <c r="AG22" s="3">
        <f t="shared" si="8"/>
        <v>0</v>
      </c>
      <c r="AH22" s="3">
        <f t="shared" si="8"/>
        <v>0</v>
      </c>
      <c r="AI22" s="3">
        <f t="shared" si="8"/>
        <v>0</v>
      </c>
      <c r="AJ22" s="3">
        <f t="shared" si="8"/>
        <v>0</v>
      </c>
      <c r="AK22" s="3">
        <f t="shared" si="8"/>
        <v>0</v>
      </c>
      <c r="AL22" s="3">
        <f t="shared" si="8"/>
        <v>0</v>
      </c>
      <c r="AM22" s="3">
        <f t="shared" si="8"/>
        <v>0</v>
      </c>
      <c r="AN22" s="3">
        <f t="shared" si="8"/>
        <v>0</v>
      </c>
      <c r="AO22" s="3">
        <f t="shared" si="8"/>
        <v>0</v>
      </c>
      <c r="AP22" s="3">
        <f t="shared" si="8"/>
        <v>0</v>
      </c>
      <c r="AQ22" s="3">
        <f t="shared" si="8"/>
        <v>0</v>
      </c>
      <c r="AR22" s="3">
        <f t="shared" si="8"/>
        <v>234654</v>
      </c>
      <c r="AS22" s="3">
        <f t="shared" si="8"/>
        <v>234654</v>
      </c>
      <c r="AT22" s="3">
        <f t="shared" si="8"/>
        <v>0</v>
      </c>
      <c r="AU22" s="3">
        <f aca="true" t="shared" si="9" ref="AU22:BZ22">AU197</f>
        <v>0</v>
      </c>
      <c r="AV22" s="3">
        <f t="shared" si="9"/>
        <v>185844</v>
      </c>
      <c r="AW22" s="3">
        <f t="shared" si="9"/>
        <v>185844</v>
      </c>
      <c r="AX22" s="3">
        <f t="shared" si="9"/>
        <v>0</v>
      </c>
      <c r="AY22" s="3">
        <f t="shared" si="9"/>
        <v>185844</v>
      </c>
      <c r="AZ22" s="3">
        <f t="shared" si="9"/>
        <v>0</v>
      </c>
      <c r="BA22" s="3">
        <f t="shared" si="9"/>
        <v>0</v>
      </c>
      <c r="BB22" s="3">
        <f t="shared" si="9"/>
        <v>0</v>
      </c>
      <c r="BC22" s="3">
        <f t="shared" si="9"/>
        <v>0</v>
      </c>
      <c r="BD22" s="3">
        <f t="shared" si="9"/>
        <v>4066</v>
      </c>
      <c r="BE22" s="3">
        <f t="shared" si="9"/>
        <v>0</v>
      </c>
      <c r="BF22" s="3">
        <f t="shared" si="9"/>
        <v>0</v>
      </c>
      <c r="BG22" s="3">
        <f t="shared" si="9"/>
        <v>0</v>
      </c>
      <c r="BH22" s="3">
        <f t="shared" si="9"/>
        <v>0</v>
      </c>
      <c r="BI22" s="3">
        <f t="shared" si="9"/>
        <v>0</v>
      </c>
      <c r="BJ22" s="3">
        <f t="shared" si="9"/>
        <v>0</v>
      </c>
      <c r="BK22" s="3">
        <f t="shared" si="9"/>
        <v>0</v>
      </c>
      <c r="BL22" s="3">
        <f t="shared" si="9"/>
        <v>0</v>
      </c>
      <c r="BM22" s="3">
        <f t="shared" si="9"/>
        <v>0</v>
      </c>
      <c r="BN22" s="3">
        <f t="shared" si="9"/>
        <v>0</v>
      </c>
      <c r="BO22" s="3">
        <f t="shared" si="9"/>
        <v>0</v>
      </c>
      <c r="BP22" s="3">
        <f t="shared" si="9"/>
        <v>0</v>
      </c>
      <c r="BQ22" s="3">
        <f t="shared" si="9"/>
        <v>0</v>
      </c>
      <c r="BR22" s="3">
        <f t="shared" si="9"/>
        <v>0</v>
      </c>
      <c r="BS22" s="3">
        <f t="shared" si="9"/>
        <v>0</v>
      </c>
      <c r="BT22" s="3">
        <f t="shared" si="9"/>
        <v>0</v>
      </c>
      <c r="BU22" s="3">
        <f t="shared" si="9"/>
        <v>0</v>
      </c>
      <c r="BV22" s="3">
        <f t="shared" si="9"/>
        <v>0</v>
      </c>
      <c r="BW22" s="3">
        <f t="shared" si="9"/>
        <v>0</v>
      </c>
      <c r="BX22" s="3">
        <f t="shared" si="9"/>
        <v>0</v>
      </c>
      <c r="BY22" s="3">
        <f t="shared" si="9"/>
        <v>0</v>
      </c>
      <c r="BZ22" s="3">
        <f t="shared" si="9"/>
        <v>0</v>
      </c>
      <c r="CA22" s="3">
        <f aca="true" t="shared" si="10" ref="CA22:DF22">CA197</f>
        <v>0</v>
      </c>
      <c r="CB22" s="3">
        <f t="shared" si="10"/>
        <v>0</v>
      </c>
      <c r="CC22" s="3">
        <f t="shared" si="10"/>
        <v>0</v>
      </c>
      <c r="CD22" s="3">
        <f t="shared" si="10"/>
        <v>0</v>
      </c>
      <c r="CE22" s="3">
        <f t="shared" si="10"/>
        <v>0</v>
      </c>
      <c r="CF22" s="3">
        <f t="shared" si="10"/>
        <v>0</v>
      </c>
      <c r="CG22" s="3">
        <f t="shared" si="10"/>
        <v>0</v>
      </c>
      <c r="CH22" s="3">
        <f t="shared" si="10"/>
        <v>0</v>
      </c>
      <c r="CI22" s="3">
        <f t="shared" si="10"/>
        <v>0</v>
      </c>
      <c r="CJ22" s="3">
        <f t="shared" si="10"/>
        <v>0</v>
      </c>
      <c r="CK22" s="3">
        <f t="shared" si="10"/>
        <v>0</v>
      </c>
      <c r="CL22" s="3">
        <f t="shared" si="10"/>
        <v>0</v>
      </c>
      <c r="CM22" s="3">
        <f t="shared" si="10"/>
        <v>0</v>
      </c>
      <c r="CN22" s="3">
        <f t="shared" si="10"/>
        <v>0</v>
      </c>
      <c r="CO22" s="3">
        <f t="shared" si="10"/>
        <v>0</v>
      </c>
      <c r="CP22" s="3">
        <f t="shared" si="10"/>
        <v>0</v>
      </c>
      <c r="CQ22" s="3">
        <f t="shared" si="10"/>
        <v>0</v>
      </c>
      <c r="CR22" s="3">
        <f t="shared" si="10"/>
        <v>0</v>
      </c>
      <c r="CS22" s="3">
        <f t="shared" si="10"/>
        <v>0</v>
      </c>
      <c r="CT22" s="3">
        <f t="shared" si="10"/>
        <v>0</v>
      </c>
      <c r="CU22" s="3">
        <f t="shared" si="10"/>
        <v>0</v>
      </c>
      <c r="CV22" s="3">
        <f t="shared" si="10"/>
        <v>0</v>
      </c>
      <c r="CW22" s="3">
        <f t="shared" si="10"/>
        <v>0</v>
      </c>
      <c r="CX22" s="3">
        <f t="shared" si="10"/>
        <v>0</v>
      </c>
      <c r="CY22" s="3">
        <f t="shared" si="10"/>
        <v>0</v>
      </c>
      <c r="CZ22" s="3">
        <f t="shared" si="10"/>
        <v>0</v>
      </c>
      <c r="DA22" s="3">
        <f t="shared" si="10"/>
        <v>0</v>
      </c>
      <c r="DB22" s="3">
        <f t="shared" si="10"/>
        <v>0</v>
      </c>
      <c r="DC22" s="3">
        <f t="shared" si="10"/>
        <v>0</v>
      </c>
      <c r="DD22" s="3">
        <f t="shared" si="10"/>
        <v>0</v>
      </c>
      <c r="DE22" s="3">
        <f t="shared" si="10"/>
        <v>0</v>
      </c>
      <c r="DF22" s="3">
        <f t="shared" si="10"/>
        <v>0</v>
      </c>
      <c r="DG22" s="4">
        <f aca="true" t="shared" si="11" ref="DG22:EL22">DG197</f>
        <v>1554404</v>
      </c>
      <c r="DH22" s="4">
        <f t="shared" si="11"/>
        <v>989058</v>
      </c>
      <c r="DI22" s="4">
        <f t="shared" si="11"/>
        <v>47592</v>
      </c>
      <c r="DJ22" s="4">
        <f t="shared" si="11"/>
        <v>21870</v>
      </c>
      <c r="DK22" s="4">
        <f t="shared" si="11"/>
        <v>517754</v>
      </c>
      <c r="DL22" s="4">
        <f t="shared" si="11"/>
        <v>0</v>
      </c>
      <c r="DM22" s="4">
        <f t="shared" si="11"/>
        <v>1694.79254</v>
      </c>
      <c r="DN22" s="4">
        <f t="shared" si="11"/>
        <v>50.097474999999996</v>
      </c>
      <c r="DO22" s="4">
        <f t="shared" si="11"/>
        <v>0</v>
      </c>
      <c r="DP22" s="4">
        <f t="shared" si="11"/>
        <v>580263</v>
      </c>
      <c r="DQ22" s="4">
        <f t="shared" si="11"/>
        <v>314115</v>
      </c>
      <c r="DR22" s="4">
        <f t="shared" si="11"/>
        <v>0</v>
      </c>
      <c r="DS22" s="4">
        <f t="shared" si="11"/>
        <v>0</v>
      </c>
      <c r="DT22" s="4">
        <f t="shared" si="11"/>
        <v>0</v>
      </c>
      <c r="DU22" s="4">
        <f t="shared" si="11"/>
        <v>0</v>
      </c>
      <c r="DV22" s="4">
        <f t="shared" si="11"/>
        <v>0</v>
      </c>
      <c r="DW22" s="4">
        <f t="shared" si="11"/>
        <v>0</v>
      </c>
      <c r="DX22" s="4">
        <f t="shared" si="11"/>
        <v>0</v>
      </c>
      <c r="DY22" s="4">
        <f t="shared" si="11"/>
        <v>0</v>
      </c>
      <c r="DZ22" s="4">
        <f t="shared" si="11"/>
        <v>0</v>
      </c>
      <c r="EA22" s="4">
        <f t="shared" si="11"/>
        <v>0</v>
      </c>
      <c r="EB22" s="4">
        <f t="shared" si="11"/>
        <v>0</v>
      </c>
      <c r="EC22" s="4">
        <f t="shared" si="11"/>
        <v>0</v>
      </c>
      <c r="ED22" s="4">
        <f t="shared" si="11"/>
        <v>0</v>
      </c>
      <c r="EE22" s="4">
        <f t="shared" si="11"/>
        <v>0</v>
      </c>
      <c r="EF22" s="4">
        <f t="shared" si="11"/>
        <v>0</v>
      </c>
      <c r="EG22" s="4">
        <f t="shared" si="11"/>
        <v>0</v>
      </c>
      <c r="EH22" s="4">
        <f t="shared" si="11"/>
        <v>0</v>
      </c>
      <c r="EI22" s="4">
        <f t="shared" si="11"/>
        <v>0</v>
      </c>
      <c r="EJ22" s="4">
        <f t="shared" si="11"/>
        <v>2496116</v>
      </c>
      <c r="EK22" s="4">
        <f t="shared" si="11"/>
        <v>2496116</v>
      </c>
      <c r="EL22" s="4">
        <f t="shared" si="11"/>
        <v>0</v>
      </c>
      <c r="EM22" s="4">
        <f aca="true" t="shared" si="12" ref="EM22:FR22">EM197</f>
        <v>0</v>
      </c>
      <c r="EN22" s="4">
        <f t="shared" si="12"/>
        <v>989058</v>
      </c>
      <c r="EO22" s="4">
        <f t="shared" si="12"/>
        <v>989058</v>
      </c>
      <c r="EP22" s="4">
        <f t="shared" si="12"/>
        <v>0</v>
      </c>
      <c r="EQ22" s="4">
        <f t="shared" si="12"/>
        <v>989058</v>
      </c>
      <c r="ER22" s="4">
        <f t="shared" si="12"/>
        <v>0</v>
      </c>
      <c r="ES22" s="4">
        <f t="shared" si="12"/>
        <v>0</v>
      </c>
      <c r="ET22" s="4">
        <f t="shared" si="12"/>
        <v>0</v>
      </c>
      <c r="EU22" s="4">
        <f t="shared" si="12"/>
        <v>0</v>
      </c>
      <c r="EV22" s="4">
        <f t="shared" si="12"/>
        <v>47334</v>
      </c>
      <c r="EW22" s="4">
        <f t="shared" si="12"/>
        <v>0</v>
      </c>
      <c r="EX22" s="4">
        <f t="shared" si="12"/>
        <v>0</v>
      </c>
      <c r="EY22" s="4">
        <f t="shared" si="12"/>
        <v>0</v>
      </c>
      <c r="EZ22" s="4">
        <f t="shared" si="12"/>
        <v>0</v>
      </c>
      <c r="FA22" s="4">
        <f t="shared" si="12"/>
        <v>0</v>
      </c>
      <c r="FB22" s="4">
        <f t="shared" si="12"/>
        <v>0</v>
      </c>
      <c r="FC22" s="4">
        <f t="shared" si="12"/>
        <v>0</v>
      </c>
      <c r="FD22" s="4">
        <f t="shared" si="12"/>
        <v>0</v>
      </c>
      <c r="FE22" s="4">
        <f t="shared" si="12"/>
        <v>0</v>
      </c>
      <c r="FF22" s="4">
        <f t="shared" si="12"/>
        <v>0</v>
      </c>
      <c r="FG22" s="4">
        <f t="shared" si="12"/>
        <v>0</v>
      </c>
      <c r="FH22" s="4">
        <f t="shared" si="12"/>
        <v>0</v>
      </c>
      <c r="FI22" s="4">
        <f t="shared" si="12"/>
        <v>0</v>
      </c>
      <c r="FJ22" s="4">
        <f t="shared" si="12"/>
        <v>0</v>
      </c>
      <c r="FK22" s="4">
        <f t="shared" si="12"/>
        <v>0</v>
      </c>
      <c r="FL22" s="4">
        <f t="shared" si="12"/>
        <v>0</v>
      </c>
      <c r="FM22" s="4">
        <f t="shared" si="12"/>
        <v>0</v>
      </c>
      <c r="FN22" s="4">
        <f t="shared" si="12"/>
        <v>0</v>
      </c>
      <c r="FO22" s="4">
        <f t="shared" si="12"/>
        <v>0</v>
      </c>
      <c r="FP22" s="4">
        <f t="shared" si="12"/>
        <v>0</v>
      </c>
      <c r="FQ22" s="4">
        <f t="shared" si="12"/>
        <v>0</v>
      </c>
      <c r="FR22" s="4">
        <f t="shared" si="12"/>
        <v>0</v>
      </c>
      <c r="FS22" s="4">
        <f aca="true" t="shared" si="13" ref="FS22:GX22">FS197</f>
        <v>0</v>
      </c>
      <c r="FT22" s="4">
        <f t="shared" si="13"/>
        <v>0</v>
      </c>
      <c r="FU22" s="4">
        <f t="shared" si="13"/>
        <v>0</v>
      </c>
      <c r="FV22" s="4">
        <f t="shared" si="13"/>
        <v>0</v>
      </c>
      <c r="FW22" s="4">
        <f t="shared" si="13"/>
        <v>0</v>
      </c>
      <c r="FX22" s="4">
        <f t="shared" si="13"/>
        <v>0</v>
      </c>
      <c r="FY22" s="4">
        <f t="shared" si="13"/>
        <v>0</v>
      </c>
      <c r="FZ22" s="4">
        <f t="shared" si="13"/>
        <v>0</v>
      </c>
      <c r="GA22" s="4">
        <f t="shared" si="13"/>
        <v>0</v>
      </c>
      <c r="GB22" s="4">
        <f t="shared" si="13"/>
        <v>0</v>
      </c>
      <c r="GC22" s="4">
        <f t="shared" si="13"/>
        <v>0</v>
      </c>
      <c r="GD22" s="4">
        <f t="shared" si="13"/>
        <v>0</v>
      </c>
      <c r="GE22" s="4">
        <f t="shared" si="13"/>
        <v>0</v>
      </c>
      <c r="GF22" s="4">
        <f t="shared" si="13"/>
        <v>0</v>
      </c>
      <c r="GG22" s="4">
        <f t="shared" si="13"/>
        <v>0</v>
      </c>
      <c r="GH22" s="4">
        <f t="shared" si="13"/>
        <v>0</v>
      </c>
      <c r="GI22" s="4">
        <f t="shared" si="13"/>
        <v>0</v>
      </c>
      <c r="GJ22" s="4">
        <f t="shared" si="13"/>
        <v>0</v>
      </c>
      <c r="GK22" s="4">
        <f t="shared" si="13"/>
        <v>0</v>
      </c>
      <c r="GL22" s="4">
        <f t="shared" si="13"/>
        <v>0</v>
      </c>
      <c r="GM22" s="4">
        <f t="shared" si="13"/>
        <v>0</v>
      </c>
      <c r="GN22" s="4">
        <f t="shared" si="13"/>
        <v>0</v>
      </c>
      <c r="GO22" s="4">
        <f t="shared" si="13"/>
        <v>0</v>
      </c>
      <c r="GP22" s="4">
        <f t="shared" si="13"/>
        <v>0</v>
      </c>
      <c r="GQ22" s="4">
        <f t="shared" si="13"/>
        <v>0</v>
      </c>
      <c r="GR22" s="4">
        <f t="shared" si="13"/>
        <v>0</v>
      </c>
      <c r="GS22" s="4">
        <f t="shared" si="13"/>
        <v>0</v>
      </c>
      <c r="GT22" s="4">
        <f t="shared" si="13"/>
        <v>0</v>
      </c>
      <c r="GU22" s="4">
        <f t="shared" si="13"/>
        <v>0</v>
      </c>
      <c r="GV22" s="4">
        <f t="shared" si="13"/>
        <v>0</v>
      </c>
      <c r="GW22" s="4">
        <f t="shared" si="13"/>
        <v>0</v>
      </c>
      <c r="GX22" s="4">
        <f t="shared" si="13"/>
        <v>0</v>
      </c>
    </row>
    <row r="24" spans="1:88" ht="12.75">
      <c r="A24" s="1">
        <v>4</v>
      </c>
      <c r="B24" s="1">
        <v>1</v>
      </c>
      <c r="C24" s="1"/>
      <c r="D24" s="1">
        <f>ROW(A37)</f>
        <v>37</v>
      </c>
      <c r="E24" s="1"/>
      <c r="F24" s="1" t="s">
        <v>19</v>
      </c>
      <c r="G24" s="1" t="s">
        <v>20</v>
      </c>
      <c r="H24" s="1" t="s">
        <v>3</v>
      </c>
      <c r="I24" s="1">
        <v>0</v>
      </c>
      <c r="J24" s="1"/>
      <c r="K24" s="1">
        <v>0</v>
      </c>
      <c r="L24" s="1"/>
      <c r="M24" s="1" t="s">
        <v>3</v>
      </c>
      <c r="N24" s="1"/>
      <c r="O24" s="1"/>
      <c r="P24" s="1"/>
      <c r="Q24" s="1"/>
      <c r="R24" s="1"/>
      <c r="S24" s="1">
        <v>0</v>
      </c>
      <c r="T24" s="1">
        <v>0</v>
      </c>
      <c r="U24" s="1" t="s">
        <v>3</v>
      </c>
      <c r="V24" s="1">
        <v>0</v>
      </c>
      <c r="W24" s="1"/>
      <c r="X24" s="1"/>
      <c r="Y24" s="1"/>
      <c r="Z24" s="1"/>
      <c r="AA24" s="1"/>
      <c r="AB24" s="1" t="s">
        <v>3</v>
      </c>
      <c r="AC24" s="1" t="s">
        <v>3</v>
      </c>
      <c r="AD24" s="1" t="s">
        <v>3</v>
      </c>
      <c r="AE24" s="1" t="s">
        <v>3</v>
      </c>
      <c r="AF24" s="1" t="s">
        <v>3</v>
      </c>
      <c r="AG24" s="1" t="s">
        <v>3</v>
      </c>
      <c r="AH24" s="1"/>
      <c r="AI24" s="1"/>
      <c r="AJ24" s="1"/>
      <c r="AK24" s="1"/>
      <c r="AL24" s="1"/>
      <c r="AM24" s="1"/>
      <c r="AN24" s="1"/>
      <c r="AO24" s="1"/>
      <c r="AP24" s="1" t="s">
        <v>3</v>
      </c>
      <c r="AQ24" s="1" t="s">
        <v>3</v>
      </c>
      <c r="AR24" s="1" t="s">
        <v>3</v>
      </c>
      <c r="AS24" s="1"/>
      <c r="AT24" s="1"/>
      <c r="AU24" s="1"/>
      <c r="AV24" s="1"/>
      <c r="AW24" s="1"/>
      <c r="AX24" s="1"/>
      <c r="AY24" s="1"/>
      <c r="AZ24" s="1" t="s">
        <v>3</v>
      </c>
      <c r="BA24" s="1"/>
      <c r="BB24" s="1" t="s">
        <v>3</v>
      </c>
      <c r="BC24" s="1" t="s">
        <v>3</v>
      </c>
      <c r="BD24" s="1" t="s">
        <v>3</v>
      </c>
      <c r="BE24" s="1" t="s">
        <v>3</v>
      </c>
      <c r="BF24" s="1" t="s">
        <v>3</v>
      </c>
      <c r="BG24" s="1" t="s">
        <v>3</v>
      </c>
      <c r="BH24" s="1" t="s">
        <v>3</v>
      </c>
      <c r="BI24" s="1" t="s">
        <v>3</v>
      </c>
      <c r="BJ24" s="1" t="s">
        <v>3</v>
      </c>
      <c r="BK24" s="1" t="s">
        <v>3</v>
      </c>
      <c r="BL24" s="1" t="s">
        <v>3</v>
      </c>
      <c r="BM24" s="1" t="s">
        <v>3</v>
      </c>
      <c r="BN24" s="1" t="s">
        <v>3</v>
      </c>
      <c r="BO24" s="1" t="s">
        <v>3</v>
      </c>
      <c r="BP24" s="1" t="s">
        <v>3</v>
      </c>
      <c r="BQ24" s="1"/>
      <c r="BR24" s="1"/>
      <c r="BS24" s="1"/>
      <c r="BT24" s="1"/>
      <c r="BU24" s="1"/>
      <c r="BV24" s="1"/>
      <c r="BW24" s="1"/>
      <c r="BX24" s="1">
        <v>0</v>
      </c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>
        <v>0</v>
      </c>
    </row>
    <row r="26" spans="1:206" ht="12.75">
      <c r="A26" s="3">
        <v>52</v>
      </c>
      <c r="B26" s="3">
        <f aca="true" t="shared" si="14" ref="B26:G26">B37</f>
        <v>1</v>
      </c>
      <c r="C26" s="3">
        <f t="shared" si="14"/>
        <v>4</v>
      </c>
      <c r="D26" s="3">
        <f t="shared" si="14"/>
        <v>24</v>
      </c>
      <c r="E26" s="3">
        <f t="shared" si="14"/>
        <v>0</v>
      </c>
      <c r="F26" s="3" t="str">
        <f t="shared" si="14"/>
        <v>Новый раздел</v>
      </c>
      <c r="G26" s="3" t="str">
        <f t="shared" si="14"/>
        <v>Демонтаж</v>
      </c>
      <c r="H26" s="3"/>
      <c r="I26" s="3"/>
      <c r="J26" s="3"/>
      <c r="K26" s="3"/>
      <c r="L26" s="3"/>
      <c r="M26" s="3"/>
      <c r="N26" s="3"/>
      <c r="O26" s="3">
        <f aca="true" t="shared" si="15" ref="O26:AT26">O37</f>
        <v>6260</v>
      </c>
      <c r="P26" s="3">
        <f t="shared" si="15"/>
        <v>0</v>
      </c>
      <c r="Q26" s="3">
        <f t="shared" si="15"/>
        <v>1282</v>
      </c>
      <c r="R26" s="3">
        <f t="shared" si="15"/>
        <v>152</v>
      </c>
      <c r="S26" s="3">
        <f t="shared" si="15"/>
        <v>4978</v>
      </c>
      <c r="T26" s="3">
        <f t="shared" si="15"/>
        <v>0</v>
      </c>
      <c r="U26" s="3">
        <f t="shared" si="15"/>
        <v>632.567</v>
      </c>
      <c r="V26" s="3">
        <f t="shared" si="15"/>
        <v>11.2776</v>
      </c>
      <c r="W26" s="3">
        <f t="shared" si="15"/>
        <v>0</v>
      </c>
      <c r="X26" s="3">
        <f t="shared" si="15"/>
        <v>5512</v>
      </c>
      <c r="Y26" s="3">
        <f t="shared" si="15"/>
        <v>3180</v>
      </c>
      <c r="Z26" s="3">
        <f t="shared" si="15"/>
        <v>0</v>
      </c>
      <c r="AA26" s="3">
        <f t="shared" si="15"/>
        <v>0</v>
      </c>
      <c r="AB26" s="3">
        <f t="shared" si="15"/>
        <v>6260</v>
      </c>
      <c r="AC26" s="3">
        <f t="shared" si="15"/>
        <v>0</v>
      </c>
      <c r="AD26" s="3">
        <f t="shared" si="15"/>
        <v>1282</v>
      </c>
      <c r="AE26" s="3">
        <f t="shared" si="15"/>
        <v>152</v>
      </c>
      <c r="AF26" s="3">
        <f t="shared" si="15"/>
        <v>4978</v>
      </c>
      <c r="AG26" s="3">
        <f t="shared" si="15"/>
        <v>0</v>
      </c>
      <c r="AH26" s="3">
        <f t="shared" si="15"/>
        <v>632.567</v>
      </c>
      <c r="AI26" s="3">
        <f t="shared" si="15"/>
        <v>11.2776</v>
      </c>
      <c r="AJ26" s="3">
        <f t="shared" si="15"/>
        <v>0</v>
      </c>
      <c r="AK26" s="3">
        <f t="shared" si="15"/>
        <v>5512</v>
      </c>
      <c r="AL26" s="3">
        <f t="shared" si="15"/>
        <v>3180</v>
      </c>
      <c r="AM26" s="3">
        <f t="shared" si="15"/>
        <v>0</v>
      </c>
      <c r="AN26" s="3">
        <f t="shared" si="15"/>
        <v>0</v>
      </c>
      <c r="AO26" s="3">
        <f t="shared" si="15"/>
        <v>0</v>
      </c>
      <c r="AP26" s="3">
        <f t="shared" si="15"/>
        <v>0</v>
      </c>
      <c r="AQ26" s="3">
        <f t="shared" si="15"/>
        <v>0</v>
      </c>
      <c r="AR26" s="3">
        <f t="shared" si="15"/>
        <v>14952</v>
      </c>
      <c r="AS26" s="3">
        <f t="shared" si="15"/>
        <v>14952</v>
      </c>
      <c r="AT26" s="3">
        <f t="shared" si="15"/>
        <v>0</v>
      </c>
      <c r="AU26" s="3">
        <f aca="true" t="shared" si="16" ref="AU26:BZ26">AU37</f>
        <v>0</v>
      </c>
      <c r="AV26" s="3">
        <f t="shared" si="16"/>
        <v>0</v>
      </c>
      <c r="AW26" s="3">
        <f t="shared" si="16"/>
        <v>0</v>
      </c>
      <c r="AX26" s="3">
        <f t="shared" si="16"/>
        <v>0</v>
      </c>
      <c r="AY26" s="3">
        <f t="shared" si="16"/>
        <v>0</v>
      </c>
      <c r="AZ26" s="3">
        <f t="shared" si="16"/>
        <v>0</v>
      </c>
      <c r="BA26" s="3">
        <f t="shared" si="16"/>
        <v>0</v>
      </c>
      <c r="BB26" s="3">
        <f t="shared" si="16"/>
        <v>0</v>
      </c>
      <c r="BC26" s="3">
        <f t="shared" si="16"/>
        <v>0</v>
      </c>
      <c r="BD26" s="3">
        <f t="shared" si="16"/>
        <v>0</v>
      </c>
      <c r="BE26" s="3">
        <f t="shared" si="16"/>
        <v>0</v>
      </c>
      <c r="BF26" s="3">
        <f t="shared" si="16"/>
        <v>0</v>
      </c>
      <c r="BG26" s="3">
        <f t="shared" si="16"/>
        <v>0</v>
      </c>
      <c r="BH26" s="3">
        <f t="shared" si="16"/>
        <v>0</v>
      </c>
      <c r="BI26" s="3">
        <f t="shared" si="16"/>
        <v>0</v>
      </c>
      <c r="BJ26" s="3">
        <f t="shared" si="16"/>
        <v>0</v>
      </c>
      <c r="BK26" s="3">
        <f t="shared" si="16"/>
        <v>0</v>
      </c>
      <c r="BL26" s="3">
        <f t="shared" si="16"/>
        <v>0</v>
      </c>
      <c r="BM26" s="3">
        <f t="shared" si="16"/>
        <v>0</v>
      </c>
      <c r="BN26" s="3">
        <f t="shared" si="16"/>
        <v>0</v>
      </c>
      <c r="BO26" s="3">
        <f t="shared" si="16"/>
        <v>0</v>
      </c>
      <c r="BP26" s="3">
        <f t="shared" si="16"/>
        <v>0</v>
      </c>
      <c r="BQ26" s="3">
        <f t="shared" si="16"/>
        <v>0</v>
      </c>
      <c r="BR26" s="3">
        <f t="shared" si="16"/>
        <v>0</v>
      </c>
      <c r="BS26" s="3">
        <f t="shared" si="16"/>
        <v>0</v>
      </c>
      <c r="BT26" s="3">
        <f t="shared" si="16"/>
        <v>0</v>
      </c>
      <c r="BU26" s="3">
        <f t="shared" si="16"/>
        <v>0</v>
      </c>
      <c r="BV26" s="3">
        <f t="shared" si="16"/>
        <v>0</v>
      </c>
      <c r="BW26" s="3">
        <f t="shared" si="16"/>
        <v>0</v>
      </c>
      <c r="BX26" s="3">
        <f t="shared" si="16"/>
        <v>0</v>
      </c>
      <c r="BY26" s="3">
        <f t="shared" si="16"/>
        <v>0</v>
      </c>
      <c r="BZ26" s="3">
        <f t="shared" si="16"/>
        <v>0</v>
      </c>
      <c r="CA26" s="3">
        <f aca="true" t="shared" si="17" ref="CA26:DF26">CA37</f>
        <v>14952</v>
      </c>
      <c r="CB26" s="3">
        <f t="shared" si="17"/>
        <v>14952</v>
      </c>
      <c r="CC26" s="3">
        <f t="shared" si="17"/>
        <v>0</v>
      </c>
      <c r="CD26" s="3">
        <f t="shared" si="17"/>
        <v>0</v>
      </c>
      <c r="CE26" s="3">
        <f t="shared" si="17"/>
        <v>0</v>
      </c>
      <c r="CF26" s="3">
        <f t="shared" si="17"/>
        <v>0</v>
      </c>
      <c r="CG26" s="3">
        <f t="shared" si="17"/>
        <v>0</v>
      </c>
      <c r="CH26" s="3">
        <f t="shared" si="17"/>
        <v>0</v>
      </c>
      <c r="CI26" s="3">
        <f t="shared" si="17"/>
        <v>0</v>
      </c>
      <c r="CJ26" s="3">
        <f t="shared" si="17"/>
        <v>0</v>
      </c>
      <c r="CK26" s="3">
        <f t="shared" si="17"/>
        <v>0</v>
      </c>
      <c r="CL26" s="3">
        <f t="shared" si="17"/>
        <v>0</v>
      </c>
      <c r="CM26" s="3">
        <f t="shared" si="17"/>
        <v>0</v>
      </c>
      <c r="CN26" s="3">
        <f t="shared" si="17"/>
        <v>0</v>
      </c>
      <c r="CO26" s="3">
        <f t="shared" si="17"/>
        <v>0</v>
      </c>
      <c r="CP26" s="3">
        <f t="shared" si="17"/>
        <v>0</v>
      </c>
      <c r="CQ26" s="3">
        <f t="shared" si="17"/>
        <v>0</v>
      </c>
      <c r="CR26" s="3">
        <f t="shared" si="17"/>
        <v>0</v>
      </c>
      <c r="CS26" s="3">
        <f t="shared" si="17"/>
        <v>0</v>
      </c>
      <c r="CT26" s="3">
        <f t="shared" si="17"/>
        <v>0</v>
      </c>
      <c r="CU26" s="3">
        <f t="shared" si="17"/>
        <v>0</v>
      </c>
      <c r="CV26" s="3">
        <f t="shared" si="17"/>
        <v>0</v>
      </c>
      <c r="CW26" s="3">
        <f t="shared" si="17"/>
        <v>0</v>
      </c>
      <c r="CX26" s="3">
        <f t="shared" si="17"/>
        <v>0</v>
      </c>
      <c r="CY26" s="3">
        <f t="shared" si="17"/>
        <v>0</v>
      </c>
      <c r="CZ26" s="3">
        <f t="shared" si="17"/>
        <v>0</v>
      </c>
      <c r="DA26" s="3">
        <f t="shared" si="17"/>
        <v>0</v>
      </c>
      <c r="DB26" s="3">
        <f t="shared" si="17"/>
        <v>0</v>
      </c>
      <c r="DC26" s="3">
        <f t="shared" si="17"/>
        <v>0</v>
      </c>
      <c r="DD26" s="3">
        <f t="shared" si="17"/>
        <v>0</v>
      </c>
      <c r="DE26" s="3">
        <f t="shared" si="17"/>
        <v>0</v>
      </c>
      <c r="DF26" s="3">
        <f t="shared" si="17"/>
        <v>0</v>
      </c>
      <c r="DG26" s="4">
        <f aca="true" t="shared" si="18" ref="DG26:EL26">DG37</f>
        <v>190380</v>
      </c>
      <c r="DH26" s="4">
        <f t="shared" si="18"/>
        <v>0</v>
      </c>
      <c r="DI26" s="4">
        <f t="shared" si="18"/>
        <v>11016</v>
      </c>
      <c r="DJ26" s="4">
        <f t="shared" si="18"/>
        <v>5487</v>
      </c>
      <c r="DK26" s="4">
        <f t="shared" si="18"/>
        <v>179364</v>
      </c>
      <c r="DL26" s="4">
        <f t="shared" si="18"/>
        <v>0</v>
      </c>
      <c r="DM26" s="4">
        <f t="shared" si="18"/>
        <v>632.567</v>
      </c>
      <c r="DN26" s="4">
        <f t="shared" si="18"/>
        <v>11.2776</v>
      </c>
      <c r="DO26" s="4">
        <f t="shared" si="18"/>
        <v>0</v>
      </c>
      <c r="DP26" s="4">
        <f t="shared" si="18"/>
        <v>198639</v>
      </c>
      <c r="DQ26" s="4">
        <f t="shared" si="18"/>
        <v>114590</v>
      </c>
      <c r="DR26" s="4">
        <f t="shared" si="18"/>
        <v>0</v>
      </c>
      <c r="DS26" s="4">
        <f t="shared" si="18"/>
        <v>0</v>
      </c>
      <c r="DT26" s="4">
        <f t="shared" si="18"/>
        <v>190380</v>
      </c>
      <c r="DU26" s="4">
        <f t="shared" si="18"/>
        <v>0</v>
      </c>
      <c r="DV26" s="4">
        <f t="shared" si="18"/>
        <v>11016</v>
      </c>
      <c r="DW26" s="4">
        <f t="shared" si="18"/>
        <v>5487</v>
      </c>
      <c r="DX26" s="4">
        <f t="shared" si="18"/>
        <v>179364</v>
      </c>
      <c r="DY26" s="4">
        <f t="shared" si="18"/>
        <v>0</v>
      </c>
      <c r="DZ26" s="4">
        <f t="shared" si="18"/>
        <v>632.567</v>
      </c>
      <c r="EA26" s="4">
        <f t="shared" si="18"/>
        <v>11.2776</v>
      </c>
      <c r="EB26" s="4">
        <f t="shared" si="18"/>
        <v>0</v>
      </c>
      <c r="EC26" s="4">
        <f t="shared" si="18"/>
        <v>198639</v>
      </c>
      <c r="ED26" s="4">
        <f t="shared" si="18"/>
        <v>114590</v>
      </c>
      <c r="EE26" s="4">
        <f t="shared" si="18"/>
        <v>0</v>
      </c>
      <c r="EF26" s="4">
        <f t="shared" si="18"/>
        <v>0</v>
      </c>
      <c r="EG26" s="4">
        <f t="shared" si="18"/>
        <v>0</v>
      </c>
      <c r="EH26" s="4">
        <f t="shared" si="18"/>
        <v>0</v>
      </c>
      <c r="EI26" s="4">
        <f t="shared" si="18"/>
        <v>0</v>
      </c>
      <c r="EJ26" s="4">
        <f t="shared" si="18"/>
        <v>503609</v>
      </c>
      <c r="EK26" s="4">
        <f t="shared" si="18"/>
        <v>503609</v>
      </c>
      <c r="EL26" s="4">
        <f t="shared" si="18"/>
        <v>0</v>
      </c>
      <c r="EM26" s="4">
        <f aca="true" t="shared" si="19" ref="EM26:FR26">EM37</f>
        <v>0</v>
      </c>
      <c r="EN26" s="4">
        <f t="shared" si="19"/>
        <v>0</v>
      </c>
      <c r="EO26" s="4">
        <f t="shared" si="19"/>
        <v>0</v>
      </c>
      <c r="EP26" s="4">
        <f t="shared" si="19"/>
        <v>0</v>
      </c>
      <c r="EQ26" s="4">
        <f t="shared" si="19"/>
        <v>0</v>
      </c>
      <c r="ER26" s="4">
        <f t="shared" si="19"/>
        <v>0</v>
      </c>
      <c r="ES26" s="4">
        <f t="shared" si="19"/>
        <v>0</v>
      </c>
      <c r="ET26" s="4">
        <f t="shared" si="19"/>
        <v>0</v>
      </c>
      <c r="EU26" s="4">
        <f t="shared" si="19"/>
        <v>0</v>
      </c>
      <c r="EV26" s="4">
        <f t="shared" si="19"/>
        <v>0</v>
      </c>
      <c r="EW26" s="4">
        <f t="shared" si="19"/>
        <v>0</v>
      </c>
      <c r="EX26" s="4">
        <f t="shared" si="19"/>
        <v>0</v>
      </c>
      <c r="EY26" s="4">
        <f t="shared" si="19"/>
        <v>0</v>
      </c>
      <c r="EZ26" s="4">
        <f t="shared" si="19"/>
        <v>0</v>
      </c>
      <c r="FA26" s="4">
        <f t="shared" si="19"/>
        <v>0</v>
      </c>
      <c r="FB26" s="4">
        <f t="shared" si="19"/>
        <v>0</v>
      </c>
      <c r="FC26" s="4">
        <f t="shared" si="19"/>
        <v>0</v>
      </c>
      <c r="FD26" s="4">
        <f t="shared" si="19"/>
        <v>0</v>
      </c>
      <c r="FE26" s="4">
        <f t="shared" si="19"/>
        <v>0</v>
      </c>
      <c r="FF26" s="4">
        <f t="shared" si="19"/>
        <v>0</v>
      </c>
      <c r="FG26" s="4">
        <f t="shared" si="19"/>
        <v>0</v>
      </c>
      <c r="FH26" s="4">
        <f t="shared" si="19"/>
        <v>0</v>
      </c>
      <c r="FI26" s="4">
        <f t="shared" si="19"/>
        <v>0</v>
      </c>
      <c r="FJ26" s="4">
        <f t="shared" si="19"/>
        <v>0</v>
      </c>
      <c r="FK26" s="4">
        <f t="shared" si="19"/>
        <v>0</v>
      </c>
      <c r="FL26" s="4">
        <f t="shared" si="19"/>
        <v>0</v>
      </c>
      <c r="FM26" s="4">
        <f t="shared" si="19"/>
        <v>0</v>
      </c>
      <c r="FN26" s="4">
        <f t="shared" si="19"/>
        <v>0</v>
      </c>
      <c r="FO26" s="4">
        <f t="shared" si="19"/>
        <v>0</v>
      </c>
      <c r="FP26" s="4">
        <f t="shared" si="19"/>
        <v>0</v>
      </c>
      <c r="FQ26" s="4">
        <f t="shared" si="19"/>
        <v>0</v>
      </c>
      <c r="FR26" s="4">
        <f t="shared" si="19"/>
        <v>0</v>
      </c>
      <c r="FS26" s="4">
        <f aca="true" t="shared" si="20" ref="FS26:GX26">FS37</f>
        <v>503609</v>
      </c>
      <c r="FT26" s="4">
        <f t="shared" si="20"/>
        <v>503609</v>
      </c>
      <c r="FU26" s="4">
        <f t="shared" si="20"/>
        <v>0</v>
      </c>
      <c r="FV26" s="4">
        <f t="shared" si="20"/>
        <v>0</v>
      </c>
      <c r="FW26" s="4">
        <f t="shared" si="20"/>
        <v>0</v>
      </c>
      <c r="FX26" s="4">
        <f t="shared" si="20"/>
        <v>0</v>
      </c>
      <c r="FY26" s="4">
        <f t="shared" si="20"/>
        <v>0</v>
      </c>
      <c r="FZ26" s="4">
        <f t="shared" si="20"/>
        <v>0</v>
      </c>
      <c r="GA26" s="4">
        <f t="shared" si="20"/>
        <v>0</v>
      </c>
      <c r="GB26" s="4">
        <f t="shared" si="20"/>
        <v>0</v>
      </c>
      <c r="GC26" s="4">
        <f t="shared" si="20"/>
        <v>0</v>
      </c>
      <c r="GD26" s="4">
        <f t="shared" si="20"/>
        <v>0</v>
      </c>
      <c r="GE26" s="4">
        <f t="shared" si="20"/>
        <v>0</v>
      </c>
      <c r="GF26" s="4">
        <f t="shared" si="20"/>
        <v>0</v>
      </c>
      <c r="GG26" s="4">
        <f t="shared" si="20"/>
        <v>0</v>
      </c>
      <c r="GH26" s="4">
        <f t="shared" si="20"/>
        <v>0</v>
      </c>
      <c r="GI26" s="4">
        <f t="shared" si="20"/>
        <v>0</v>
      </c>
      <c r="GJ26" s="4">
        <f t="shared" si="20"/>
        <v>0</v>
      </c>
      <c r="GK26" s="4">
        <f t="shared" si="20"/>
        <v>0</v>
      </c>
      <c r="GL26" s="4">
        <f t="shared" si="20"/>
        <v>0</v>
      </c>
      <c r="GM26" s="4">
        <f t="shared" si="20"/>
        <v>0</v>
      </c>
      <c r="GN26" s="4">
        <f t="shared" si="20"/>
        <v>0</v>
      </c>
      <c r="GO26" s="4">
        <f t="shared" si="20"/>
        <v>0</v>
      </c>
      <c r="GP26" s="4">
        <f t="shared" si="20"/>
        <v>0</v>
      </c>
      <c r="GQ26" s="4">
        <f t="shared" si="20"/>
        <v>0</v>
      </c>
      <c r="GR26" s="4">
        <f t="shared" si="20"/>
        <v>0</v>
      </c>
      <c r="GS26" s="4">
        <f t="shared" si="20"/>
        <v>0</v>
      </c>
      <c r="GT26" s="4">
        <f t="shared" si="20"/>
        <v>0</v>
      </c>
      <c r="GU26" s="4">
        <f t="shared" si="20"/>
        <v>0</v>
      </c>
      <c r="GV26" s="4">
        <f t="shared" si="20"/>
        <v>0</v>
      </c>
      <c r="GW26" s="4">
        <f t="shared" si="20"/>
        <v>0</v>
      </c>
      <c r="GX26" s="4">
        <f t="shared" si="20"/>
        <v>0</v>
      </c>
    </row>
    <row r="28" spans="1:255" ht="12.75">
      <c r="A28" s="2">
        <v>17</v>
      </c>
      <c r="B28" s="2">
        <v>1</v>
      </c>
      <c r="C28" s="2">
        <f>ROW(SmtRes!A2)</f>
        <v>2</v>
      </c>
      <c r="D28" s="2">
        <f>ROW(EtalonRes!A2)</f>
        <v>2</v>
      </c>
      <c r="E28" s="2" t="s">
        <v>21</v>
      </c>
      <c r="F28" s="2" t="s">
        <v>22</v>
      </c>
      <c r="G28" s="2" t="s">
        <v>23</v>
      </c>
      <c r="H28" s="2" t="s">
        <v>24</v>
      </c>
      <c r="I28" s="2">
        <f>ROUND(135/100,7)</f>
        <v>1.35</v>
      </c>
      <c r="J28" s="2">
        <v>0</v>
      </c>
      <c r="K28" s="2">
        <f>ROUND(135/100,7)</f>
        <v>1.35</v>
      </c>
      <c r="L28" s="2"/>
      <c r="M28" s="2"/>
      <c r="N28" s="2"/>
      <c r="O28" s="2">
        <f aca="true" t="shared" si="21" ref="O28:O35">ROUND(CP28,0)</f>
        <v>107</v>
      </c>
      <c r="P28" s="2">
        <f aca="true" t="shared" si="22" ref="P28:P35">ROUND(CQ28*I28,0)</f>
        <v>0</v>
      </c>
      <c r="Q28" s="2">
        <f aca="true" t="shared" si="23" ref="Q28:Q35">ROUND(CR28*I28,0)</f>
        <v>17</v>
      </c>
      <c r="R28" s="2">
        <f aca="true" t="shared" si="24" ref="R28:R35">ROUND(CS28*I28,0)</f>
        <v>0</v>
      </c>
      <c r="S28" s="2">
        <f aca="true" t="shared" si="25" ref="S28:S35">ROUND(CT28*I28,0)</f>
        <v>90</v>
      </c>
      <c r="T28" s="2">
        <f aca="true" t="shared" si="26" ref="T28:T35">ROUND(CU28*I28,0)</f>
        <v>0</v>
      </c>
      <c r="U28" s="2">
        <f aca="true" t="shared" si="27" ref="U28:U35">CV28*I28</f>
        <v>11.583</v>
      </c>
      <c r="V28" s="2">
        <f aca="true" t="shared" si="28" ref="V28:V35">CW28*I28</f>
        <v>0</v>
      </c>
      <c r="W28" s="2">
        <f aca="true" t="shared" si="29" ref="W28:W35">ROUND(CX28*I28,0)</f>
        <v>0</v>
      </c>
      <c r="X28" s="2">
        <f aca="true" t="shared" si="30" ref="X28:Y35">ROUND(CY28,0)</f>
        <v>82</v>
      </c>
      <c r="Y28" s="2">
        <f t="shared" si="30"/>
        <v>47</v>
      </c>
      <c r="Z28" s="2"/>
      <c r="AA28" s="2">
        <v>55110074</v>
      </c>
      <c r="AB28" s="2">
        <f aca="true" t="shared" si="31" ref="AB28:AB35">ROUND((AC28+AD28+AF28),2)</f>
        <v>79.44</v>
      </c>
      <c r="AC28" s="2">
        <f>ROUND((ES28),2)</f>
        <v>0</v>
      </c>
      <c r="AD28" s="2">
        <f>ROUND((((ET28)-(EU28))+AE28),2)</f>
        <v>12.52</v>
      </c>
      <c r="AE28" s="2">
        <f aca="true" t="shared" si="32" ref="AE28:AF31">ROUND((EU28),2)</f>
        <v>0</v>
      </c>
      <c r="AF28" s="2">
        <f t="shared" si="32"/>
        <v>66.92</v>
      </c>
      <c r="AG28" s="2">
        <f aca="true" t="shared" si="33" ref="AG28:AG35">ROUND((AP28),2)</f>
        <v>0</v>
      </c>
      <c r="AH28" s="2">
        <f aca="true" t="shared" si="34" ref="AH28:AI31">(EW28)</f>
        <v>8.58</v>
      </c>
      <c r="AI28" s="2">
        <f t="shared" si="34"/>
        <v>0</v>
      </c>
      <c r="AJ28" s="2">
        <f aca="true" t="shared" si="35" ref="AJ28:AJ35">(AS28)</f>
        <v>0</v>
      </c>
      <c r="AK28" s="2">
        <v>79.44</v>
      </c>
      <c r="AL28" s="2">
        <v>0</v>
      </c>
      <c r="AM28" s="2">
        <v>12.52</v>
      </c>
      <c r="AN28" s="2">
        <v>0</v>
      </c>
      <c r="AO28" s="2">
        <v>66.92</v>
      </c>
      <c r="AP28" s="2">
        <v>0</v>
      </c>
      <c r="AQ28" s="2">
        <v>8.58</v>
      </c>
      <c r="AR28" s="2">
        <v>0</v>
      </c>
      <c r="AS28" s="2">
        <v>0</v>
      </c>
      <c r="AT28" s="2">
        <v>91</v>
      </c>
      <c r="AU28" s="2">
        <v>52</v>
      </c>
      <c r="AV28" s="2">
        <v>1</v>
      </c>
      <c r="AW28" s="2">
        <v>1</v>
      </c>
      <c r="AX28" s="2"/>
      <c r="AY28" s="2"/>
      <c r="AZ28" s="2">
        <v>1</v>
      </c>
      <c r="BA28" s="2">
        <v>1</v>
      </c>
      <c r="BB28" s="2">
        <v>1</v>
      </c>
      <c r="BC28" s="2">
        <v>1</v>
      </c>
      <c r="BD28" s="2" t="s">
        <v>3</v>
      </c>
      <c r="BE28" s="2" t="s">
        <v>3</v>
      </c>
      <c r="BF28" s="2" t="s">
        <v>3</v>
      </c>
      <c r="BG28" s="2" t="s">
        <v>3</v>
      </c>
      <c r="BH28" s="2">
        <v>0</v>
      </c>
      <c r="BI28" s="2">
        <v>1</v>
      </c>
      <c r="BJ28" s="2" t="s">
        <v>25</v>
      </c>
      <c r="BK28" s="2"/>
      <c r="BL28" s="2"/>
      <c r="BM28" s="2">
        <v>46003</v>
      </c>
      <c r="BN28" s="2">
        <v>0</v>
      </c>
      <c r="BO28" s="2" t="s">
        <v>3</v>
      </c>
      <c r="BP28" s="2">
        <v>0</v>
      </c>
      <c r="BQ28" s="2">
        <v>2</v>
      </c>
      <c r="BR28" s="2">
        <v>0</v>
      </c>
      <c r="BS28" s="2">
        <v>1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 t="s">
        <v>3</v>
      </c>
      <c r="BZ28" s="2">
        <v>91</v>
      </c>
      <c r="CA28" s="2">
        <v>52</v>
      </c>
      <c r="CB28" s="2" t="s">
        <v>3</v>
      </c>
      <c r="CC28" s="2"/>
      <c r="CD28" s="2"/>
      <c r="CE28" s="2">
        <v>0</v>
      </c>
      <c r="CF28" s="2">
        <v>0</v>
      </c>
      <c r="CG28" s="2">
        <v>0</v>
      </c>
      <c r="CH28" s="2"/>
      <c r="CI28" s="2"/>
      <c r="CJ28" s="2"/>
      <c r="CK28" s="2"/>
      <c r="CL28" s="2"/>
      <c r="CM28" s="2">
        <v>0</v>
      </c>
      <c r="CN28" s="2" t="s">
        <v>3</v>
      </c>
      <c r="CO28" s="2">
        <v>0</v>
      </c>
      <c r="CP28" s="2">
        <f aca="true" t="shared" si="36" ref="CP28:CP35">(P28+Q28+S28)</f>
        <v>107</v>
      </c>
      <c r="CQ28" s="2">
        <f aca="true" t="shared" si="37" ref="CQ28:CQ35">AC28*BC28</f>
        <v>0</v>
      </c>
      <c r="CR28" s="2">
        <f aca="true" t="shared" si="38" ref="CR28:CR35">AD28*BB28</f>
        <v>12.52</v>
      </c>
      <c r="CS28" s="2">
        <f aca="true" t="shared" si="39" ref="CS28:CS35">AE28*BS28</f>
        <v>0</v>
      </c>
      <c r="CT28" s="2">
        <f aca="true" t="shared" si="40" ref="CT28:CT35">AF28*BA28</f>
        <v>66.92</v>
      </c>
      <c r="CU28" s="2">
        <f aca="true" t="shared" si="41" ref="CU28:CX35">AG28</f>
        <v>0</v>
      </c>
      <c r="CV28" s="2">
        <f t="shared" si="41"/>
        <v>8.58</v>
      </c>
      <c r="CW28" s="2">
        <f t="shared" si="41"/>
        <v>0</v>
      </c>
      <c r="CX28" s="2">
        <f t="shared" si="41"/>
        <v>0</v>
      </c>
      <c r="CY28" s="2">
        <f aca="true" t="shared" si="42" ref="CY28:CY35">(((S28+R28)*AT28)/100)</f>
        <v>81.9</v>
      </c>
      <c r="CZ28" s="2">
        <f aca="true" t="shared" si="43" ref="CZ28:CZ35">(((S28+R28)*AU28)/100)</f>
        <v>46.8</v>
      </c>
      <c r="DA28" s="2"/>
      <c r="DB28" s="2"/>
      <c r="DC28" s="2" t="s">
        <v>3</v>
      </c>
      <c r="DD28" s="2" t="s">
        <v>3</v>
      </c>
      <c r="DE28" s="2" t="s">
        <v>3</v>
      </c>
      <c r="DF28" s="2" t="s">
        <v>3</v>
      </c>
      <c r="DG28" s="2" t="s">
        <v>3</v>
      </c>
      <c r="DH28" s="2" t="s">
        <v>3</v>
      </c>
      <c r="DI28" s="2" t="s">
        <v>3</v>
      </c>
      <c r="DJ28" s="2" t="s">
        <v>3</v>
      </c>
      <c r="DK28" s="2" t="s">
        <v>3</v>
      </c>
      <c r="DL28" s="2" t="s">
        <v>3</v>
      </c>
      <c r="DM28" s="2" t="s">
        <v>3</v>
      </c>
      <c r="DN28" s="2">
        <v>0</v>
      </c>
      <c r="DO28" s="2">
        <v>0</v>
      </c>
      <c r="DP28" s="2">
        <v>1</v>
      </c>
      <c r="DQ28" s="2">
        <v>1</v>
      </c>
      <c r="DR28" s="2"/>
      <c r="DS28" s="2"/>
      <c r="DT28" s="2"/>
      <c r="DU28" s="2">
        <v>1005</v>
      </c>
      <c r="DV28" s="2" t="s">
        <v>24</v>
      </c>
      <c r="DW28" s="2" t="s">
        <v>24</v>
      </c>
      <c r="DX28" s="2">
        <v>100</v>
      </c>
      <c r="DY28" s="2"/>
      <c r="DZ28" s="2" t="s">
        <v>3</v>
      </c>
      <c r="EA28" s="2" t="s">
        <v>3</v>
      </c>
      <c r="EB28" s="2" t="s">
        <v>3</v>
      </c>
      <c r="EC28" s="2" t="s">
        <v>3</v>
      </c>
      <c r="ED28" s="2"/>
      <c r="EE28" s="2">
        <v>53507879</v>
      </c>
      <c r="EF28" s="2">
        <v>2</v>
      </c>
      <c r="EG28" s="2" t="s">
        <v>26</v>
      </c>
      <c r="EH28" s="2">
        <v>40</v>
      </c>
      <c r="EI28" s="2" t="s">
        <v>27</v>
      </c>
      <c r="EJ28" s="2">
        <v>1</v>
      </c>
      <c r="EK28" s="2">
        <v>46003</v>
      </c>
      <c r="EL28" s="2" t="s">
        <v>28</v>
      </c>
      <c r="EM28" s="2" t="s">
        <v>29</v>
      </c>
      <c r="EN28" s="2"/>
      <c r="EO28" s="2" t="s">
        <v>3</v>
      </c>
      <c r="EP28" s="2"/>
      <c r="EQ28" s="2">
        <v>0</v>
      </c>
      <c r="ER28" s="2">
        <v>79.44</v>
      </c>
      <c r="ES28" s="2">
        <v>0</v>
      </c>
      <c r="ET28" s="2">
        <v>12.52</v>
      </c>
      <c r="EU28" s="2">
        <v>0</v>
      </c>
      <c r="EV28" s="2">
        <v>66.92</v>
      </c>
      <c r="EW28" s="2">
        <v>8.58</v>
      </c>
      <c r="EX28" s="2">
        <v>0</v>
      </c>
      <c r="EY28" s="2">
        <v>0</v>
      </c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>
        <v>0</v>
      </c>
      <c r="FR28" s="2">
        <f aca="true" t="shared" si="44" ref="FR28:FR35">ROUND(IF(AND(BH28=3,BI28=3),P28,0),0)</f>
        <v>0</v>
      </c>
      <c r="FS28" s="2">
        <v>0</v>
      </c>
      <c r="FT28" s="2"/>
      <c r="FU28" s="2"/>
      <c r="FV28" s="2"/>
      <c r="FW28" s="2"/>
      <c r="FX28" s="2">
        <v>91</v>
      </c>
      <c r="FY28" s="2">
        <v>52</v>
      </c>
      <c r="FZ28" s="2"/>
      <c r="GA28" s="2" t="s">
        <v>3</v>
      </c>
      <c r="GB28" s="2"/>
      <c r="GC28" s="2"/>
      <c r="GD28" s="2">
        <v>1</v>
      </c>
      <c r="GE28" s="2"/>
      <c r="GF28" s="2">
        <v>-1269882818</v>
      </c>
      <c r="GG28" s="2">
        <v>2</v>
      </c>
      <c r="GH28" s="2">
        <v>1</v>
      </c>
      <c r="GI28" s="2">
        <v>-2</v>
      </c>
      <c r="GJ28" s="2">
        <v>0</v>
      </c>
      <c r="GK28" s="2">
        <v>0</v>
      </c>
      <c r="GL28" s="2">
        <f aca="true" t="shared" si="45" ref="GL28:GL35">ROUND(IF(AND(BH28=3,BI28=3,FS28&lt;&gt;0),P28,0),0)</f>
        <v>0</v>
      </c>
      <c r="GM28" s="2">
        <f aca="true" t="shared" si="46" ref="GM28:GM35">ROUND(O28+X28+Y28,0)+GX28</f>
        <v>236</v>
      </c>
      <c r="GN28" s="2">
        <f aca="true" t="shared" si="47" ref="GN28:GN35">IF(OR(BI28=0,BI28=1),ROUND(O28+X28+Y28,0),0)</f>
        <v>236</v>
      </c>
      <c r="GO28" s="2">
        <f aca="true" t="shared" si="48" ref="GO28:GO35">IF(BI28=2,ROUND(O28+X28+Y28,0),0)</f>
        <v>0</v>
      </c>
      <c r="GP28" s="2">
        <f aca="true" t="shared" si="49" ref="GP28:GP35">IF(BI28=4,ROUND(O28+X28+Y28,0)+GX28,0)</f>
        <v>0</v>
      </c>
      <c r="GQ28" s="2"/>
      <c r="GR28" s="2">
        <v>0</v>
      </c>
      <c r="GS28" s="2">
        <v>0</v>
      </c>
      <c r="GT28" s="2">
        <v>0</v>
      </c>
      <c r="GU28" s="2" t="s">
        <v>3</v>
      </c>
      <c r="GV28" s="2">
        <f aca="true" t="shared" si="50" ref="GV28:GV35">ROUND((GT28),2)</f>
        <v>0</v>
      </c>
      <c r="GW28" s="2">
        <v>1</v>
      </c>
      <c r="GX28" s="2">
        <f aca="true" t="shared" si="51" ref="GX28:GX35">ROUND(HC28*I28,0)</f>
        <v>0</v>
      </c>
      <c r="GY28" s="2"/>
      <c r="GZ28" s="2"/>
      <c r="HA28" s="2">
        <v>0</v>
      </c>
      <c r="HB28" s="2">
        <v>0</v>
      </c>
      <c r="HC28" s="2">
        <f aca="true" t="shared" si="52" ref="HC28:HC35">GV28*GW28</f>
        <v>0</v>
      </c>
      <c r="HD28" s="2"/>
      <c r="HE28" s="2" t="s">
        <v>3</v>
      </c>
      <c r="HF28" s="2" t="s">
        <v>3</v>
      </c>
      <c r="HG28" s="2"/>
      <c r="HH28" s="2"/>
      <c r="HI28" s="2"/>
      <c r="HJ28" s="2"/>
      <c r="HK28" s="2"/>
      <c r="HL28" s="2"/>
      <c r="HM28" s="2" t="s">
        <v>3</v>
      </c>
      <c r="HN28" s="2" t="s">
        <v>30</v>
      </c>
      <c r="HO28" s="2" t="s">
        <v>31</v>
      </c>
      <c r="HP28" s="2" t="s">
        <v>28</v>
      </c>
      <c r="HQ28" s="2" t="s">
        <v>28</v>
      </c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>
        <v>0</v>
      </c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45" ht="12.75">
      <c r="A29">
        <v>17</v>
      </c>
      <c r="B29">
        <v>1</v>
      </c>
      <c r="C29">
        <f>ROW(SmtRes!A4)</f>
        <v>4</v>
      </c>
      <c r="D29">
        <f>ROW(EtalonRes!A4)</f>
        <v>4</v>
      </c>
      <c r="E29" t="s">
        <v>21</v>
      </c>
      <c r="F29" t="s">
        <v>22</v>
      </c>
      <c r="G29" t="s">
        <v>23</v>
      </c>
      <c r="H29" t="s">
        <v>24</v>
      </c>
      <c r="I29">
        <f>ROUND(135/100,7)</f>
        <v>1.35</v>
      </c>
      <c r="J29">
        <v>0</v>
      </c>
      <c r="K29">
        <f>ROUND(135/100,7)</f>
        <v>1.35</v>
      </c>
      <c r="O29">
        <f t="shared" si="21"/>
        <v>3345</v>
      </c>
      <c r="P29">
        <f t="shared" si="22"/>
        <v>0</v>
      </c>
      <c r="Q29">
        <f t="shared" si="23"/>
        <v>90</v>
      </c>
      <c r="R29">
        <f t="shared" si="24"/>
        <v>0</v>
      </c>
      <c r="S29">
        <f t="shared" si="25"/>
        <v>3255</v>
      </c>
      <c r="T29">
        <f t="shared" si="26"/>
        <v>0</v>
      </c>
      <c r="U29">
        <f t="shared" si="27"/>
        <v>11.583</v>
      </c>
      <c r="V29">
        <f t="shared" si="28"/>
        <v>0</v>
      </c>
      <c r="W29">
        <f t="shared" si="29"/>
        <v>0</v>
      </c>
      <c r="X29">
        <f t="shared" si="30"/>
        <v>2962</v>
      </c>
      <c r="Y29">
        <f t="shared" si="30"/>
        <v>1693</v>
      </c>
      <c r="AA29">
        <v>55110083</v>
      </c>
      <c r="AB29">
        <f t="shared" si="31"/>
        <v>79.44</v>
      </c>
      <c r="AC29">
        <f>ROUND((ES29),2)</f>
        <v>0</v>
      </c>
      <c r="AD29">
        <f>ROUND((((ET29)-(EU29))+AE29),2)</f>
        <v>12.52</v>
      </c>
      <c r="AE29">
        <f t="shared" si="32"/>
        <v>0</v>
      </c>
      <c r="AF29">
        <f t="shared" si="32"/>
        <v>66.92</v>
      </c>
      <c r="AG29">
        <f t="shared" si="33"/>
        <v>0</v>
      </c>
      <c r="AH29">
        <f t="shared" si="34"/>
        <v>8.58</v>
      </c>
      <c r="AI29">
        <f t="shared" si="34"/>
        <v>0</v>
      </c>
      <c r="AJ29">
        <f t="shared" si="35"/>
        <v>0</v>
      </c>
      <c r="AK29">
        <v>79.44</v>
      </c>
      <c r="AL29">
        <v>0</v>
      </c>
      <c r="AM29">
        <v>12.52</v>
      </c>
      <c r="AN29">
        <v>0</v>
      </c>
      <c r="AO29">
        <v>66.92</v>
      </c>
      <c r="AP29">
        <v>0</v>
      </c>
      <c r="AQ29">
        <v>8.58</v>
      </c>
      <c r="AR29">
        <v>0</v>
      </c>
      <c r="AS29">
        <v>0</v>
      </c>
      <c r="AT29">
        <v>91</v>
      </c>
      <c r="AU29">
        <v>52</v>
      </c>
      <c r="AV29">
        <v>1</v>
      </c>
      <c r="AW29">
        <v>1</v>
      </c>
      <c r="AZ29">
        <v>1</v>
      </c>
      <c r="BA29">
        <v>36.03</v>
      </c>
      <c r="BB29">
        <v>5.35</v>
      </c>
      <c r="BC29">
        <v>1</v>
      </c>
      <c r="BH29">
        <v>0</v>
      </c>
      <c r="BI29">
        <v>1</v>
      </c>
      <c r="BJ29" t="s">
        <v>25</v>
      </c>
      <c r="BM29">
        <v>46003</v>
      </c>
      <c r="BN29">
        <v>0</v>
      </c>
      <c r="BO29" t="s">
        <v>22</v>
      </c>
      <c r="BP29">
        <v>1</v>
      </c>
      <c r="BQ29">
        <v>2</v>
      </c>
      <c r="BR29">
        <v>0</v>
      </c>
      <c r="BS29">
        <v>36.03</v>
      </c>
      <c r="BT29">
        <v>1</v>
      </c>
      <c r="BU29">
        <v>1</v>
      </c>
      <c r="BV29">
        <v>1</v>
      </c>
      <c r="BW29">
        <v>1</v>
      </c>
      <c r="BX29">
        <v>1</v>
      </c>
      <c r="BZ29">
        <v>91</v>
      </c>
      <c r="CA29">
        <v>52</v>
      </c>
      <c r="CE29">
        <v>0</v>
      </c>
      <c r="CF29">
        <v>0</v>
      </c>
      <c r="CG29">
        <v>0</v>
      </c>
      <c r="CM29">
        <v>0</v>
      </c>
      <c r="CO29">
        <v>0</v>
      </c>
      <c r="CP29">
        <f t="shared" si="36"/>
        <v>3345</v>
      </c>
      <c r="CQ29">
        <f t="shared" si="37"/>
        <v>0</v>
      </c>
      <c r="CR29">
        <f t="shared" si="38"/>
        <v>66.982</v>
      </c>
      <c r="CS29">
        <f t="shared" si="39"/>
        <v>0</v>
      </c>
      <c r="CT29">
        <f t="shared" si="40"/>
        <v>2411.1276000000003</v>
      </c>
      <c r="CU29">
        <f t="shared" si="41"/>
        <v>0</v>
      </c>
      <c r="CV29">
        <f t="shared" si="41"/>
        <v>8.58</v>
      </c>
      <c r="CW29">
        <f t="shared" si="41"/>
        <v>0</v>
      </c>
      <c r="CX29">
        <f t="shared" si="41"/>
        <v>0</v>
      </c>
      <c r="CY29">
        <f t="shared" si="42"/>
        <v>2962.05</v>
      </c>
      <c r="CZ29">
        <f t="shared" si="43"/>
        <v>1692.6</v>
      </c>
      <c r="DN29">
        <v>0</v>
      </c>
      <c r="DO29">
        <v>0</v>
      </c>
      <c r="DP29">
        <v>1</v>
      </c>
      <c r="DQ29">
        <v>1</v>
      </c>
      <c r="DU29">
        <v>1005</v>
      </c>
      <c r="DV29" t="s">
        <v>24</v>
      </c>
      <c r="DW29" t="s">
        <v>24</v>
      </c>
      <c r="DX29">
        <v>100</v>
      </c>
      <c r="EE29">
        <v>53507879</v>
      </c>
      <c r="EF29">
        <v>2</v>
      </c>
      <c r="EG29" t="s">
        <v>26</v>
      </c>
      <c r="EH29">
        <v>40</v>
      </c>
      <c r="EI29" t="s">
        <v>27</v>
      </c>
      <c r="EJ29">
        <v>1</v>
      </c>
      <c r="EK29">
        <v>46003</v>
      </c>
      <c r="EL29" t="s">
        <v>28</v>
      </c>
      <c r="EM29" t="s">
        <v>29</v>
      </c>
      <c r="EQ29">
        <v>0</v>
      </c>
      <c r="ER29">
        <v>79.44</v>
      </c>
      <c r="ES29">
        <v>0</v>
      </c>
      <c r="ET29">
        <v>12.52</v>
      </c>
      <c r="EU29">
        <v>0</v>
      </c>
      <c r="EV29">
        <v>66.92</v>
      </c>
      <c r="EW29">
        <v>8.58</v>
      </c>
      <c r="EX29">
        <v>0</v>
      </c>
      <c r="EY29">
        <v>0</v>
      </c>
      <c r="FQ29">
        <v>0</v>
      </c>
      <c r="FR29">
        <f t="shared" si="44"/>
        <v>0</v>
      </c>
      <c r="FS29">
        <v>0</v>
      </c>
      <c r="FX29">
        <v>91</v>
      </c>
      <c r="FY29">
        <v>52</v>
      </c>
      <c r="GD29">
        <v>1</v>
      </c>
      <c r="GF29">
        <v>-1269882818</v>
      </c>
      <c r="GG29">
        <v>2</v>
      </c>
      <c r="GH29">
        <v>1</v>
      </c>
      <c r="GI29">
        <v>2</v>
      </c>
      <c r="GJ29">
        <v>0</v>
      </c>
      <c r="GK29">
        <v>0</v>
      </c>
      <c r="GL29">
        <f t="shared" si="45"/>
        <v>0</v>
      </c>
      <c r="GM29">
        <f t="shared" si="46"/>
        <v>8000</v>
      </c>
      <c r="GN29">
        <f t="shared" si="47"/>
        <v>8000</v>
      </c>
      <c r="GO29">
        <f t="shared" si="48"/>
        <v>0</v>
      </c>
      <c r="GP29">
        <f t="shared" si="49"/>
        <v>0</v>
      </c>
      <c r="GR29">
        <v>0</v>
      </c>
      <c r="GS29">
        <v>0</v>
      </c>
      <c r="GT29">
        <v>0</v>
      </c>
      <c r="GV29">
        <f t="shared" si="50"/>
        <v>0</v>
      </c>
      <c r="GW29">
        <v>1</v>
      </c>
      <c r="GX29">
        <f t="shared" si="51"/>
        <v>0</v>
      </c>
      <c r="HA29">
        <v>0</v>
      </c>
      <c r="HB29">
        <v>0</v>
      </c>
      <c r="HC29">
        <f t="shared" si="52"/>
        <v>0</v>
      </c>
      <c r="HN29" t="s">
        <v>30</v>
      </c>
      <c r="HO29" t="s">
        <v>31</v>
      </c>
      <c r="HP29" t="s">
        <v>28</v>
      </c>
      <c r="HQ29" t="s">
        <v>28</v>
      </c>
      <c r="IK29">
        <v>0</v>
      </c>
    </row>
    <row r="30" spans="1:255" ht="12.75">
      <c r="A30" s="2">
        <v>17</v>
      </c>
      <c r="B30" s="2">
        <v>1</v>
      </c>
      <c r="C30" s="2">
        <f>ROW(SmtRes!A6)</f>
        <v>6</v>
      </c>
      <c r="D30" s="2">
        <f>ROW(EtalonRes!A6)</f>
        <v>6</v>
      </c>
      <c r="E30" s="2" t="s">
        <v>32</v>
      </c>
      <c r="F30" s="2" t="s">
        <v>33</v>
      </c>
      <c r="G30" s="2" t="s">
        <v>34</v>
      </c>
      <c r="H30" s="2" t="s">
        <v>24</v>
      </c>
      <c r="I30" s="2">
        <f>ROUND(2120/100,7)</f>
        <v>21.2</v>
      </c>
      <c r="J30" s="2">
        <v>0</v>
      </c>
      <c r="K30" s="2">
        <f>ROUND(2120/100,7)</f>
        <v>21.2</v>
      </c>
      <c r="L30" s="2"/>
      <c r="M30" s="2"/>
      <c r="N30" s="2"/>
      <c r="O30" s="2">
        <f t="shared" si="21"/>
        <v>3256</v>
      </c>
      <c r="P30" s="2">
        <f t="shared" si="22"/>
        <v>0</v>
      </c>
      <c r="Q30" s="2">
        <f t="shared" si="23"/>
        <v>878</v>
      </c>
      <c r="R30" s="2">
        <f t="shared" si="24"/>
        <v>0</v>
      </c>
      <c r="S30" s="2">
        <f t="shared" si="25"/>
        <v>2378</v>
      </c>
      <c r="T30" s="2">
        <f t="shared" si="26"/>
        <v>0</v>
      </c>
      <c r="U30" s="2">
        <f t="shared" si="27"/>
        <v>304.856</v>
      </c>
      <c r="V30" s="2">
        <f t="shared" si="28"/>
        <v>0</v>
      </c>
      <c r="W30" s="2">
        <f t="shared" si="29"/>
        <v>0</v>
      </c>
      <c r="X30" s="2">
        <f t="shared" si="30"/>
        <v>2449</v>
      </c>
      <c r="Y30" s="2">
        <f t="shared" si="30"/>
        <v>1403</v>
      </c>
      <c r="Z30" s="2"/>
      <c r="AA30" s="2">
        <v>55110074</v>
      </c>
      <c r="AB30" s="2">
        <f t="shared" si="31"/>
        <v>153.59</v>
      </c>
      <c r="AC30" s="2">
        <f>ROUND((ES30),2)</f>
        <v>0</v>
      </c>
      <c r="AD30" s="2">
        <f>ROUND((((ET30)-(EU30))+AE30),2)</f>
        <v>41.43</v>
      </c>
      <c r="AE30" s="2">
        <f t="shared" si="32"/>
        <v>0</v>
      </c>
      <c r="AF30" s="2">
        <f t="shared" si="32"/>
        <v>112.16</v>
      </c>
      <c r="AG30" s="2">
        <f t="shared" si="33"/>
        <v>0</v>
      </c>
      <c r="AH30" s="2">
        <f t="shared" si="34"/>
        <v>14.38</v>
      </c>
      <c r="AI30" s="2">
        <f t="shared" si="34"/>
        <v>0</v>
      </c>
      <c r="AJ30" s="2">
        <f t="shared" si="35"/>
        <v>0</v>
      </c>
      <c r="AK30" s="2">
        <v>153.59</v>
      </c>
      <c r="AL30" s="2">
        <v>0</v>
      </c>
      <c r="AM30" s="2">
        <v>41.43</v>
      </c>
      <c r="AN30" s="2">
        <v>0</v>
      </c>
      <c r="AO30" s="2">
        <v>112.16</v>
      </c>
      <c r="AP30" s="2">
        <v>0</v>
      </c>
      <c r="AQ30" s="2">
        <v>14.38</v>
      </c>
      <c r="AR30" s="2">
        <v>0</v>
      </c>
      <c r="AS30" s="2">
        <v>0</v>
      </c>
      <c r="AT30" s="2">
        <v>103</v>
      </c>
      <c r="AU30" s="2">
        <v>59</v>
      </c>
      <c r="AV30" s="2">
        <v>1</v>
      </c>
      <c r="AW30" s="2">
        <v>1</v>
      </c>
      <c r="AX30" s="2"/>
      <c r="AY30" s="2"/>
      <c r="AZ30" s="2">
        <v>1</v>
      </c>
      <c r="BA30" s="2">
        <v>1</v>
      </c>
      <c r="BB30" s="2">
        <v>1</v>
      </c>
      <c r="BC30" s="2">
        <v>1</v>
      </c>
      <c r="BD30" s="2" t="s">
        <v>3</v>
      </c>
      <c r="BE30" s="2" t="s">
        <v>3</v>
      </c>
      <c r="BF30" s="2" t="s">
        <v>3</v>
      </c>
      <c r="BG30" s="2" t="s">
        <v>3</v>
      </c>
      <c r="BH30" s="2">
        <v>0</v>
      </c>
      <c r="BI30" s="2">
        <v>1</v>
      </c>
      <c r="BJ30" s="2" t="s">
        <v>35</v>
      </c>
      <c r="BK30" s="2"/>
      <c r="BL30" s="2"/>
      <c r="BM30" s="2">
        <v>46001</v>
      </c>
      <c r="BN30" s="2">
        <v>0</v>
      </c>
      <c r="BO30" s="2" t="s">
        <v>3</v>
      </c>
      <c r="BP30" s="2">
        <v>0</v>
      </c>
      <c r="BQ30" s="2">
        <v>2</v>
      </c>
      <c r="BR30" s="2">
        <v>0</v>
      </c>
      <c r="BS30" s="2">
        <v>1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 t="s">
        <v>3</v>
      </c>
      <c r="BZ30" s="2">
        <v>103</v>
      </c>
      <c r="CA30" s="2">
        <v>59</v>
      </c>
      <c r="CB30" s="2" t="s">
        <v>3</v>
      </c>
      <c r="CC30" s="2"/>
      <c r="CD30" s="2"/>
      <c r="CE30" s="2">
        <v>0</v>
      </c>
      <c r="CF30" s="2">
        <v>0</v>
      </c>
      <c r="CG30" s="2">
        <v>0</v>
      </c>
      <c r="CH30" s="2"/>
      <c r="CI30" s="2"/>
      <c r="CJ30" s="2"/>
      <c r="CK30" s="2"/>
      <c r="CL30" s="2"/>
      <c r="CM30" s="2">
        <v>0</v>
      </c>
      <c r="CN30" s="2" t="s">
        <v>3</v>
      </c>
      <c r="CO30" s="2">
        <v>0</v>
      </c>
      <c r="CP30" s="2">
        <f t="shared" si="36"/>
        <v>3256</v>
      </c>
      <c r="CQ30" s="2">
        <f t="shared" si="37"/>
        <v>0</v>
      </c>
      <c r="CR30" s="2">
        <f t="shared" si="38"/>
        <v>41.43</v>
      </c>
      <c r="CS30" s="2">
        <f t="shared" si="39"/>
        <v>0</v>
      </c>
      <c r="CT30" s="2">
        <f t="shared" si="40"/>
        <v>112.16</v>
      </c>
      <c r="CU30" s="2">
        <f t="shared" si="41"/>
        <v>0</v>
      </c>
      <c r="CV30" s="2">
        <f t="shared" si="41"/>
        <v>14.38</v>
      </c>
      <c r="CW30" s="2">
        <f t="shared" si="41"/>
        <v>0</v>
      </c>
      <c r="CX30" s="2">
        <f t="shared" si="41"/>
        <v>0</v>
      </c>
      <c r="CY30" s="2">
        <f t="shared" si="42"/>
        <v>2449.34</v>
      </c>
      <c r="CZ30" s="2">
        <f t="shared" si="43"/>
        <v>1403.02</v>
      </c>
      <c r="DA30" s="2"/>
      <c r="DB30" s="2"/>
      <c r="DC30" s="2" t="s">
        <v>3</v>
      </c>
      <c r="DD30" s="2" t="s">
        <v>3</v>
      </c>
      <c r="DE30" s="2" t="s">
        <v>3</v>
      </c>
      <c r="DF30" s="2" t="s">
        <v>3</v>
      </c>
      <c r="DG30" s="2" t="s">
        <v>3</v>
      </c>
      <c r="DH30" s="2" t="s">
        <v>3</v>
      </c>
      <c r="DI30" s="2" t="s">
        <v>3</v>
      </c>
      <c r="DJ30" s="2" t="s">
        <v>3</v>
      </c>
      <c r="DK30" s="2" t="s">
        <v>3</v>
      </c>
      <c r="DL30" s="2" t="s">
        <v>3</v>
      </c>
      <c r="DM30" s="2" t="s">
        <v>3</v>
      </c>
      <c r="DN30" s="2">
        <v>0</v>
      </c>
      <c r="DO30" s="2">
        <v>0</v>
      </c>
      <c r="DP30" s="2">
        <v>1</v>
      </c>
      <c r="DQ30" s="2">
        <v>1</v>
      </c>
      <c r="DR30" s="2"/>
      <c r="DS30" s="2"/>
      <c r="DT30" s="2"/>
      <c r="DU30" s="2">
        <v>1005</v>
      </c>
      <c r="DV30" s="2" t="s">
        <v>24</v>
      </c>
      <c r="DW30" s="2" t="s">
        <v>24</v>
      </c>
      <c r="DX30" s="2">
        <v>100</v>
      </c>
      <c r="DY30" s="2"/>
      <c r="DZ30" s="2" t="s">
        <v>3</v>
      </c>
      <c r="EA30" s="2" t="s">
        <v>3</v>
      </c>
      <c r="EB30" s="2" t="s">
        <v>3</v>
      </c>
      <c r="EC30" s="2" t="s">
        <v>3</v>
      </c>
      <c r="ED30" s="2"/>
      <c r="EE30" s="2">
        <v>53507673</v>
      </c>
      <c r="EF30" s="2">
        <v>2</v>
      </c>
      <c r="EG30" s="2" t="s">
        <v>26</v>
      </c>
      <c r="EH30" s="2">
        <v>40</v>
      </c>
      <c r="EI30" s="2" t="s">
        <v>27</v>
      </c>
      <c r="EJ30" s="2">
        <v>1</v>
      </c>
      <c r="EK30" s="2">
        <v>46001</v>
      </c>
      <c r="EL30" s="2" t="s">
        <v>36</v>
      </c>
      <c r="EM30" s="2" t="s">
        <v>29</v>
      </c>
      <c r="EN30" s="2"/>
      <c r="EO30" s="2" t="s">
        <v>3</v>
      </c>
      <c r="EP30" s="2"/>
      <c r="EQ30" s="2">
        <v>0</v>
      </c>
      <c r="ER30" s="2">
        <v>153.59</v>
      </c>
      <c r="ES30" s="2">
        <v>0</v>
      </c>
      <c r="ET30" s="2">
        <v>41.43</v>
      </c>
      <c r="EU30" s="2">
        <v>0</v>
      </c>
      <c r="EV30" s="2">
        <v>112.16</v>
      </c>
      <c r="EW30" s="2">
        <v>14.38</v>
      </c>
      <c r="EX30" s="2">
        <v>0</v>
      </c>
      <c r="EY30" s="2">
        <v>0</v>
      </c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0</v>
      </c>
      <c r="FR30" s="2">
        <f t="shared" si="44"/>
        <v>0</v>
      </c>
      <c r="FS30" s="2">
        <v>0</v>
      </c>
      <c r="FT30" s="2"/>
      <c r="FU30" s="2"/>
      <c r="FV30" s="2"/>
      <c r="FW30" s="2"/>
      <c r="FX30" s="2">
        <v>103</v>
      </c>
      <c r="FY30" s="2">
        <v>59</v>
      </c>
      <c r="FZ30" s="2"/>
      <c r="GA30" s="2" t="s">
        <v>3</v>
      </c>
      <c r="GB30" s="2"/>
      <c r="GC30" s="2"/>
      <c r="GD30" s="2">
        <v>1</v>
      </c>
      <c r="GE30" s="2"/>
      <c r="GF30" s="2">
        <v>1518155157</v>
      </c>
      <c r="GG30" s="2">
        <v>2</v>
      </c>
      <c r="GH30" s="2">
        <v>1</v>
      </c>
      <c r="GI30" s="2">
        <v>-2</v>
      </c>
      <c r="GJ30" s="2">
        <v>0</v>
      </c>
      <c r="GK30" s="2">
        <v>0</v>
      </c>
      <c r="GL30" s="2">
        <f t="shared" si="45"/>
        <v>0</v>
      </c>
      <c r="GM30" s="2">
        <f t="shared" si="46"/>
        <v>7108</v>
      </c>
      <c r="GN30" s="2">
        <f t="shared" si="47"/>
        <v>7108</v>
      </c>
      <c r="GO30" s="2">
        <f t="shared" si="48"/>
        <v>0</v>
      </c>
      <c r="GP30" s="2">
        <f t="shared" si="49"/>
        <v>0</v>
      </c>
      <c r="GQ30" s="2"/>
      <c r="GR30" s="2">
        <v>0</v>
      </c>
      <c r="GS30" s="2">
        <v>0</v>
      </c>
      <c r="GT30" s="2">
        <v>0</v>
      </c>
      <c r="GU30" s="2" t="s">
        <v>3</v>
      </c>
      <c r="GV30" s="2">
        <f t="shared" si="50"/>
        <v>0</v>
      </c>
      <c r="GW30" s="2">
        <v>1</v>
      </c>
      <c r="GX30" s="2">
        <f t="shared" si="51"/>
        <v>0</v>
      </c>
      <c r="GY30" s="2"/>
      <c r="GZ30" s="2"/>
      <c r="HA30" s="2">
        <v>0</v>
      </c>
      <c r="HB30" s="2">
        <v>0</v>
      </c>
      <c r="HC30" s="2">
        <f t="shared" si="52"/>
        <v>0</v>
      </c>
      <c r="HD30" s="2"/>
      <c r="HE30" s="2" t="s">
        <v>3</v>
      </c>
      <c r="HF30" s="2" t="s">
        <v>3</v>
      </c>
      <c r="HG30" s="2"/>
      <c r="HH30" s="2"/>
      <c r="HI30" s="2"/>
      <c r="HJ30" s="2"/>
      <c r="HK30" s="2"/>
      <c r="HL30" s="2"/>
      <c r="HM30" s="2" t="s">
        <v>3</v>
      </c>
      <c r="HN30" s="2" t="s">
        <v>37</v>
      </c>
      <c r="HO30" s="2" t="s">
        <v>38</v>
      </c>
      <c r="HP30" s="2" t="s">
        <v>36</v>
      </c>
      <c r="HQ30" s="2" t="s">
        <v>36</v>
      </c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>
        <v>0</v>
      </c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45" ht="12.75">
      <c r="A31">
        <v>17</v>
      </c>
      <c r="B31">
        <v>1</v>
      </c>
      <c r="C31">
        <f>ROW(SmtRes!A8)</f>
        <v>8</v>
      </c>
      <c r="D31">
        <f>ROW(EtalonRes!A8)</f>
        <v>8</v>
      </c>
      <c r="E31" t="s">
        <v>32</v>
      </c>
      <c r="F31" t="s">
        <v>33</v>
      </c>
      <c r="G31" t="s">
        <v>34</v>
      </c>
      <c r="H31" t="s">
        <v>24</v>
      </c>
      <c r="I31">
        <f>ROUND(2120/100,7)</f>
        <v>21.2</v>
      </c>
      <c r="J31">
        <v>0</v>
      </c>
      <c r="K31">
        <f>ROUND(2120/100,7)</f>
        <v>21.2</v>
      </c>
      <c r="O31">
        <f t="shared" si="21"/>
        <v>90371</v>
      </c>
      <c r="P31">
        <f t="shared" si="22"/>
        <v>0</v>
      </c>
      <c r="Q31">
        <f t="shared" si="23"/>
        <v>4699</v>
      </c>
      <c r="R31">
        <f t="shared" si="24"/>
        <v>0</v>
      </c>
      <c r="S31">
        <f t="shared" si="25"/>
        <v>85672</v>
      </c>
      <c r="T31">
        <f t="shared" si="26"/>
        <v>0</v>
      </c>
      <c r="U31">
        <f t="shared" si="27"/>
        <v>304.856</v>
      </c>
      <c r="V31">
        <f t="shared" si="28"/>
        <v>0</v>
      </c>
      <c r="W31">
        <f t="shared" si="29"/>
        <v>0</v>
      </c>
      <c r="X31">
        <f t="shared" si="30"/>
        <v>88242</v>
      </c>
      <c r="Y31">
        <f t="shared" si="30"/>
        <v>50546</v>
      </c>
      <c r="AA31">
        <v>55110083</v>
      </c>
      <c r="AB31">
        <f t="shared" si="31"/>
        <v>153.59</v>
      </c>
      <c r="AC31">
        <f>ROUND((ES31),2)</f>
        <v>0</v>
      </c>
      <c r="AD31">
        <f>ROUND((((ET31)-(EU31))+AE31),2)</f>
        <v>41.43</v>
      </c>
      <c r="AE31">
        <f t="shared" si="32"/>
        <v>0</v>
      </c>
      <c r="AF31">
        <f t="shared" si="32"/>
        <v>112.16</v>
      </c>
      <c r="AG31">
        <f t="shared" si="33"/>
        <v>0</v>
      </c>
      <c r="AH31">
        <f t="shared" si="34"/>
        <v>14.38</v>
      </c>
      <c r="AI31">
        <f t="shared" si="34"/>
        <v>0</v>
      </c>
      <c r="AJ31">
        <f t="shared" si="35"/>
        <v>0</v>
      </c>
      <c r="AK31">
        <v>153.59</v>
      </c>
      <c r="AL31">
        <v>0</v>
      </c>
      <c r="AM31">
        <v>41.43</v>
      </c>
      <c r="AN31">
        <v>0</v>
      </c>
      <c r="AO31">
        <v>112.16</v>
      </c>
      <c r="AP31">
        <v>0</v>
      </c>
      <c r="AQ31">
        <v>14.38</v>
      </c>
      <c r="AR31">
        <v>0</v>
      </c>
      <c r="AS31">
        <v>0</v>
      </c>
      <c r="AT31">
        <v>103</v>
      </c>
      <c r="AU31">
        <v>59</v>
      </c>
      <c r="AV31">
        <v>1</v>
      </c>
      <c r="AW31">
        <v>1</v>
      </c>
      <c r="AZ31">
        <v>1</v>
      </c>
      <c r="BA31">
        <v>36.03</v>
      </c>
      <c r="BB31">
        <v>5.35</v>
      </c>
      <c r="BC31">
        <v>1</v>
      </c>
      <c r="BH31">
        <v>0</v>
      </c>
      <c r="BI31">
        <v>1</v>
      </c>
      <c r="BJ31" t="s">
        <v>35</v>
      </c>
      <c r="BM31">
        <v>46001</v>
      </c>
      <c r="BN31">
        <v>0</v>
      </c>
      <c r="BO31" t="s">
        <v>33</v>
      </c>
      <c r="BP31">
        <v>1</v>
      </c>
      <c r="BQ31">
        <v>2</v>
      </c>
      <c r="BR31">
        <v>0</v>
      </c>
      <c r="BS31">
        <v>36.03</v>
      </c>
      <c r="BT31">
        <v>1</v>
      </c>
      <c r="BU31">
        <v>1</v>
      </c>
      <c r="BV31">
        <v>1</v>
      </c>
      <c r="BW31">
        <v>1</v>
      </c>
      <c r="BX31">
        <v>1</v>
      </c>
      <c r="BZ31">
        <v>103</v>
      </c>
      <c r="CA31">
        <v>59</v>
      </c>
      <c r="CE31">
        <v>0</v>
      </c>
      <c r="CF31">
        <v>0</v>
      </c>
      <c r="CG31">
        <v>0</v>
      </c>
      <c r="CM31">
        <v>0</v>
      </c>
      <c r="CO31">
        <v>0</v>
      </c>
      <c r="CP31">
        <f t="shared" si="36"/>
        <v>90371</v>
      </c>
      <c r="CQ31">
        <f t="shared" si="37"/>
        <v>0</v>
      </c>
      <c r="CR31">
        <f t="shared" si="38"/>
        <v>221.6505</v>
      </c>
      <c r="CS31">
        <f t="shared" si="39"/>
        <v>0</v>
      </c>
      <c r="CT31">
        <f t="shared" si="40"/>
        <v>4041.1248</v>
      </c>
      <c r="CU31">
        <f t="shared" si="41"/>
        <v>0</v>
      </c>
      <c r="CV31">
        <f t="shared" si="41"/>
        <v>14.38</v>
      </c>
      <c r="CW31">
        <f t="shared" si="41"/>
        <v>0</v>
      </c>
      <c r="CX31">
        <f t="shared" si="41"/>
        <v>0</v>
      </c>
      <c r="CY31">
        <f t="shared" si="42"/>
        <v>88242.16</v>
      </c>
      <c r="CZ31">
        <f t="shared" si="43"/>
        <v>50546.48</v>
      </c>
      <c r="DN31">
        <v>0</v>
      </c>
      <c r="DO31">
        <v>0</v>
      </c>
      <c r="DP31">
        <v>1</v>
      </c>
      <c r="DQ31">
        <v>1</v>
      </c>
      <c r="DU31">
        <v>1005</v>
      </c>
      <c r="DV31" t="s">
        <v>24</v>
      </c>
      <c r="DW31" t="s">
        <v>24</v>
      </c>
      <c r="DX31">
        <v>100</v>
      </c>
      <c r="EE31">
        <v>53507673</v>
      </c>
      <c r="EF31">
        <v>2</v>
      </c>
      <c r="EG31" t="s">
        <v>26</v>
      </c>
      <c r="EH31">
        <v>40</v>
      </c>
      <c r="EI31" t="s">
        <v>27</v>
      </c>
      <c r="EJ31">
        <v>1</v>
      </c>
      <c r="EK31">
        <v>46001</v>
      </c>
      <c r="EL31" t="s">
        <v>36</v>
      </c>
      <c r="EM31" t="s">
        <v>29</v>
      </c>
      <c r="EQ31">
        <v>0</v>
      </c>
      <c r="ER31">
        <v>153.59</v>
      </c>
      <c r="ES31">
        <v>0</v>
      </c>
      <c r="ET31">
        <v>41.43</v>
      </c>
      <c r="EU31">
        <v>0</v>
      </c>
      <c r="EV31">
        <v>112.16</v>
      </c>
      <c r="EW31">
        <v>14.38</v>
      </c>
      <c r="EX31">
        <v>0</v>
      </c>
      <c r="EY31">
        <v>0</v>
      </c>
      <c r="FQ31">
        <v>0</v>
      </c>
      <c r="FR31">
        <f t="shared" si="44"/>
        <v>0</v>
      </c>
      <c r="FS31">
        <v>0</v>
      </c>
      <c r="FX31">
        <v>103</v>
      </c>
      <c r="FY31">
        <v>59</v>
      </c>
      <c r="GD31">
        <v>1</v>
      </c>
      <c r="GF31">
        <v>1518155157</v>
      </c>
      <c r="GG31">
        <v>2</v>
      </c>
      <c r="GH31">
        <v>1</v>
      </c>
      <c r="GI31">
        <v>2</v>
      </c>
      <c r="GJ31">
        <v>0</v>
      </c>
      <c r="GK31">
        <v>0</v>
      </c>
      <c r="GL31">
        <f t="shared" si="45"/>
        <v>0</v>
      </c>
      <c r="GM31">
        <f t="shared" si="46"/>
        <v>229159</v>
      </c>
      <c r="GN31">
        <f t="shared" si="47"/>
        <v>229159</v>
      </c>
      <c r="GO31">
        <f t="shared" si="48"/>
        <v>0</v>
      </c>
      <c r="GP31">
        <f t="shared" si="49"/>
        <v>0</v>
      </c>
      <c r="GR31">
        <v>0</v>
      </c>
      <c r="GS31">
        <v>0</v>
      </c>
      <c r="GT31">
        <v>0</v>
      </c>
      <c r="GV31">
        <f t="shared" si="50"/>
        <v>0</v>
      </c>
      <c r="GW31">
        <v>1</v>
      </c>
      <c r="GX31">
        <f t="shared" si="51"/>
        <v>0</v>
      </c>
      <c r="HA31">
        <v>0</v>
      </c>
      <c r="HB31">
        <v>0</v>
      </c>
      <c r="HC31">
        <f t="shared" si="52"/>
        <v>0</v>
      </c>
      <c r="HN31" t="s">
        <v>37</v>
      </c>
      <c r="HO31" t="s">
        <v>38</v>
      </c>
      <c r="HP31" t="s">
        <v>36</v>
      </c>
      <c r="HQ31" t="s">
        <v>36</v>
      </c>
      <c r="IK31">
        <v>0</v>
      </c>
    </row>
    <row r="32" spans="1:255" ht="12.75">
      <c r="A32" s="2">
        <v>17</v>
      </c>
      <c r="B32" s="2">
        <v>1</v>
      </c>
      <c r="C32" s="2">
        <f>ROW(SmtRes!A13)</f>
        <v>13</v>
      </c>
      <c r="D32" s="2">
        <f>ROW(EtalonRes!A14)</f>
        <v>14</v>
      </c>
      <c r="E32" s="2" t="s">
        <v>39</v>
      </c>
      <c r="F32" s="2" t="s">
        <v>40</v>
      </c>
      <c r="G32" s="2" t="s">
        <v>41</v>
      </c>
      <c r="H32" s="2" t="s">
        <v>24</v>
      </c>
      <c r="I32" s="2">
        <f>ROUND(1110/100,7)</f>
        <v>11.1</v>
      </c>
      <c r="J32" s="2">
        <v>0</v>
      </c>
      <c r="K32" s="2">
        <f>ROUND(1110/100,7)</f>
        <v>11.1</v>
      </c>
      <c r="L32" s="2"/>
      <c r="M32" s="2"/>
      <c r="N32" s="2"/>
      <c r="O32" s="2">
        <f t="shared" si="21"/>
        <v>2897</v>
      </c>
      <c r="P32" s="2">
        <f t="shared" si="22"/>
        <v>0</v>
      </c>
      <c r="Q32" s="2">
        <f t="shared" si="23"/>
        <v>387</v>
      </c>
      <c r="R32" s="2">
        <f t="shared" si="24"/>
        <v>152</v>
      </c>
      <c r="S32" s="2">
        <f t="shared" si="25"/>
        <v>2510</v>
      </c>
      <c r="T32" s="2">
        <f t="shared" si="26"/>
        <v>0</v>
      </c>
      <c r="U32" s="2">
        <f t="shared" si="27"/>
        <v>316.12800000000004</v>
      </c>
      <c r="V32" s="2">
        <f t="shared" si="28"/>
        <v>11.2776</v>
      </c>
      <c r="W32" s="2">
        <f t="shared" si="29"/>
        <v>0</v>
      </c>
      <c r="X32" s="2">
        <f t="shared" si="30"/>
        <v>2981</v>
      </c>
      <c r="Y32" s="2">
        <f t="shared" si="30"/>
        <v>1730</v>
      </c>
      <c r="Z32" s="2"/>
      <c r="AA32" s="2">
        <v>55110074</v>
      </c>
      <c r="AB32" s="2">
        <f t="shared" si="31"/>
        <v>261.02</v>
      </c>
      <c r="AC32" s="2">
        <f>ROUND(((ES32*ROUND(0,7))),2)</f>
        <v>0</v>
      </c>
      <c r="AD32" s="2">
        <f>ROUND(((((ET32*ROUND(0.8,7)))-((EU32*ROUND(0.8,7))))+AE32),2)</f>
        <v>34.89</v>
      </c>
      <c r="AE32" s="2">
        <f>ROUND(((EU32*ROUND(0.8,7))),2)</f>
        <v>13.72</v>
      </c>
      <c r="AF32" s="2">
        <f>ROUND(((EV32*ROUND(0.8,7))),2)</f>
        <v>226.13</v>
      </c>
      <c r="AG32" s="2">
        <f t="shared" si="33"/>
        <v>0</v>
      </c>
      <c r="AH32" s="2">
        <f>((EW32*ROUND(0.8,7)))</f>
        <v>28.480000000000004</v>
      </c>
      <c r="AI32" s="2">
        <f>((EX32*ROUND(0.8,7)))</f>
        <v>1.016</v>
      </c>
      <c r="AJ32" s="2">
        <f t="shared" si="35"/>
        <v>0</v>
      </c>
      <c r="AK32" s="2">
        <v>334.81</v>
      </c>
      <c r="AL32" s="2">
        <v>8.54</v>
      </c>
      <c r="AM32" s="2">
        <v>43.61</v>
      </c>
      <c r="AN32" s="2">
        <v>17.15</v>
      </c>
      <c r="AO32" s="2">
        <v>282.66</v>
      </c>
      <c r="AP32" s="2">
        <v>0</v>
      </c>
      <c r="AQ32" s="2">
        <v>35.6</v>
      </c>
      <c r="AR32" s="2">
        <v>1.27</v>
      </c>
      <c r="AS32" s="2">
        <v>0</v>
      </c>
      <c r="AT32" s="2">
        <v>112</v>
      </c>
      <c r="AU32" s="2">
        <v>65</v>
      </c>
      <c r="AV32" s="2">
        <v>1</v>
      </c>
      <c r="AW32" s="2">
        <v>1</v>
      </c>
      <c r="AX32" s="2"/>
      <c r="AY32" s="2"/>
      <c r="AZ32" s="2">
        <v>1</v>
      </c>
      <c r="BA32" s="2">
        <v>1</v>
      </c>
      <c r="BB32" s="2">
        <v>1</v>
      </c>
      <c r="BC32" s="2">
        <v>1</v>
      </c>
      <c r="BD32" s="2" t="s">
        <v>3</v>
      </c>
      <c r="BE32" s="2" t="s">
        <v>3</v>
      </c>
      <c r="BF32" s="2" t="s">
        <v>3</v>
      </c>
      <c r="BG32" s="2" t="s">
        <v>3</v>
      </c>
      <c r="BH32" s="2">
        <v>0</v>
      </c>
      <c r="BI32" s="2">
        <v>1</v>
      </c>
      <c r="BJ32" s="2" t="s">
        <v>42</v>
      </c>
      <c r="BK32" s="2"/>
      <c r="BL32" s="2"/>
      <c r="BM32" s="2">
        <v>11001</v>
      </c>
      <c r="BN32" s="2">
        <v>0</v>
      </c>
      <c r="BO32" s="2" t="s">
        <v>3</v>
      </c>
      <c r="BP32" s="2">
        <v>0</v>
      </c>
      <c r="BQ32" s="2">
        <v>2</v>
      </c>
      <c r="BR32" s="2">
        <v>0</v>
      </c>
      <c r="BS32" s="2">
        <v>1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 t="s">
        <v>3</v>
      </c>
      <c r="BZ32" s="2">
        <v>112</v>
      </c>
      <c r="CA32" s="2">
        <v>65</v>
      </c>
      <c r="CB32" s="2" t="s">
        <v>3</v>
      </c>
      <c r="CC32" s="2"/>
      <c r="CD32" s="2"/>
      <c r="CE32" s="2">
        <v>0</v>
      </c>
      <c r="CF32" s="2">
        <v>0</v>
      </c>
      <c r="CG32" s="2">
        <v>0</v>
      </c>
      <c r="CH32" s="2"/>
      <c r="CI32" s="2"/>
      <c r="CJ32" s="2"/>
      <c r="CK32" s="2"/>
      <c r="CL32" s="2"/>
      <c r="CM32" s="2">
        <v>0</v>
      </c>
      <c r="CN32" s="2" t="s">
        <v>43</v>
      </c>
      <c r="CO32" s="2">
        <v>0</v>
      </c>
      <c r="CP32" s="2">
        <f t="shared" si="36"/>
        <v>2897</v>
      </c>
      <c r="CQ32" s="2">
        <f t="shared" si="37"/>
        <v>0</v>
      </c>
      <c r="CR32" s="2">
        <f t="shared" si="38"/>
        <v>34.89</v>
      </c>
      <c r="CS32" s="2">
        <f t="shared" si="39"/>
        <v>13.72</v>
      </c>
      <c r="CT32" s="2">
        <f t="shared" si="40"/>
        <v>226.13</v>
      </c>
      <c r="CU32" s="2">
        <f t="shared" si="41"/>
        <v>0</v>
      </c>
      <c r="CV32" s="2">
        <f t="shared" si="41"/>
        <v>28.480000000000004</v>
      </c>
      <c r="CW32" s="2">
        <f t="shared" si="41"/>
        <v>1.016</v>
      </c>
      <c r="CX32" s="2">
        <f t="shared" si="41"/>
        <v>0</v>
      </c>
      <c r="CY32" s="2">
        <f t="shared" si="42"/>
        <v>2981.44</v>
      </c>
      <c r="CZ32" s="2">
        <f t="shared" si="43"/>
        <v>1730.3</v>
      </c>
      <c r="DA32" s="2"/>
      <c r="DB32" s="2"/>
      <c r="DC32" s="2" t="s">
        <v>3</v>
      </c>
      <c r="DD32" s="2" t="s">
        <v>44</v>
      </c>
      <c r="DE32" s="2" t="s">
        <v>45</v>
      </c>
      <c r="DF32" s="2" t="s">
        <v>45</v>
      </c>
      <c r="DG32" s="2" t="s">
        <v>45</v>
      </c>
      <c r="DH32" s="2" t="s">
        <v>3</v>
      </c>
      <c r="DI32" s="2" t="s">
        <v>45</v>
      </c>
      <c r="DJ32" s="2" t="s">
        <v>45</v>
      </c>
      <c r="DK32" s="2" t="s">
        <v>3</v>
      </c>
      <c r="DL32" s="2" t="s">
        <v>3</v>
      </c>
      <c r="DM32" s="2" t="s">
        <v>3</v>
      </c>
      <c r="DN32" s="2">
        <v>0</v>
      </c>
      <c r="DO32" s="2">
        <v>0</v>
      </c>
      <c r="DP32" s="2">
        <v>1</v>
      </c>
      <c r="DQ32" s="2">
        <v>1</v>
      </c>
      <c r="DR32" s="2"/>
      <c r="DS32" s="2"/>
      <c r="DT32" s="2"/>
      <c r="DU32" s="2">
        <v>1005</v>
      </c>
      <c r="DV32" s="2" t="s">
        <v>24</v>
      </c>
      <c r="DW32" s="2" t="s">
        <v>24</v>
      </c>
      <c r="DX32" s="2">
        <v>100</v>
      </c>
      <c r="DY32" s="2"/>
      <c r="DZ32" s="2" t="s">
        <v>3</v>
      </c>
      <c r="EA32" s="2" t="s">
        <v>3</v>
      </c>
      <c r="EB32" s="2" t="s">
        <v>3</v>
      </c>
      <c r="EC32" s="2" t="s">
        <v>3</v>
      </c>
      <c r="ED32" s="2"/>
      <c r="EE32" s="2">
        <v>53507572</v>
      </c>
      <c r="EF32" s="2">
        <v>2</v>
      </c>
      <c r="EG32" s="2" t="s">
        <v>26</v>
      </c>
      <c r="EH32" s="2">
        <v>11</v>
      </c>
      <c r="EI32" s="2" t="s">
        <v>46</v>
      </c>
      <c r="EJ32" s="2">
        <v>1</v>
      </c>
      <c r="EK32" s="2">
        <v>11001</v>
      </c>
      <c r="EL32" s="2" t="s">
        <v>46</v>
      </c>
      <c r="EM32" s="2" t="s">
        <v>47</v>
      </c>
      <c r="EN32" s="2"/>
      <c r="EO32" s="2" t="s">
        <v>48</v>
      </c>
      <c r="EP32" s="2"/>
      <c r="EQ32" s="2">
        <v>0</v>
      </c>
      <c r="ER32" s="2">
        <v>334.81</v>
      </c>
      <c r="ES32" s="2">
        <v>8.54</v>
      </c>
      <c r="ET32" s="2">
        <v>43.61</v>
      </c>
      <c r="EU32" s="2">
        <v>17.15</v>
      </c>
      <c r="EV32" s="2">
        <v>282.66</v>
      </c>
      <c r="EW32" s="2">
        <v>35.6</v>
      </c>
      <c r="EX32" s="2">
        <v>1.27</v>
      </c>
      <c r="EY32" s="2">
        <v>0</v>
      </c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>
        <v>0</v>
      </c>
      <c r="FR32" s="2">
        <f t="shared" si="44"/>
        <v>0</v>
      </c>
      <c r="FS32" s="2">
        <v>0</v>
      </c>
      <c r="FT32" s="2"/>
      <c r="FU32" s="2"/>
      <c r="FV32" s="2"/>
      <c r="FW32" s="2"/>
      <c r="FX32" s="2">
        <v>112</v>
      </c>
      <c r="FY32" s="2">
        <v>65</v>
      </c>
      <c r="FZ32" s="2"/>
      <c r="GA32" s="2" t="s">
        <v>3</v>
      </c>
      <c r="GB32" s="2"/>
      <c r="GC32" s="2"/>
      <c r="GD32" s="2">
        <v>1</v>
      </c>
      <c r="GE32" s="2"/>
      <c r="GF32" s="2">
        <v>-1213530977</v>
      </c>
      <c r="GG32" s="2">
        <v>2</v>
      </c>
      <c r="GH32" s="2">
        <v>1</v>
      </c>
      <c r="GI32" s="2">
        <v>-2</v>
      </c>
      <c r="GJ32" s="2">
        <v>0</v>
      </c>
      <c r="GK32" s="2">
        <v>0</v>
      </c>
      <c r="GL32" s="2">
        <f t="shared" si="45"/>
        <v>0</v>
      </c>
      <c r="GM32" s="2">
        <f t="shared" si="46"/>
        <v>7608</v>
      </c>
      <c r="GN32" s="2">
        <f t="shared" si="47"/>
        <v>7608</v>
      </c>
      <c r="GO32" s="2">
        <f t="shared" si="48"/>
        <v>0</v>
      </c>
      <c r="GP32" s="2">
        <f t="shared" si="49"/>
        <v>0</v>
      </c>
      <c r="GQ32" s="2"/>
      <c r="GR32" s="2">
        <v>0</v>
      </c>
      <c r="GS32" s="2">
        <v>0</v>
      </c>
      <c r="GT32" s="2">
        <v>0</v>
      </c>
      <c r="GU32" s="2" t="s">
        <v>3</v>
      </c>
      <c r="GV32" s="2">
        <f t="shared" si="50"/>
        <v>0</v>
      </c>
      <c r="GW32" s="2">
        <v>1</v>
      </c>
      <c r="GX32" s="2">
        <f t="shared" si="51"/>
        <v>0</v>
      </c>
      <c r="GY32" s="2"/>
      <c r="GZ32" s="2"/>
      <c r="HA32" s="2">
        <v>0</v>
      </c>
      <c r="HB32" s="2">
        <v>0</v>
      </c>
      <c r="HC32" s="2">
        <f t="shared" si="52"/>
        <v>0</v>
      </c>
      <c r="HD32" s="2"/>
      <c r="HE32" s="2" t="s">
        <v>3</v>
      </c>
      <c r="HF32" s="2" t="s">
        <v>3</v>
      </c>
      <c r="HG32" s="2"/>
      <c r="HH32" s="2"/>
      <c r="HI32" s="2"/>
      <c r="HJ32" s="2"/>
      <c r="HK32" s="2"/>
      <c r="HL32" s="2"/>
      <c r="HM32" s="2" t="s">
        <v>3</v>
      </c>
      <c r="HN32" s="2" t="s">
        <v>49</v>
      </c>
      <c r="HO32" s="2" t="s">
        <v>50</v>
      </c>
      <c r="HP32" s="2" t="s">
        <v>46</v>
      </c>
      <c r="HQ32" s="2" t="s">
        <v>46</v>
      </c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>
        <v>0</v>
      </c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45" ht="12.75">
      <c r="A33">
        <v>17</v>
      </c>
      <c r="B33">
        <v>1</v>
      </c>
      <c r="C33">
        <f>ROW(SmtRes!A18)</f>
        <v>18</v>
      </c>
      <c r="D33">
        <f>ROW(EtalonRes!A20)</f>
        <v>20</v>
      </c>
      <c r="E33" t="s">
        <v>39</v>
      </c>
      <c r="F33" t="s">
        <v>40</v>
      </c>
      <c r="G33" t="s">
        <v>41</v>
      </c>
      <c r="H33" t="s">
        <v>24</v>
      </c>
      <c r="I33">
        <f>ROUND(1110/100,7)</f>
        <v>11.1</v>
      </c>
      <c r="J33">
        <v>0</v>
      </c>
      <c r="K33">
        <f>ROUND(1110/100,7)</f>
        <v>11.1</v>
      </c>
      <c r="O33">
        <f t="shared" si="21"/>
        <v>96664</v>
      </c>
      <c r="P33">
        <f t="shared" si="22"/>
        <v>0</v>
      </c>
      <c r="Q33">
        <f t="shared" si="23"/>
        <v>6227</v>
      </c>
      <c r="R33">
        <f t="shared" si="24"/>
        <v>5487</v>
      </c>
      <c r="S33">
        <f t="shared" si="25"/>
        <v>90437</v>
      </c>
      <c r="T33">
        <f t="shared" si="26"/>
        <v>0</v>
      </c>
      <c r="U33">
        <f t="shared" si="27"/>
        <v>316.12800000000004</v>
      </c>
      <c r="V33">
        <f t="shared" si="28"/>
        <v>11.2776</v>
      </c>
      <c r="W33">
        <f t="shared" si="29"/>
        <v>0</v>
      </c>
      <c r="X33">
        <f t="shared" si="30"/>
        <v>107435</v>
      </c>
      <c r="Y33">
        <f t="shared" si="30"/>
        <v>62351</v>
      </c>
      <c r="AA33">
        <v>55110083</v>
      </c>
      <c r="AB33">
        <f t="shared" si="31"/>
        <v>261.02</v>
      </c>
      <c r="AC33">
        <f>ROUND(((ES33*ROUND(0,7))),2)</f>
        <v>0</v>
      </c>
      <c r="AD33">
        <f>ROUND(((((ET33*ROUND(0.8,7)))-((EU33*ROUND(0.8,7))))+AE33),2)</f>
        <v>34.89</v>
      </c>
      <c r="AE33">
        <f>ROUND(((EU33*ROUND(0.8,7))),2)</f>
        <v>13.72</v>
      </c>
      <c r="AF33">
        <f>ROUND(((EV33*ROUND(0.8,7))),2)</f>
        <v>226.13</v>
      </c>
      <c r="AG33">
        <f t="shared" si="33"/>
        <v>0</v>
      </c>
      <c r="AH33">
        <f>((EW33*ROUND(0.8,7)))</f>
        <v>28.480000000000004</v>
      </c>
      <c r="AI33">
        <f>((EX33*ROUND(0.8,7)))</f>
        <v>1.016</v>
      </c>
      <c r="AJ33">
        <f t="shared" si="35"/>
        <v>0</v>
      </c>
      <c r="AK33">
        <v>334.81</v>
      </c>
      <c r="AL33">
        <v>8.54</v>
      </c>
      <c r="AM33">
        <v>43.61</v>
      </c>
      <c r="AN33">
        <v>17.15</v>
      </c>
      <c r="AO33">
        <v>282.66</v>
      </c>
      <c r="AP33">
        <v>0</v>
      </c>
      <c r="AQ33">
        <v>35.6</v>
      </c>
      <c r="AR33">
        <v>1.27</v>
      </c>
      <c r="AS33">
        <v>0</v>
      </c>
      <c r="AT33">
        <v>112</v>
      </c>
      <c r="AU33">
        <v>65</v>
      </c>
      <c r="AV33">
        <v>1</v>
      </c>
      <c r="AW33">
        <v>1</v>
      </c>
      <c r="AZ33">
        <v>1</v>
      </c>
      <c r="BA33">
        <v>36.03</v>
      </c>
      <c r="BB33">
        <v>16.08</v>
      </c>
      <c r="BC33">
        <v>14.7</v>
      </c>
      <c r="BH33">
        <v>0</v>
      </c>
      <c r="BI33">
        <v>1</v>
      </c>
      <c r="BJ33" t="s">
        <v>42</v>
      </c>
      <c r="BM33">
        <v>11001</v>
      </c>
      <c r="BN33">
        <v>0</v>
      </c>
      <c r="BO33" t="s">
        <v>40</v>
      </c>
      <c r="BP33">
        <v>1</v>
      </c>
      <c r="BQ33">
        <v>2</v>
      </c>
      <c r="BR33">
        <v>0</v>
      </c>
      <c r="BS33">
        <v>36.03</v>
      </c>
      <c r="BT33">
        <v>1</v>
      </c>
      <c r="BU33">
        <v>1</v>
      </c>
      <c r="BV33">
        <v>1</v>
      </c>
      <c r="BW33">
        <v>1</v>
      </c>
      <c r="BX33">
        <v>1</v>
      </c>
      <c r="BZ33">
        <v>112</v>
      </c>
      <c r="CA33">
        <v>65</v>
      </c>
      <c r="CE33">
        <v>0</v>
      </c>
      <c r="CF33">
        <v>0</v>
      </c>
      <c r="CG33">
        <v>0</v>
      </c>
      <c r="CM33">
        <v>0</v>
      </c>
      <c r="CN33" t="s">
        <v>43</v>
      </c>
      <c r="CO33">
        <v>0</v>
      </c>
      <c r="CP33">
        <f t="shared" si="36"/>
        <v>96664</v>
      </c>
      <c r="CQ33">
        <f t="shared" si="37"/>
        <v>0</v>
      </c>
      <c r="CR33">
        <f t="shared" si="38"/>
        <v>561.0311999999999</v>
      </c>
      <c r="CS33">
        <f t="shared" si="39"/>
        <v>494.33160000000004</v>
      </c>
      <c r="CT33">
        <f t="shared" si="40"/>
        <v>8147.4639</v>
      </c>
      <c r="CU33">
        <f t="shared" si="41"/>
        <v>0</v>
      </c>
      <c r="CV33">
        <f t="shared" si="41"/>
        <v>28.480000000000004</v>
      </c>
      <c r="CW33">
        <f t="shared" si="41"/>
        <v>1.016</v>
      </c>
      <c r="CX33">
        <f t="shared" si="41"/>
        <v>0</v>
      </c>
      <c r="CY33">
        <f t="shared" si="42"/>
        <v>107434.88</v>
      </c>
      <c r="CZ33">
        <f t="shared" si="43"/>
        <v>62350.6</v>
      </c>
      <c r="DD33" t="s">
        <v>44</v>
      </c>
      <c r="DE33" t="s">
        <v>45</v>
      </c>
      <c r="DF33" t="s">
        <v>45</v>
      </c>
      <c r="DG33" t="s">
        <v>45</v>
      </c>
      <c r="DI33" t="s">
        <v>45</v>
      </c>
      <c r="DJ33" t="s">
        <v>45</v>
      </c>
      <c r="DN33">
        <v>0</v>
      </c>
      <c r="DO33">
        <v>0</v>
      </c>
      <c r="DP33">
        <v>1</v>
      </c>
      <c r="DQ33">
        <v>1</v>
      </c>
      <c r="DU33">
        <v>1005</v>
      </c>
      <c r="DV33" t="s">
        <v>24</v>
      </c>
      <c r="DW33" t="s">
        <v>24</v>
      </c>
      <c r="DX33">
        <v>100</v>
      </c>
      <c r="EE33">
        <v>53507572</v>
      </c>
      <c r="EF33">
        <v>2</v>
      </c>
      <c r="EG33" t="s">
        <v>26</v>
      </c>
      <c r="EH33">
        <v>11</v>
      </c>
      <c r="EI33" t="s">
        <v>46</v>
      </c>
      <c r="EJ33">
        <v>1</v>
      </c>
      <c r="EK33">
        <v>11001</v>
      </c>
      <c r="EL33" t="s">
        <v>46</v>
      </c>
      <c r="EM33" t="s">
        <v>47</v>
      </c>
      <c r="EO33" t="s">
        <v>48</v>
      </c>
      <c r="EQ33">
        <v>0</v>
      </c>
      <c r="ER33">
        <v>334.81</v>
      </c>
      <c r="ES33">
        <v>8.54</v>
      </c>
      <c r="ET33">
        <v>43.61</v>
      </c>
      <c r="EU33">
        <v>17.15</v>
      </c>
      <c r="EV33">
        <v>282.66</v>
      </c>
      <c r="EW33">
        <v>35.6</v>
      </c>
      <c r="EX33">
        <v>1.27</v>
      </c>
      <c r="EY33">
        <v>0</v>
      </c>
      <c r="FQ33">
        <v>0</v>
      </c>
      <c r="FR33">
        <f t="shared" si="44"/>
        <v>0</v>
      </c>
      <c r="FS33">
        <v>0</v>
      </c>
      <c r="FX33">
        <v>112</v>
      </c>
      <c r="FY33">
        <v>65</v>
      </c>
      <c r="GD33">
        <v>1</v>
      </c>
      <c r="GF33">
        <v>-1213530977</v>
      </c>
      <c r="GG33">
        <v>2</v>
      </c>
      <c r="GH33">
        <v>1</v>
      </c>
      <c r="GI33">
        <v>2</v>
      </c>
      <c r="GJ33">
        <v>0</v>
      </c>
      <c r="GK33">
        <v>0</v>
      </c>
      <c r="GL33">
        <f t="shared" si="45"/>
        <v>0</v>
      </c>
      <c r="GM33">
        <f t="shared" si="46"/>
        <v>266450</v>
      </c>
      <c r="GN33">
        <f t="shared" si="47"/>
        <v>266450</v>
      </c>
      <c r="GO33">
        <f t="shared" si="48"/>
        <v>0</v>
      </c>
      <c r="GP33">
        <f t="shared" si="49"/>
        <v>0</v>
      </c>
      <c r="GR33">
        <v>0</v>
      </c>
      <c r="GS33">
        <v>0</v>
      </c>
      <c r="GT33">
        <v>0</v>
      </c>
      <c r="GV33">
        <f t="shared" si="50"/>
        <v>0</v>
      </c>
      <c r="GW33">
        <v>1</v>
      </c>
      <c r="GX33">
        <f t="shared" si="51"/>
        <v>0</v>
      </c>
      <c r="HA33">
        <v>0</v>
      </c>
      <c r="HB33">
        <v>0</v>
      </c>
      <c r="HC33">
        <f t="shared" si="52"/>
        <v>0</v>
      </c>
      <c r="HN33" t="s">
        <v>49</v>
      </c>
      <c r="HO33" t="s">
        <v>50</v>
      </c>
      <c r="HP33" t="s">
        <v>46</v>
      </c>
      <c r="HQ33" t="s">
        <v>46</v>
      </c>
      <c r="IK33">
        <v>0</v>
      </c>
    </row>
    <row r="34" spans="1:255" ht="12.75">
      <c r="A34" s="2">
        <v>18</v>
      </c>
      <c r="B34" s="2">
        <v>1</v>
      </c>
      <c r="C34" s="2">
        <v>13</v>
      </c>
      <c r="D34" s="2"/>
      <c r="E34" s="2" t="s">
        <v>51</v>
      </c>
      <c r="F34" s="2" t="s">
        <v>52</v>
      </c>
      <c r="G34" s="2" t="s">
        <v>53</v>
      </c>
      <c r="H34" s="2" t="s">
        <v>54</v>
      </c>
      <c r="I34" s="2">
        <f>I32*J34</f>
        <v>0</v>
      </c>
      <c r="J34" s="2">
        <v>0</v>
      </c>
      <c r="K34" s="2">
        <v>-3.5</v>
      </c>
      <c r="L34" s="2"/>
      <c r="M34" s="2"/>
      <c r="N34" s="2"/>
      <c r="O34" s="2">
        <f t="shared" si="21"/>
        <v>0</v>
      </c>
      <c r="P34" s="2">
        <f t="shared" si="22"/>
        <v>0</v>
      </c>
      <c r="Q34" s="2">
        <f t="shared" si="23"/>
        <v>0</v>
      </c>
      <c r="R34" s="2">
        <f t="shared" si="24"/>
        <v>0</v>
      </c>
      <c r="S34" s="2">
        <f t="shared" si="25"/>
        <v>0</v>
      </c>
      <c r="T34" s="2">
        <f t="shared" si="26"/>
        <v>0</v>
      </c>
      <c r="U34" s="2">
        <f t="shared" si="27"/>
        <v>0</v>
      </c>
      <c r="V34" s="2">
        <f t="shared" si="28"/>
        <v>0</v>
      </c>
      <c r="W34" s="2">
        <f t="shared" si="29"/>
        <v>0</v>
      </c>
      <c r="X34" s="2">
        <f t="shared" si="30"/>
        <v>0</v>
      </c>
      <c r="Y34" s="2">
        <f t="shared" si="30"/>
        <v>0</v>
      </c>
      <c r="Z34" s="2"/>
      <c r="AA34" s="2">
        <v>55110074</v>
      </c>
      <c r="AB34" s="2">
        <f t="shared" si="31"/>
        <v>2.44</v>
      </c>
      <c r="AC34" s="2">
        <f>ROUND((ES34),2)</f>
        <v>2.44</v>
      </c>
      <c r="AD34" s="2">
        <f>ROUND((((ET34)-(EU34))+AE34),2)</f>
        <v>0</v>
      </c>
      <c r="AE34" s="2">
        <f>ROUND((EU34),2)</f>
        <v>0</v>
      </c>
      <c r="AF34" s="2">
        <f>ROUND((EV34),2)</f>
        <v>0</v>
      </c>
      <c r="AG34" s="2">
        <f t="shared" si="33"/>
        <v>0</v>
      </c>
      <c r="AH34" s="2">
        <f>(EW34)</f>
        <v>0</v>
      </c>
      <c r="AI34" s="2">
        <f>(EX34)</f>
        <v>0</v>
      </c>
      <c r="AJ34" s="2">
        <f t="shared" si="35"/>
        <v>0</v>
      </c>
      <c r="AK34" s="2">
        <v>2.44</v>
      </c>
      <c r="AL34" s="2">
        <v>2.44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112</v>
      </c>
      <c r="AU34" s="2">
        <v>65</v>
      </c>
      <c r="AV34" s="2">
        <v>1</v>
      </c>
      <c r="AW34" s="2">
        <v>1</v>
      </c>
      <c r="AX34" s="2"/>
      <c r="AY34" s="2"/>
      <c r="AZ34" s="2">
        <v>1</v>
      </c>
      <c r="BA34" s="2">
        <v>1</v>
      </c>
      <c r="BB34" s="2">
        <v>1</v>
      </c>
      <c r="BC34" s="2">
        <v>1</v>
      </c>
      <c r="BD34" s="2" t="s">
        <v>3</v>
      </c>
      <c r="BE34" s="2" t="s">
        <v>3</v>
      </c>
      <c r="BF34" s="2" t="s">
        <v>3</v>
      </c>
      <c r="BG34" s="2" t="s">
        <v>3</v>
      </c>
      <c r="BH34" s="2">
        <v>3</v>
      </c>
      <c r="BI34" s="2">
        <v>1</v>
      </c>
      <c r="BJ34" s="2" t="s">
        <v>55</v>
      </c>
      <c r="BK34" s="2"/>
      <c r="BL34" s="2"/>
      <c r="BM34" s="2">
        <v>11001</v>
      </c>
      <c r="BN34" s="2">
        <v>0</v>
      </c>
      <c r="BO34" s="2" t="s">
        <v>3</v>
      </c>
      <c r="BP34" s="2">
        <v>0</v>
      </c>
      <c r="BQ34" s="2">
        <v>2</v>
      </c>
      <c r="BR34" s="2">
        <v>1</v>
      </c>
      <c r="BS34" s="2">
        <v>1</v>
      </c>
      <c r="BT34" s="2">
        <v>1</v>
      </c>
      <c r="BU34" s="2">
        <v>1</v>
      </c>
      <c r="BV34" s="2">
        <v>1</v>
      </c>
      <c r="BW34" s="2">
        <v>1</v>
      </c>
      <c r="BX34" s="2">
        <v>1</v>
      </c>
      <c r="BY34" s="2" t="s">
        <v>3</v>
      </c>
      <c r="BZ34" s="2">
        <v>112</v>
      </c>
      <c r="CA34" s="2">
        <v>65</v>
      </c>
      <c r="CB34" s="2" t="s">
        <v>3</v>
      </c>
      <c r="CC34" s="2"/>
      <c r="CD34" s="2"/>
      <c r="CE34" s="2">
        <v>0</v>
      </c>
      <c r="CF34" s="2">
        <v>0</v>
      </c>
      <c r="CG34" s="2">
        <v>0</v>
      </c>
      <c r="CH34" s="2"/>
      <c r="CI34" s="2"/>
      <c r="CJ34" s="2"/>
      <c r="CK34" s="2"/>
      <c r="CL34" s="2"/>
      <c r="CM34" s="2">
        <v>0</v>
      </c>
      <c r="CN34" s="2" t="s">
        <v>3</v>
      </c>
      <c r="CO34" s="2">
        <v>0</v>
      </c>
      <c r="CP34" s="2">
        <f t="shared" si="36"/>
        <v>0</v>
      </c>
      <c r="CQ34" s="2">
        <f t="shared" si="37"/>
        <v>2.44</v>
      </c>
      <c r="CR34" s="2">
        <f t="shared" si="38"/>
        <v>0</v>
      </c>
      <c r="CS34" s="2">
        <f t="shared" si="39"/>
        <v>0</v>
      </c>
      <c r="CT34" s="2">
        <f t="shared" si="40"/>
        <v>0</v>
      </c>
      <c r="CU34" s="2">
        <f t="shared" si="41"/>
        <v>0</v>
      </c>
      <c r="CV34" s="2">
        <f t="shared" si="41"/>
        <v>0</v>
      </c>
      <c r="CW34" s="2">
        <f t="shared" si="41"/>
        <v>0</v>
      </c>
      <c r="CX34" s="2">
        <f t="shared" si="41"/>
        <v>0</v>
      </c>
      <c r="CY34" s="2">
        <f t="shared" si="42"/>
        <v>0</v>
      </c>
      <c r="CZ34" s="2">
        <f t="shared" si="43"/>
        <v>0</v>
      </c>
      <c r="DA34" s="2"/>
      <c r="DB34" s="2"/>
      <c r="DC34" s="2" t="s">
        <v>3</v>
      </c>
      <c r="DD34" s="2" t="s">
        <v>3</v>
      </c>
      <c r="DE34" s="2" t="s">
        <v>3</v>
      </c>
      <c r="DF34" s="2" t="s">
        <v>3</v>
      </c>
      <c r="DG34" s="2" t="s">
        <v>3</v>
      </c>
      <c r="DH34" s="2" t="s">
        <v>3</v>
      </c>
      <c r="DI34" s="2" t="s">
        <v>3</v>
      </c>
      <c r="DJ34" s="2" t="s">
        <v>3</v>
      </c>
      <c r="DK34" s="2" t="s">
        <v>3</v>
      </c>
      <c r="DL34" s="2" t="s">
        <v>3</v>
      </c>
      <c r="DM34" s="2" t="s">
        <v>3</v>
      </c>
      <c r="DN34" s="2">
        <v>0</v>
      </c>
      <c r="DO34" s="2">
        <v>0</v>
      </c>
      <c r="DP34" s="2">
        <v>1</v>
      </c>
      <c r="DQ34" s="2">
        <v>1</v>
      </c>
      <c r="DR34" s="2"/>
      <c r="DS34" s="2"/>
      <c r="DT34" s="2"/>
      <c r="DU34" s="2">
        <v>1007</v>
      </c>
      <c r="DV34" s="2" t="s">
        <v>54</v>
      </c>
      <c r="DW34" s="2" t="s">
        <v>54</v>
      </c>
      <c r="DX34" s="2">
        <v>1</v>
      </c>
      <c r="DY34" s="2"/>
      <c r="DZ34" s="2" t="s">
        <v>3</v>
      </c>
      <c r="EA34" s="2" t="s">
        <v>3</v>
      </c>
      <c r="EB34" s="2" t="s">
        <v>3</v>
      </c>
      <c r="EC34" s="2" t="s">
        <v>3</v>
      </c>
      <c r="ED34" s="2"/>
      <c r="EE34" s="2">
        <v>53507572</v>
      </c>
      <c r="EF34" s="2">
        <v>2</v>
      </c>
      <c r="EG34" s="2" t="s">
        <v>26</v>
      </c>
      <c r="EH34" s="2">
        <v>11</v>
      </c>
      <c r="EI34" s="2" t="s">
        <v>46</v>
      </c>
      <c r="EJ34" s="2">
        <v>1</v>
      </c>
      <c r="EK34" s="2">
        <v>11001</v>
      </c>
      <c r="EL34" s="2" t="s">
        <v>46</v>
      </c>
      <c r="EM34" s="2" t="s">
        <v>47</v>
      </c>
      <c r="EN34" s="2"/>
      <c r="EO34" s="2" t="s">
        <v>3</v>
      </c>
      <c r="EP34" s="2"/>
      <c r="EQ34" s="2">
        <v>0</v>
      </c>
      <c r="ER34" s="2">
        <v>2.44</v>
      </c>
      <c r="ES34" s="2">
        <v>2.44</v>
      </c>
      <c r="ET34" s="2">
        <v>0</v>
      </c>
      <c r="EU34" s="2">
        <v>0</v>
      </c>
      <c r="EV34" s="2">
        <v>0</v>
      </c>
      <c r="EW34" s="2">
        <v>0</v>
      </c>
      <c r="EX34" s="2">
        <v>0</v>
      </c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>
        <v>0</v>
      </c>
      <c r="FR34" s="2">
        <f t="shared" si="44"/>
        <v>0</v>
      </c>
      <c r="FS34" s="2">
        <v>0</v>
      </c>
      <c r="FT34" s="2"/>
      <c r="FU34" s="2"/>
      <c r="FV34" s="2"/>
      <c r="FW34" s="2"/>
      <c r="FX34" s="2">
        <v>112</v>
      </c>
      <c r="FY34" s="2">
        <v>65</v>
      </c>
      <c r="FZ34" s="2"/>
      <c r="GA34" s="2" t="s">
        <v>3</v>
      </c>
      <c r="GB34" s="2"/>
      <c r="GC34" s="2"/>
      <c r="GD34" s="2">
        <v>1</v>
      </c>
      <c r="GE34" s="2"/>
      <c r="GF34" s="2">
        <v>-143474561</v>
      </c>
      <c r="GG34" s="2">
        <v>2</v>
      </c>
      <c r="GH34" s="2">
        <v>1</v>
      </c>
      <c r="GI34" s="2">
        <v>-2</v>
      </c>
      <c r="GJ34" s="2">
        <v>0</v>
      </c>
      <c r="GK34" s="2">
        <v>0</v>
      </c>
      <c r="GL34" s="2">
        <f t="shared" si="45"/>
        <v>0</v>
      </c>
      <c r="GM34" s="2">
        <f t="shared" si="46"/>
        <v>0</v>
      </c>
      <c r="GN34" s="2">
        <f t="shared" si="47"/>
        <v>0</v>
      </c>
      <c r="GO34" s="2">
        <f t="shared" si="48"/>
        <v>0</v>
      </c>
      <c r="GP34" s="2">
        <f t="shared" si="49"/>
        <v>0</v>
      </c>
      <c r="GQ34" s="2"/>
      <c r="GR34" s="2">
        <v>0</v>
      </c>
      <c r="GS34" s="2">
        <v>0</v>
      </c>
      <c r="GT34" s="2">
        <v>0</v>
      </c>
      <c r="GU34" s="2" t="s">
        <v>3</v>
      </c>
      <c r="GV34" s="2">
        <f t="shared" si="50"/>
        <v>0</v>
      </c>
      <c r="GW34" s="2">
        <v>1</v>
      </c>
      <c r="GX34" s="2">
        <f t="shared" si="51"/>
        <v>0</v>
      </c>
      <c r="GY34" s="2"/>
      <c r="GZ34" s="2"/>
      <c r="HA34" s="2">
        <v>0</v>
      </c>
      <c r="HB34" s="2">
        <v>0</v>
      </c>
      <c r="HC34" s="2">
        <f t="shared" si="52"/>
        <v>0</v>
      </c>
      <c r="HD34" s="2"/>
      <c r="HE34" s="2" t="s">
        <v>3</v>
      </c>
      <c r="HF34" s="2" t="s">
        <v>3</v>
      </c>
      <c r="HG34" s="2"/>
      <c r="HH34" s="2"/>
      <c r="HI34" s="2"/>
      <c r="HJ34" s="2"/>
      <c r="HK34" s="2"/>
      <c r="HL34" s="2"/>
      <c r="HM34" s="2" t="s">
        <v>44</v>
      </c>
      <c r="HN34" s="2" t="s">
        <v>49</v>
      </c>
      <c r="HO34" s="2" t="s">
        <v>50</v>
      </c>
      <c r="HP34" s="2" t="s">
        <v>46</v>
      </c>
      <c r="HQ34" s="2" t="s">
        <v>46</v>
      </c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>
        <v>0</v>
      </c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45" ht="12.75">
      <c r="A35">
        <v>18</v>
      </c>
      <c r="B35">
        <v>1</v>
      </c>
      <c r="C35">
        <v>18</v>
      </c>
      <c r="E35" t="s">
        <v>51</v>
      </c>
      <c r="F35" t="s">
        <v>52</v>
      </c>
      <c r="G35" t="s">
        <v>53</v>
      </c>
      <c r="H35" t="s">
        <v>54</v>
      </c>
      <c r="I35">
        <f>I33*J35</f>
        <v>0</v>
      </c>
      <c r="J35">
        <v>0</v>
      </c>
      <c r="K35">
        <v>-3.5</v>
      </c>
      <c r="O35">
        <f t="shared" si="21"/>
        <v>0</v>
      </c>
      <c r="P35">
        <f t="shared" si="22"/>
        <v>0</v>
      </c>
      <c r="Q35">
        <f t="shared" si="23"/>
        <v>0</v>
      </c>
      <c r="R35">
        <f t="shared" si="24"/>
        <v>0</v>
      </c>
      <c r="S35">
        <f t="shared" si="25"/>
        <v>0</v>
      </c>
      <c r="T35">
        <f t="shared" si="26"/>
        <v>0</v>
      </c>
      <c r="U35">
        <f t="shared" si="27"/>
        <v>0</v>
      </c>
      <c r="V35">
        <f t="shared" si="28"/>
        <v>0</v>
      </c>
      <c r="W35">
        <f t="shared" si="29"/>
        <v>0</v>
      </c>
      <c r="X35">
        <f t="shared" si="30"/>
        <v>0</v>
      </c>
      <c r="Y35">
        <f t="shared" si="30"/>
        <v>0</v>
      </c>
      <c r="AA35">
        <v>55110083</v>
      </c>
      <c r="AB35">
        <f t="shared" si="31"/>
        <v>2.44</v>
      </c>
      <c r="AC35">
        <f>ROUND((ES35),2)</f>
        <v>2.44</v>
      </c>
      <c r="AD35">
        <f>ROUND((((ET35)-(EU35))+AE35),2)</f>
        <v>0</v>
      </c>
      <c r="AE35">
        <f>ROUND((EU35),2)</f>
        <v>0</v>
      </c>
      <c r="AF35">
        <f>ROUND((EV35),2)</f>
        <v>0</v>
      </c>
      <c r="AG35">
        <f t="shared" si="33"/>
        <v>0</v>
      </c>
      <c r="AH35">
        <f>(EW35)</f>
        <v>0</v>
      </c>
      <c r="AI35">
        <f>(EX35)</f>
        <v>0</v>
      </c>
      <c r="AJ35">
        <f t="shared" si="35"/>
        <v>0</v>
      </c>
      <c r="AK35">
        <v>2.44</v>
      </c>
      <c r="AL35">
        <v>2.44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112</v>
      </c>
      <c r="AU35">
        <v>65</v>
      </c>
      <c r="AV35">
        <v>1</v>
      </c>
      <c r="AW35">
        <v>1</v>
      </c>
      <c r="AZ35">
        <v>1</v>
      </c>
      <c r="BA35">
        <v>1</v>
      </c>
      <c r="BB35">
        <v>1</v>
      </c>
      <c r="BC35">
        <v>14.7</v>
      </c>
      <c r="BH35">
        <v>3</v>
      </c>
      <c r="BI35">
        <v>1</v>
      </c>
      <c r="BJ35" t="s">
        <v>55</v>
      </c>
      <c r="BM35">
        <v>11001</v>
      </c>
      <c r="BN35">
        <v>0</v>
      </c>
      <c r="BO35" t="s">
        <v>52</v>
      </c>
      <c r="BP35">
        <v>1</v>
      </c>
      <c r="BQ35">
        <v>2</v>
      </c>
      <c r="BR35">
        <v>1</v>
      </c>
      <c r="BS35">
        <v>1</v>
      </c>
      <c r="BT35">
        <v>1</v>
      </c>
      <c r="BU35">
        <v>1</v>
      </c>
      <c r="BV35">
        <v>1</v>
      </c>
      <c r="BW35">
        <v>1</v>
      </c>
      <c r="BX35">
        <v>1</v>
      </c>
      <c r="BZ35">
        <v>112</v>
      </c>
      <c r="CA35">
        <v>65</v>
      </c>
      <c r="CE35">
        <v>0</v>
      </c>
      <c r="CF35">
        <v>0</v>
      </c>
      <c r="CG35">
        <v>0</v>
      </c>
      <c r="CM35">
        <v>0</v>
      </c>
      <c r="CO35">
        <v>0</v>
      </c>
      <c r="CP35">
        <f t="shared" si="36"/>
        <v>0</v>
      </c>
      <c r="CQ35">
        <f t="shared" si="37"/>
        <v>35.867999999999995</v>
      </c>
      <c r="CR35">
        <f t="shared" si="38"/>
        <v>0</v>
      </c>
      <c r="CS35">
        <f t="shared" si="39"/>
        <v>0</v>
      </c>
      <c r="CT35">
        <f t="shared" si="40"/>
        <v>0</v>
      </c>
      <c r="CU35">
        <f t="shared" si="41"/>
        <v>0</v>
      </c>
      <c r="CV35">
        <f t="shared" si="41"/>
        <v>0</v>
      </c>
      <c r="CW35">
        <f t="shared" si="41"/>
        <v>0</v>
      </c>
      <c r="CX35">
        <f t="shared" si="41"/>
        <v>0</v>
      </c>
      <c r="CY35">
        <f t="shared" si="42"/>
        <v>0</v>
      </c>
      <c r="CZ35">
        <f t="shared" si="43"/>
        <v>0</v>
      </c>
      <c r="DN35">
        <v>0</v>
      </c>
      <c r="DO35">
        <v>0</v>
      </c>
      <c r="DP35">
        <v>1</v>
      </c>
      <c r="DQ35">
        <v>1</v>
      </c>
      <c r="DU35">
        <v>1007</v>
      </c>
      <c r="DV35" t="s">
        <v>54</v>
      </c>
      <c r="DW35" t="s">
        <v>54</v>
      </c>
      <c r="DX35">
        <v>1</v>
      </c>
      <c r="EE35">
        <v>53507572</v>
      </c>
      <c r="EF35">
        <v>2</v>
      </c>
      <c r="EG35" t="s">
        <v>26</v>
      </c>
      <c r="EH35">
        <v>11</v>
      </c>
      <c r="EI35" t="s">
        <v>46</v>
      </c>
      <c r="EJ35">
        <v>1</v>
      </c>
      <c r="EK35">
        <v>11001</v>
      </c>
      <c r="EL35" t="s">
        <v>46</v>
      </c>
      <c r="EM35" t="s">
        <v>47</v>
      </c>
      <c r="EQ35">
        <v>0</v>
      </c>
      <c r="ER35">
        <v>2.44</v>
      </c>
      <c r="ES35">
        <v>2.44</v>
      </c>
      <c r="ET35">
        <v>0</v>
      </c>
      <c r="EU35">
        <v>0</v>
      </c>
      <c r="EV35">
        <v>0</v>
      </c>
      <c r="EW35">
        <v>0</v>
      </c>
      <c r="EX35">
        <v>0</v>
      </c>
      <c r="FQ35">
        <v>0</v>
      </c>
      <c r="FR35">
        <f t="shared" si="44"/>
        <v>0</v>
      </c>
      <c r="FS35">
        <v>0</v>
      </c>
      <c r="FX35">
        <v>112</v>
      </c>
      <c r="FY35">
        <v>65</v>
      </c>
      <c r="GD35">
        <v>1</v>
      </c>
      <c r="GF35">
        <v>-143474561</v>
      </c>
      <c r="GG35">
        <v>2</v>
      </c>
      <c r="GH35">
        <v>1</v>
      </c>
      <c r="GI35">
        <v>2</v>
      </c>
      <c r="GJ35">
        <v>0</v>
      </c>
      <c r="GK35">
        <v>0</v>
      </c>
      <c r="GL35">
        <f t="shared" si="45"/>
        <v>0</v>
      </c>
      <c r="GM35">
        <f t="shared" si="46"/>
        <v>0</v>
      </c>
      <c r="GN35">
        <f t="shared" si="47"/>
        <v>0</v>
      </c>
      <c r="GO35">
        <f t="shared" si="48"/>
        <v>0</v>
      </c>
      <c r="GP35">
        <f t="shared" si="49"/>
        <v>0</v>
      </c>
      <c r="GR35">
        <v>0</v>
      </c>
      <c r="GS35">
        <v>0</v>
      </c>
      <c r="GT35">
        <v>0</v>
      </c>
      <c r="GV35">
        <f t="shared" si="50"/>
        <v>0</v>
      </c>
      <c r="GW35">
        <v>1</v>
      </c>
      <c r="GX35">
        <f t="shared" si="51"/>
        <v>0</v>
      </c>
      <c r="HA35">
        <v>0</v>
      </c>
      <c r="HB35">
        <v>0</v>
      </c>
      <c r="HC35">
        <f t="shared" si="52"/>
        <v>0</v>
      </c>
      <c r="HM35" t="s">
        <v>44</v>
      </c>
      <c r="HN35" t="s">
        <v>49</v>
      </c>
      <c r="HO35" t="s">
        <v>50</v>
      </c>
      <c r="HP35" t="s">
        <v>46</v>
      </c>
      <c r="HQ35" t="s">
        <v>46</v>
      </c>
      <c r="IK35">
        <v>0</v>
      </c>
    </row>
    <row r="37" spans="1:206" ht="12.75">
      <c r="A37" s="3">
        <v>51</v>
      </c>
      <c r="B37" s="3">
        <f>B24</f>
        <v>1</v>
      </c>
      <c r="C37" s="3">
        <f>A24</f>
        <v>4</v>
      </c>
      <c r="D37" s="3">
        <f>ROW(A24)</f>
        <v>24</v>
      </c>
      <c r="E37" s="3"/>
      <c r="F37" s="3" t="str">
        <f>IF(F24&lt;&gt;"",F24,"")</f>
        <v>Новый раздел</v>
      </c>
      <c r="G37" s="3" t="str">
        <f>IF(G24&lt;&gt;"",G24,"")</f>
        <v>Демонтаж</v>
      </c>
      <c r="H37" s="3">
        <v>0</v>
      </c>
      <c r="I37" s="3"/>
      <c r="J37" s="3"/>
      <c r="K37" s="3"/>
      <c r="L37" s="3"/>
      <c r="M37" s="3"/>
      <c r="N37" s="3"/>
      <c r="O37" s="3">
        <f aca="true" t="shared" si="53" ref="O37:T37">ROUND(AB37,0)</f>
        <v>6260</v>
      </c>
      <c r="P37" s="3">
        <f t="shared" si="53"/>
        <v>0</v>
      </c>
      <c r="Q37" s="3">
        <f t="shared" si="53"/>
        <v>1282</v>
      </c>
      <c r="R37" s="3">
        <f t="shared" si="53"/>
        <v>152</v>
      </c>
      <c r="S37" s="3">
        <f t="shared" si="53"/>
        <v>4978</v>
      </c>
      <c r="T37" s="3">
        <f t="shared" si="53"/>
        <v>0</v>
      </c>
      <c r="U37" s="3">
        <f>AH37</f>
        <v>632.567</v>
      </c>
      <c r="V37" s="3">
        <f>AI37</f>
        <v>11.2776</v>
      </c>
      <c r="W37" s="3">
        <f>ROUND(AJ37,0)</f>
        <v>0</v>
      </c>
      <c r="X37" s="3">
        <f>ROUND(AK37,0)</f>
        <v>5512</v>
      </c>
      <c r="Y37" s="3">
        <f>ROUND(AL37,0)</f>
        <v>3180</v>
      </c>
      <c r="Z37" s="3"/>
      <c r="AA37" s="3"/>
      <c r="AB37" s="3">
        <f>ROUND(SUMIF(AA28:AA35,"=55110074",O28:O35),0)</f>
        <v>6260</v>
      </c>
      <c r="AC37" s="3">
        <f>ROUND(SUMIF(AA28:AA35,"=55110074",P28:P35),0)</f>
        <v>0</v>
      </c>
      <c r="AD37" s="3">
        <f>ROUND(SUMIF(AA28:AA35,"=55110074",Q28:Q35),0)</f>
        <v>1282</v>
      </c>
      <c r="AE37" s="3">
        <f>ROUND(SUMIF(AA28:AA35,"=55110074",R28:R35),0)</f>
        <v>152</v>
      </c>
      <c r="AF37" s="3">
        <f>ROUND(SUMIF(AA28:AA35,"=55110074",S28:S35),0)</f>
        <v>4978</v>
      </c>
      <c r="AG37" s="3">
        <f>ROUND(SUMIF(AA28:AA35,"=55110074",T28:T35),0)</f>
        <v>0</v>
      </c>
      <c r="AH37" s="3">
        <f>SUMIF(AA28:AA35,"=55110074",U28:U35)</f>
        <v>632.567</v>
      </c>
      <c r="AI37" s="3">
        <f>SUMIF(AA28:AA35,"=55110074",V28:V35)</f>
        <v>11.2776</v>
      </c>
      <c r="AJ37" s="3">
        <f>ROUND(SUMIF(AA28:AA35,"=55110074",W28:W35),0)</f>
        <v>0</v>
      </c>
      <c r="AK37" s="3">
        <f>ROUND(SUMIF(AA28:AA35,"=55110074",X28:X35),0)</f>
        <v>5512</v>
      </c>
      <c r="AL37" s="3">
        <f>ROUND(SUMIF(AA28:AA35,"=55110074",Y28:Y35),0)</f>
        <v>3180</v>
      </c>
      <c r="AM37" s="3"/>
      <c r="AN37" s="3"/>
      <c r="AO37" s="3">
        <f aca="true" t="shared" si="54" ref="AO37:BD37">ROUND(BX37,0)</f>
        <v>0</v>
      </c>
      <c r="AP37" s="3">
        <f t="shared" si="54"/>
        <v>0</v>
      </c>
      <c r="AQ37" s="3">
        <f t="shared" si="54"/>
        <v>0</v>
      </c>
      <c r="AR37" s="3">
        <f t="shared" si="54"/>
        <v>14952</v>
      </c>
      <c r="AS37" s="3">
        <f t="shared" si="54"/>
        <v>14952</v>
      </c>
      <c r="AT37" s="3">
        <f t="shared" si="54"/>
        <v>0</v>
      </c>
      <c r="AU37" s="3">
        <f t="shared" si="54"/>
        <v>0</v>
      </c>
      <c r="AV37" s="3">
        <f t="shared" si="54"/>
        <v>0</v>
      </c>
      <c r="AW37" s="3">
        <f t="shared" si="54"/>
        <v>0</v>
      </c>
      <c r="AX37" s="3">
        <f t="shared" si="54"/>
        <v>0</v>
      </c>
      <c r="AY37" s="3">
        <f t="shared" si="54"/>
        <v>0</v>
      </c>
      <c r="AZ37" s="3">
        <f t="shared" si="54"/>
        <v>0</v>
      </c>
      <c r="BA37" s="3">
        <f t="shared" si="54"/>
        <v>0</v>
      </c>
      <c r="BB37" s="3">
        <f t="shared" si="54"/>
        <v>0</v>
      </c>
      <c r="BC37" s="3">
        <f t="shared" si="54"/>
        <v>0</v>
      </c>
      <c r="BD37" s="3">
        <f t="shared" si="54"/>
        <v>0</v>
      </c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>
        <f>ROUND(SUMIF(AA28:AA35,"=55110074",FQ28:FQ35),0)</f>
        <v>0</v>
      </c>
      <c r="BY37" s="3">
        <f>ROUND(SUMIF(AA28:AA35,"=55110074",FR28:FR35),0)</f>
        <v>0</v>
      </c>
      <c r="BZ37" s="3">
        <f>ROUND(SUMIF(AA28:AA35,"=55110074",GL28:GL35),0)</f>
        <v>0</v>
      </c>
      <c r="CA37" s="3">
        <f>ROUND(SUMIF(AA28:AA35,"=55110074",GM28:GM35),0)</f>
        <v>14952</v>
      </c>
      <c r="CB37" s="3">
        <f>ROUND(SUMIF(AA28:AA35,"=55110074",GN28:GN35),0)</f>
        <v>14952</v>
      </c>
      <c r="CC37" s="3">
        <f>ROUND(SUMIF(AA28:AA35,"=55110074",GO28:GO35),0)</f>
        <v>0</v>
      </c>
      <c r="CD37" s="3">
        <f>ROUND(SUMIF(AA28:AA35,"=55110074",GP28:GP35),0)</f>
        <v>0</v>
      </c>
      <c r="CE37" s="3">
        <f>AC37-BX37</f>
        <v>0</v>
      </c>
      <c r="CF37" s="3">
        <f>AC37-BY37</f>
        <v>0</v>
      </c>
      <c r="CG37" s="3">
        <f>BX37-BZ37</f>
        <v>0</v>
      </c>
      <c r="CH37" s="3">
        <f>AC37-BX37-BY37+BZ37</f>
        <v>0</v>
      </c>
      <c r="CI37" s="3">
        <f>BY37-BZ37</f>
        <v>0</v>
      </c>
      <c r="CJ37" s="3">
        <f>ROUND(SUMIF(AA28:AA35,"=55110074",GX28:GX35),0)</f>
        <v>0</v>
      </c>
      <c r="CK37" s="3">
        <f>ROUND(SUMIF(AA28:AA35,"=55110074",GY28:GY35),0)</f>
        <v>0</v>
      </c>
      <c r="CL37" s="3">
        <f>ROUND(SUMIF(AA28:AA35,"=55110074",GZ28:GZ35),0)</f>
        <v>0</v>
      </c>
      <c r="CM37" s="3">
        <f>ROUND(SUMIF(AA28:AA35,"=55110074",HD28:HD35),0)</f>
        <v>0</v>
      </c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4">
        <f aca="true" t="shared" si="55" ref="DG37:DL37">ROUND(DT37,0)</f>
        <v>190380</v>
      </c>
      <c r="DH37" s="4">
        <f t="shared" si="55"/>
        <v>0</v>
      </c>
      <c r="DI37" s="4">
        <f t="shared" si="55"/>
        <v>11016</v>
      </c>
      <c r="DJ37" s="4">
        <f t="shared" si="55"/>
        <v>5487</v>
      </c>
      <c r="DK37" s="4">
        <f t="shared" si="55"/>
        <v>179364</v>
      </c>
      <c r="DL37" s="4">
        <f t="shared" si="55"/>
        <v>0</v>
      </c>
      <c r="DM37" s="4">
        <f>DZ37</f>
        <v>632.567</v>
      </c>
      <c r="DN37" s="4">
        <f>EA37</f>
        <v>11.2776</v>
      </c>
      <c r="DO37" s="4">
        <f>ROUND(EB37,0)</f>
        <v>0</v>
      </c>
      <c r="DP37" s="4">
        <f>ROUND(EC37,0)</f>
        <v>198639</v>
      </c>
      <c r="DQ37" s="4">
        <f>ROUND(ED37,0)</f>
        <v>114590</v>
      </c>
      <c r="DR37" s="4"/>
      <c r="DS37" s="4"/>
      <c r="DT37" s="4">
        <f>ROUND(SUMIF(AA28:AA35,"=55110083",O28:O35),0)</f>
        <v>190380</v>
      </c>
      <c r="DU37" s="4">
        <f>ROUND(SUMIF(AA28:AA35,"=55110083",P28:P35),0)</f>
        <v>0</v>
      </c>
      <c r="DV37" s="4">
        <f>ROUND(SUMIF(AA28:AA35,"=55110083",Q28:Q35),0)</f>
        <v>11016</v>
      </c>
      <c r="DW37" s="4">
        <f>ROUND(SUMIF(AA28:AA35,"=55110083",R28:R35),0)</f>
        <v>5487</v>
      </c>
      <c r="DX37" s="4">
        <f>ROUND(SUMIF(AA28:AA35,"=55110083",S28:S35),0)</f>
        <v>179364</v>
      </c>
      <c r="DY37" s="4">
        <f>ROUND(SUMIF(AA28:AA35,"=55110083",T28:T35),0)</f>
        <v>0</v>
      </c>
      <c r="DZ37" s="4">
        <f>SUMIF(AA28:AA35,"=55110083",U28:U35)</f>
        <v>632.567</v>
      </c>
      <c r="EA37" s="4">
        <f>SUMIF(AA28:AA35,"=55110083",V28:V35)</f>
        <v>11.2776</v>
      </c>
      <c r="EB37" s="4">
        <f>ROUND(SUMIF(AA28:AA35,"=55110083",W28:W35),0)</f>
        <v>0</v>
      </c>
      <c r="EC37" s="4">
        <f>ROUND(SUMIF(AA28:AA35,"=55110083",X28:X35),0)</f>
        <v>198639</v>
      </c>
      <c r="ED37" s="4">
        <f>ROUND(SUMIF(AA28:AA35,"=55110083",Y28:Y35),0)</f>
        <v>114590</v>
      </c>
      <c r="EE37" s="4"/>
      <c r="EF37" s="4"/>
      <c r="EG37" s="4">
        <f aca="true" t="shared" si="56" ref="EG37:EV37">ROUND(FP37,0)</f>
        <v>0</v>
      </c>
      <c r="EH37" s="4">
        <f t="shared" si="56"/>
        <v>0</v>
      </c>
      <c r="EI37" s="4">
        <f t="shared" si="56"/>
        <v>0</v>
      </c>
      <c r="EJ37" s="4">
        <f t="shared" si="56"/>
        <v>503609</v>
      </c>
      <c r="EK37" s="4">
        <f t="shared" si="56"/>
        <v>503609</v>
      </c>
      <c r="EL37" s="4">
        <f t="shared" si="56"/>
        <v>0</v>
      </c>
      <c r="EM37" s="4">
        <f t="shared" si="56"/>
        <v>0</v>
      </c>
      <c r="EN37" s="4">
        <f t="shared" si="56"/>
        <v>0</v>
      </c>
      <c r="EO37" s="4">
        <f t="shared" si="56"/>
        <v>0</v>
      </c>
      <c r="EP37" s="4">
        <f t="shared" si="56"/>
        <v>0</v>
      </c>
      <c r="EQ37" s="4">
        <f t="shared" si="56"/>
        <v>0</v>
      </c>
      <c r="ER37" s="4">
        <f t="shared" si="56"/>
        <v>0</v>
      </c>
      <c r="ES37" s="4">
        <f t="shared" si="56"/>
        <v>0</v>
      </c>
      <c r="ET37" s="4">
        <f t="shared" si="56"/>
        <v>0</v>
      </c>
      <c r="EU37" s="4">
        <f t="shared" si="56"/>
        <v>0</v>
      </c>
      <c r="EV37" s="4">
        <f t="shared" si="56"/>
        <v>0</v>
      </c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>
        <f>ROUND(SUMIF(AA28:AA35,"=55110083",FQ28:FQ35),0)</f>
        <v>0</v>
      </c>
      <c r="FQ37" s="4">
        <f>ROUND(SUMIF(AA28:AA35,"=55110083",FR28:FR35),0)</f>
        <v>0</v>
      </c>
      <c r="FR37" s="4">
        <f>ROUND(SUMIF(AA28:AA35,"=55110083",GL28:GL35),0)</f>
        <v>0</v>
      </c>
      <c r="FS37" s="4">
        <f>ROUND(SUMIF(AA28:AA35,"=55110083",GM28:GM35),0)</f>
        <v>503609</v>
      </c>
      <c r="FT37" s="4">
        <f>ROUND(SUMIF(AA28:AA35,"=55110083",GN28:GN35),0)</f>
        <v>503609</v>
      </c>
      <c r="FU37" s="4">
        <f>ROUND(SUMIF(AA28:AA35,"=55110083",GO28:GO35),0)</f>
        <v>0</v>
      </c>
      <c r="FV37" s="4">
        <f>ROUND(SUMIF(AA28:AA35,"=55110083",GP28:GP35),0)</f>
        <v>0</v>
      </c>
      <c r="FW37" s="4">
        <f>DU37-FP37</f>
        <v>0</v>
      </c>
      <c r="FX37" s="4">
        <f>DU37-FQ37</f>
        <v>0</v>
      </c>
      <c r="FY37" s="4">
        <f>FP37-FR37</f>
        <v>0</v>
      </c>
      <c r="FZ37" s="4">
        <f>DU37-FP37-FQ37+FR37</f>
        <v>0</v>
      </c>
      <c r="GA37" s="4">
        <f>FQ37-FR37</f>
        <v>0</v>
      </c>
      <c r="GB37" s="4">
        <f>ROUND(SUMIF(AA28:AA35,"=55110083",GX28:GX35),0)</f>
        <v>0</v>
      </c>
      <c r="GC37" s="4">
        <f>ROUND(SUMIF(AA28:AA35,"=55110083",GY28:GY35),0)</f>
        <v>0</v>
      </c>
      <c r="GD37" s="4">
        <f>ROUND(SUMIF(AA28:AA35,"=55110083",GZ28:GZ35),0)</f>
        <v>0</v>
      </c>
      <c r="GE37" s="4">
        <f>ROUND(SUMIF(AA28:AA35,"=55110083",HD28:HD35),0)</f>
        <v>0</v>
      </c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>
        <v>0</v>
      </c>
    </row>
    <row r="39" spans="1:28" ht="12.75">
      <c r="A39" s="5">
        <v>50</v>
      </c>
      <c r="B39" s="5">
        <v>0</v>
      </c>
      <c r="C39" s="5">
        <v>0</v>
      </c>
      <c r="D39" s="5">
        <v>1</v>
      </c>
      <c r="E39" s="5">
        <v>201</v>
      </c>
      <c r="F39" s="5">
        <f>ROUND(Source!O37,O39)</f>
        <v>6260</v>
      </c>
      <c r="G39" s="5" t="s">
        <v>56</v>
      </c>
      <c r="H39" s="5" t="s">
        <v>57</v>
      </c>
      <c r="I39" s="5"/>
      <c r="J39" s="5"/>
      <c r="K39" s="5">
        <v>201</v>
      </c>
      <c r="L39" s="5">
        <v>1</v>
      </c>
      <c r="M39" s="5">
        <v>3</v>
      </c>
      <c r="N39" s="5" t="s">
        <v>3</v>
      </c>
      <c r="O39" s="5">
        <v>0</v>
      </c>
      <c r="P39" s="5">
        <f>ROUND(Source!DG37,O39)</f>
        <v>190380</v>
      </c>
      <c r="Q39" s="5"/>
      <c r="R39" s="5"/>
      <c r="S39" s="5"/>
      <c r="T39" s="5"/>
      <c r="U39" s="5"/>
      <c r="V39" s="5"/>
      <c r="W39" s="5">
        <v>6260</v>
      </c>
      <c r="X39" s="5">
        <v>1</v>
      </c>
      <c r="Y39" s="5">
        <v>6260</v>
      </c>
      <c r="Z39" s="5">
        <v>190380</v>
      </c>
      <c r="AA39" s="5">
        <v>1</v>
      </c>
      <c r="AB39" s="5">
        <v>190380</v>
      </c>
    </row>
    <row r="40" spans="1:28" ht="12.75">
      <c r="A40" s="5">
        <v>50</v>
      </c>
      <c r="B40" s="5">
        <v>0</v>
      </c>
      <c r="C40" s="5">
        <v>0</v>
      </c>
      <c r="D40" s="5">
        <v>1</v>
      </c>
      <c r="E40" s="5">
        <v>202</v>
      </c>
      <c r="F40" s="5">
        <f>ROUND(Source!P37,O40)</f>
        <v>0</v>
      </c>
      <c r="G40" s="5" t="s">
        <v>58</v>
      </c>
      <c r="H40" s="5" t="s">
        <v>59</v>
      </c>
      <c r="I40" s="5"/>
      <c r="J40" s="5"/>
      <c r="K40" s="5">
        <v>202</v>
      </c>
      <c r="L40" s="5">
        <v>2</v>
      </c>
      <c r="M40" s="5">
        <v>3</v>
      </c>
      <c r="N40" s="5" t="s">
        <v>3</v>
      </c>
      <c r="O40" s="5">
        <v>0</v>
      </c>
      <c r="P40" s="5">
        <f>ROUND(Source!DH37,O40)</f>
        <v>0</v>
      </c>
      <c r="Q40" s="5"/>
      <c r="R40" s="5"/>
      <c r="S40" s="5"/>
      <c r="T40" s="5"/>
      <c r="U40" s="5"/>
      <c r="V40" s="5"/>
      <c r="W40" s="5">
        <v>0</v>
      </c>
      <c r="X40" s="5">
        <v>1</v>
      </c>
      <c r="Y40" s="5">
        <v>0</v>
      </c>
      <c r="Z40" s="5">
        <v>0</v>
      </c>
      <c r="AA40" s="5">
        <v>1</v>
      </c>
      <c r="AB40" s="5">
        <v>0</v>
      </c>
    </row>
    <row r="41" spans="1:28" ht="12.75">
      <c r="A41" s="5">
        <v>50</v>
      </c>
      <c r="B41" s="5">
        <v>0</v>
      </c>
      <c r="C41" s="5">
        <v>0</v>
      </c>
      <c r="D41" s="5">
        <v>1</v>
      </c>
      <c r="E41" s="5">
        <v>222</v>
      </c>
      <c r="F41" s="5">
        <f>ROUND(Source!AO37,O41)</f>
        <v>0</v>
      </c>
      <c r="G41" s="5" t="s">
        <v>60</v>
      </c>
      <c r="H41" s="5" t="s">
        <v>61</v>
      </c>
      <c r="I41" s="5"/>
      <c r="J41" s="5"/>
      <c r="K41" s="5">
        <v>222</v>
      </c>
      <c r="L41" s="5">
        <v>3</v>
      </c>
      <c r="M41" s="5">
        <v>3</v>
      </c>
      <c r="N41" s="5" t="s">
        <v>3</v>
      </c>
      <c r="O41" s="5">
        <v>0</v>
      </c>
      <c r="P41" s="5">
        <f>ROUND(Source!EG37,O41)</f>
        <v>0</v>
      </c>
      <c r="Q41" s="5"/>
      <c r="R41" s="5"/>
      <c r="S41" s="5"/>
      <c r="T41" s="5"/>
      <c r="U41" s="5"/>
      <c r="V41" s="5"/>
      <c r="W41" s="5">
        <v>0</v>
      </c>
      <c r="X41" s="5">
        <v>1</v>
      </c>
      <c r="Y41" s="5">
        <v>0</v>
      </c>
      <c r="Z41" s="5">
        <v>0</v>
      </c>
      <c r="AA41" s="5">
        <v>1</v>
      </c>
      <c r="AB41" s="5">
        <v>0</v>
      </c>
    </row>
    <row r="42" spans="1:28" ht="12.75">
      <c r="A42" s="5">
        <v>50</v>
      </c>
      <c r="B42" s="5">
        <v>0</v>
      </c>
      <c r="C42" s="5">
        <v>0</v>
      </c>
      <c r="D42" s="5">
        <v>1</v>
      </c>
      <c r="E42" s="5">
        <v>225</v>
      </c>
      <c r="F42" s="5">
        <f>ROUND(Source!AV37,O42)</f>
        <v>0</v>
      </c>
      <c r="G42" s="5" t="s">
        <v>62</v>
      </c>
      <c r="H42" s="5" t="s">
        <v>63</v>
      </c>
      <c r="I42" s="5"/>
      <c r="J42" s="5"/>
      <c r="K42" s="5">
        <v>225</v>
      </c>
      <c r="L42" s="5">
        <v>4</v>
      </c>
      <c r="M42" s="5">
        <v>3</v>
      </c>
      <c r="N42" s="5" t="s">
        <v>3</v>
      </c>
      <c r="O42" s="5">
        <v>0</v>
      </c>
      <c r="P42" s="5">
        <f>ROUND(Source!EN37,O42)</f>
        <v>0</v>
      </c>
      <c r="Q42" s="5"/>
      <c r="R42" s="5"/>
      <c r="S42" s="5"/>
      <c r="T42" s="5"/>
      <c r="U42" s="5"/>
      <c r="V42" s="5"/>
      <c r="W42" s="5">
        <v>0</v>
      </c>
      <c r="X42" s="5">
        <v>1</v>
      </c>
      <c r="Y42" s="5">
        <v>0</v>
      </c>
      <c r="Z42" s="5">
        <v>0</v>
      </c>
      <c r="AA42" s="5">
        <v>1</v>
      </c>
      <c r="AB42" s="5">
        <v>0</v>
      </c>
    </row>
    <row r="43" spans="1:28" ht="12.75">
      <c r="A43" s="5">
        <v>50</v>
      </c>
      <c r="B43" s="5">
        <v>0</v>
      </c>
      <c r="C43" s="5">
        <v>0</v>
      </c>
      <c r="D43" s="5">
        <v>1</v>
      </c>
      <c r="E43" s="5">
        <v>226</v>
      </c>
      <c r="F43" s="5">
        <f>ROUND(Source!AW37,O43)</f>
        <v>0</v>
      </c>
      <c r="G43" s="5" t="s">
        <v>64</v>
      </c>
      <c r="H43" s="5" t="s">
        <v>65</v>
      </c>
      <c r="I43" s="5"/>
      <c r="J43" s="5"/>
      <c r="K43" s="5">
        <v>226</v>
      </c>
      <c r="L43" s="5">
        <v>5</v>
      </c>
      <c r="M43" s="5">
        <v>3</v>
      </c>
      <c r="N43" s="5" t="s">
        <v>3</v>
      </c>
      <c r="O43" s="5">
        <v>0</v>
      </c>
      <c r="P43" s="5">
        <f>ROUND(Source!EO37,O43)</f>
        <v>0</v>
      </c>
      <c r="Q43" s="5"/>
      <c r="R43" s="5"/>
      <c r="S43" s="5"/>
      <c r="T43" s="5"/>
      <c r="U43" s="5"/>
      <c r="V43" s="5"/>
      <c r="W43" s="5">
        <v>0</v>
      </c>
      <c r="X43" s="5">
        <v>1</v>
      </c>
      <c r="Y43" s="5">
        <v>0</v>
      </c>
      <c r="Z43" s="5">
        <v>0</v>
      </c>
      <c r="AA43" s="5">
        <v>1</v>
      </c>
      <c r="AB43" s="5">
        <v>0</v>
      </c>
    </row>
    <row r="44" spans="1:28" ht="12.75">
      <c r="A44" s="5">
        <v>50</v>
      </c>
      <c r="B44" s="5">
        <v>0</v>
      </c>
      <c r="C44" s="5">
        <v>0</v>
      </c>
      <c r="D44" s="5">
        <v>1</v>
      </c>
      <c r="E44" s="5">
        <v>227</v>
      </c>
      <c r="F44" s="5">
        <f>ROUND(Source!AX37,O44)</f>
        <v>0</v>
      </c>
      <c r="G44" s="5" t="s">
        <v>66</v>
      </c>
      <c r="H44" s="5" t="s">
        <v>67</v>
      </c>
      <c r="I44" s="5"/>
      <c r="J44" s="5"/>
      <c r="K44" s="5">
        <v>227</v>
      </c>
      <c r="L44" s="5">
        <v>6</v>
      </c>
      <c r="M44" s="5">
        <v>3</v>
      </c>
      <c r="N44" s="5" t="s">
        <v>3</v>
      </c>
      <c r="O44" s="5">
        <v>0</v>
      </c>
      <c r="P44" s="5">
        <f>ROUND(Source!EP37,O44)</f>
        <v>0</v>
      </c>
      <c r="Q44" s="5"/>
      <c r="R44" s="5"/>
      <c r="S44" s="5"/>
      <c r="T44" s="5"/>
      <c r="U44" s="5"/>
      <c r="V44" s="5"/>
      <c r="W44" s="5">
        <v>0</v>
      </c>
      <c r="X44" s="5">
        <v>1</v>
      </c>
      <c r="Y44" s="5">
        <v>0</v>
      </c>
      <c r="Z44" s="5">
        <v>0</v>
      </c>
      <c r="AA44" s="5">
        <v>1</v>
      </c>
      <c r="AB44" s="5">
        <v>0</v>
      </c>
    </row>
    <row r="45" spans="1:28" ht="12.75">
      <c r="A45" s="5">
        <v>50</v>
      </c>
      <c r="B45" s="5">
        <v>0</v>
      </c>
      <c r="C45" s="5">
        <v>0</v>
      </c>
      <c r="D45" s="5">
        <v>1</v>
      </c>
      <c r="E45" s="5">
        <v>228</v>
      </c>
      <c r="F45" s="5">
        <f>ROUND(Source!AY37,O45)</f>
        <v>0</v>
      </c>
      <c r="G45" s="5" t="s">
        <v>68</v>
      </c>
      <c r="H45" s="5" t="s">
        <v>69</v>
      </c>
      <c r="I45" s="5"/>
      <c r="J45" s="5"/>
      <c r="K45" s="5">
        <v>228</v>
      </c>
      <c r="L45" s="5">
        <v>7</v>
      </c>
      <c r="M45" s="5">
        <v>3</v>
      </c>
      <c r="N45" s="5" t="s">
        <v>3</v>
      </c>
      <c r="O45" s="5">
        <v>0</v>
      </c>
      <c r="P45" s="5">
        <f>ROUND(Source!EQ37,O45)</f>
        <v>0</v>
      </c>
      <c r="Q45" s="5"/>
      <c r="R45" s="5"/>
      <c r="S45" s="5"/>
      <c r="T45" s="5"/>
      <c r="U45" s="5"/>
      <c r="V45" s="5"/>
      <c r="W45" s="5">
        <v>0</v>
      </c>
      <c r="X45" s="5">
        <v>1</v>
      </c>
      <c r="Y45" s="5">
        <v>0</v>
      </c>
      <c r="Z45" s="5">
        <v>0</v>
      </c>
      <c r="AA45" s="5">
        <v>1</v>
      </c>
      <c r="AB45" s="5">
        <v>0</v>
      </c>
    </row>
    <row r="46" spans="1:28" ht="12.75">
      <c r="A46" s="5">
        <v>50</v>
      </c>
      <c r="B46" s="5">
        <v>0</v>
      </c>
      <c r="C46" s="5">
        <v>0</v>
      </c>
      <c r="D46" s="5">
        <v>1</v>
      </c>
      <c r="E46" s="5">
        <v>216</v>
      </c>
      <c r="F46" s="5">
        <f>ROUND(Source!AP37,O46)</f>
        <v>0</v>
      </c>
      <c r="G46" s="5" t="s">
        <v>70</v>
      </c>
      <c r="H46" s="5" t="s">
        <v>71</v>
      </c>
      <c r="I46" s="5"/>
      <c r="J46" s="5"/>
      <c r="K46" s="5">
        <v>216</v>
      </c>
      <c r="L46" s="5">
        <v>8</v>
      </c>
      <c r="M46" s="5">
        <v>3</v>
      </c>
      <c r="N46" s="5" t="s">
        <v>3</v>
      </c>
      <c r="O46" s="5">
        <v>0</v>
      </c>
      <c r="P46" s="5">
        <f>ROUND(Source!EH37,O46)</f>
        <v>0</v>
      </c>
      <c r="Q46" s="5"/>
      <c r="R46" s="5"/>
      <c r="S46" s="5"/>
      <c r="T46" s="5"/>
      <c r="U46" s="5"/>
      <c r="V46" s="5"/>
      <c r="W46" s="5">
        <v>0</v>
      </c>
      <c r="X46" s="5">
        <v>1</v>
      </c>
      <c r="Y46" s="5">
        <v>0</v>
      </c>
      <c r="Z46" s="5">
        <v>0</v>
      </c>
      <c r="AA46" s="5">
        <v>1</v>
      </c>
      <c r="AB46" s="5">
        <v>0</v>
      </c>
    </row>
    <row r="47" spans="1:28" ht="12.75">
      <c r="A47" s="5">
        <v>50</v>
      </c>
      <c r="B47" s="5">
        <v>0</v>
      </c>
      <c r="C47" s="5">
        <v>0</v>
      </c>
      <c r="D47" s="5">
        <v>1</v>
      </c>
      <c r="E47" s="5">
        <v>223</v>
      </c>
      <c r="F47" s="5">
        <f>ROUND(Source!AQ37,O47)</f>
        <v>0</v>
      </c>
      <c r="G47" s="5" t="s">
        <v>72</v>
      </c>
      <c r="H47" s="5" t="s">
        <v>73</v>
      </c>
      <c r="I47" s="5"/>
      <c r="J47" s="5"/>
      <c r="K47" s="5">
        <v>223</v>
      </c>
      <c r="L47" s="5">
        <v>9</v>
      </c>
      <c r="M47" s="5">
        <v>3</v>
      </c>
      <c r="N47" s="5" t="s">
        <v>3</v>
      </c>
      <c r="O47" s="5">
        <v>0</v>
      </c>
      <c r="P47" s="5">
        <f>ROUND(Source!EI37,O47)</f>
        <v>0</v>
      </c>
      <c r="Q47" s="5"/>
      <c r="R47" s="5"/>
      <c r="S47" s="5"/>
      <c r="T47" s="5"/>
      <c r="U47" s="5"/>
      <c r="V47" s="5"/>
      <c r="W47" s="5">
        <v>0</v>
      </c>
      <c r="X47" s="5">
        <v>1</v>
      </c>
      <c r="Y47" s="5">
        <v>0</v>
      </c>
      <c r="Z47" s="5">
        <v>0</v>
      </c>
      <c r="AA47" s="5">
        <v>1</v>
      </c>
      <c r="AB47" s="5">
        <v>0</v>
      </c>
    </row>
    <row r="48" spans="1:28" ht="12.75">
      <c r="A48" s="5">
        <v>50</v>
      </c>
      <c r="B48" s="5">
        <v>0</v>
      </c>
      <c r="C48" s="5">
        <v>0</v>
      </c>
      <c r="D48" s="5">
        <v>1</v>
      </c>
      <c r="E48" s="5">
        <v>229</v>
      </c>
      <c r="F48" s="5">
        <f>ROUND(Source!AZ37,O48)</f>
        <v>0</v>
      </c>
      <c r="G48" s="5" t="s">
        <v>74</v>
      </c>
      <c r="H48" s="5" t="s">
        <v>75</v>
      </c>
      <c r="I48" s="5"/>
      <c r="J48" s="5"/>
      <c r="K48" s="5">
        <v>229</v>
      </c>
      <c r="L48" s="5">
        <v>10</v>
      </c>
      <c r="M48" s="5">
        <v>3</v>
      </c>
      <c r="N48" s="5" t="s">
        <v>3</v>
      </c>
      <c r="O48" s="5">
        <v>0</v>
      </c>
      <c r="P48" s="5">
        <f>ROUND(Source!ER37,O48)</f>
        <v>0</v>
      </c>
      <c r="Q48" s="5"/>
      <c r="R48" s="5"/>
      <c r="S48" s="5"/>
      <c r="T48" s="5"/>
      <c r="U48" s="5"/>
      <c r="V48" s="5"/>
      <c r="W48" s="5">
        <v>0</v>
      </c>
      <c r="X48" s="5">
        <v>1</v>
      </c>
      <c r="Y48" s="5">
        <v>0</v>
      </c>
      <c r="Z48" s="5">
        <v>0</v>
      </c>
      <c r="AA48" s="5">
        <v>1</v>
      </c>
      <c r="AB48" s="5">
        <v>0</v>
      </c>
    </row>
    <row r="49" spans="1:28" ht="12.75">
      <c r="A49" s="5">
        <v>50</v>
      </c>
      <c r="B49" s="5">
        <v>0</v>
      </c>
      <c r="C49" s="5">
        <v>0</v>
      </c>
      <c r="D49" s="5">
        <v>1</v>
      </c>
      <c r="E49" s="5">
        <v>203</v>
      </c>
      <c r="F49" s="5">
        <f>ROUND(Source!Q37,O49)</f>
        <v>1282</v>
      </c>
      <c r="G49" s="5" t="s">
        <v>76</v>
      </c>
      <c r="H49" s="5" t="s">
        <v>77</v>
      </c>
      <c r="I49" s="5"/>
      <c r="J49" s="5"/>
      <c r="K49" s="5">
        <v>203</v>
      </c>
      <c r="L49" s="5">
        <v>11</v>
      </c>
      <c r="M49" s="5">
        <v>3</v>
      </c>
      <c r="N49" s="5" t="s">
        <v>3</v>
      </c>
      <c r="O49" s="5">
        <v>0</v>
      </c>
      <c r="P49" s="5">
        <f>ROUND(Source!DI37,O49)</f>
        <v>11016</v>
      </c>
      <c r="Q49" s="5"/>
      <c r="R49" s="5"/>
      <c r="S49" s="5"/>
      <c r="T49" s="5"/>
      <c r="U49" s="5"/>
      <c r="V49" s="5"/>
      <c r="W49" s="5">
        <v>1282</v>
      </c>
      <c r="X49" s="5">
        <v>1</v>
      </c>
      <c r="Y49" s="5">
        <v>1282</v>
      </c>
      <c r="Z49" s="5">
        <v>11016</v>
      </c>
      <c r="AA49" s="5">
        <v>1</v>
      </c>
      <c r="AB49" s="5">
        <v>11016</v>
      </c>
    </row>
    <row r="50" spans="1:28" ht="12.75">
      <c r="A50" s="5">
        <v>50</v>
      </c>
      <c r="B50" s="5">
        <v>0</v>
      </c>
      <c r="C50" s="5">
        <v>0</v>
      </c>
      <c r="D50" s="5">
        <v>1</v>
      </c>
      <c r="E50" s="5">
        <v>231</v>
      </c>
      <c r="F50" s="5">
        <f>ROUND(Source!BB37,O50)</f>
        <v>0</v>
      </c>
      <c r="G50" s="5" t="s">
        <v>78</v>
      </c>
      <c r="H50" s="5" t="s">
        <v>79</v>
      </c>
      <c r="I50" s="5"/>
      <c r="J50" s="5"/>
      <c r="K50" s="5">
        <v>231</v>
      </c>
      <c r="L50" s="5">
        <v>12</v>
      </c>
      <c r="M50" s="5">
        <v>3</v>
      </c>
      <c r="N50" s="5" t="s">
        <v>3</v>
      </c>
      <c r="O50" s="5">
        <v>0</v>
      </c>
      <c r="P50" s="5">
        <f>ROUND(Source!ET37,O50)</f>
        <v>0</v>
      </c>
      <c r="Q50" s="5"/>
      <c r="R50" s="5"/>
      <c r="S50" s="5"/>
      <c r="T50" s="5"/>
      <c r="U50" s="5"/>
      <c r="V50" s="5"/>
      <c r="W50" s="5">
        <v>0</v>
      </c>
      <c r="X50" s="5">
        <v>1</v>
      </c>
      <c r="Y50" s="5">
        <v>0</v>
      </c>
      <c r="Z50" s="5">
        <v>0</v>
      </c>
      <c r="AA50" s="5">
        <v>1</v>
      </c>
      <c r="AB50" s="5">
        <v>0</v>
      </c>
    </row>
    <row r="51" spans="1:28" ht="12.75">
      <c r="A51" s="5">
        <v>50</v>
      </c>
      <c r="B51" s="5">
        <v>0</v>
      </c>
      <c r="C51" s="5">
        <v>0</v>
      </c>
      <c r="D51" s="5">
        <v>1</v>
      </c>
      <c r="E51" s="5">
        <v>204</v>
      </c>
      <c r="F51" s="5">
        <f>ROUND(Source!R37,O51)</f>
        <v>152</v>
      </c>
      <c r="G51" s="5" t="s">
        <v>80</v>
      </c>
      <c r="H51" s="5" t="s">
        <v>81</v>
      </c>
      <c r="I51" s="5"/>
      <c r="J51" s="5"/>
      <c r="K51" s="5">
        <v>204</v>
      </c>
      <c r="L51" s="5">
        <v>13</v>
      </c>
      <c r="M51" s="5">
        <v>3</v>
      </c>
      <c r="N51" s="5" t="s">
        <v>3</v>
      </c>
      <c r="O51" s="5">
        <v>0</v>
      </c>
      <c r="P51" s="5">
        <f>ROUND(Source!DJ37,O51)</f>
        <v>5487</v>
      </c>
      <c r="Q51" s="5"/>
      <c r="R51" s="5"/>
      <c r="S51" s="5"/>
      <c r="T51" s="5"/>
      <c r="U51" s="5"/>
      <c r="V51" s="5"/>
      <c r="W51" s="5">
        <v>152</v>
      </c>
      <c r="X51" s="5">
        <v>1</v>
      </c>
      <c r="Y51" s="5">
        <v>152</v>
      </c>
      <c r="Z51" s="5">
        <v>5487</v>
      </c>
      <c r="AA51" s="5">
        <v>1</v>
      </c>
      <c r="AB51" s="5">
        <v>5487</v>
      </c>
    </row>
    <row r="52" spans="1:28" ht="12.75">
      <c r="A52" s="5">
        <v>50</v>
      </c>
      <c r="B52" s="5">
        <v>0</v>
      </c>
      <c r="C52" s="5">
        <v>0</v>
      </c>
      <c r="D52" s="5">
        <v>1</v>
      </c>
      <c r="E52" s="5">
        <v>205</v>
      </c>
      <c r="F52" s="5">
        <f>ROUND(Source!S37,O52)</f>
        <v>4978</v>
      </c>
      <c r="G52" s="5" t="s">
        <v>82</v>
      </c>
      <c r="H52" s="5" t="s">
        <v>83</v>
      </c>
      <c r="I52" s="5"/>
      <c r="J52" s="5"/>
      <c r="K52" s="5">
        <v>205</v>
      </c>
      <c r="L52" s="5">
        <v>14</v>
      </c>
      <c r="M52" s="5">
        <v>3</v>
      </c>
      <c r="N52" s="5" t="s">
        <v>3</v>
      </c>
      <c r="O52" s="5">
        <v>0</v>
      </c>
      <c r="P52" s="5">
        <f>ROUND(Source!DK37,O52)</f>
        <v>179364</v>
      </c>
      <c r="Q52" s="5"/>
      <c r="R52" s="5"/>
      <c r="S52" s="5"/>
      <c r="T52" s="5"/>
      <c r="U52" s="5"/>
      <c r="V52" s="5"/>
      <c r="W52" s="5">
        <v>4978</v>
      </c>
      <c r="X52" s="5">
        <v>1</v>
      </c>
      <c r="Y52" s="5">
        <v>4978</v>
      </c>
      <c r="Z52" s="5">
        <v>179364</v>
      </c>
      <c r="AA52" s="5">
        <v>1</v>
      </c>
      <c r="AB52" s="5">
        <v>179364</v>
      </c>
    </row>
    <row r="53" spans="1:28" ht="12.75">
      <c r="A53" s="5">
        <v>50</v>
      </c>
      <c r="B53" s="5">
        <v>0</v>
      </c>
      <c r="C53" s="5">
        <v>0</v>
      </c>
      <c r="D53" s="5">
        <v>1</v>
      </c>
      <c r="E53" s="5">
        <v>232</v>
      </c>
      <c r="F53" s="5">
        <f>ROUND(Source!BC37,O53)</f>
        <v>0</v>
      </c>
      <c r="G53" s="5" t="s">
        <v>84</v>
      </c>
      <c r="H53" s="5" t="s">
        <v>85</v>
      </c>
      <c r="I53" s="5"/>
      <c r="J53" s="5"/>
      <c r="K53" s="5">
        <v>232</v>
      </c>
      <c r="L53" s="5">
        <v>15</v>
      </c>
      <c r="M53" s="5">
        <v>3</v>
      </c>
      <c r="N53" s="5" t="s">
        <v>3</v>
      </c>
      <c r="O53" s="5">
        <v>0</v>
      </c>
      <c r="P53" s="5">
        <f>ROUND(Source!EU37,O53)</f>
        <v>0</v>
      </c>
      <c r="Q53" s="5"/>
      <c r="R53" s="5"/>
      <c r="S53" s="5"/>
      <c r="T53" s="5"/>
      <c r="U53" s="5"/>
      <c r="V53" s="5"/>
      <c r="W53" s="5">
        <v>0</v>
      </c>
      <c r="X53" s="5">
        <v>1</v>
      </c>
      <c r="Y53" s="5">
        <v>0</v>
      </c>
      <c r="Z53" s="5">
        <v>0</v>
      </c>
      <c r="AA53" s="5">
        <v>1</v>
      </c>
      <c r="AB53" s="5">
        <v>0</v>
      </c>
    </row>
    <row r="54" spans="1:28" ht="12.75">
      <c r="A54" s="5">
        <v>50</v>
      </c>
      <c r="B54" s="5">
        <v>0</v>
      </c>
      <c r="C54" s="5">
        <v>0</v>
      </c>
      <c r="D54" s="5">
        <v>1</v>
      </c>
      <c r="E54" s="5">
        <v>214</v>
      </c>
      <c r="F54" s="5">
        <f>ROUND(Source!AS37,O54)</f>
        <v>14952</v>
      </c>
      <c r="G54" s="5" t="s">
        <v>86</v>
      </c>
      <c r="H54" s="5" t="s">
        <v>87</v>
      </c>
      <c r="I54" s="5"/>
      <c r="J54" s="5"/>
      <c r="K54" s="5">
        <v>214</v>
      </c>
      <c r="L54" s="5">
        <v>16</v>
      </c>
      <c r="M54" s="5">
        <v>3</v>
      </c>
      <c r="N54" s="5" t="s">
        <v>3</v>
      </c>
      <c r="O54" s="5">
        <v>0</v>
      </c>
      <c r="P54" s="5">
        <f>ROUND(Source!EK37,O54)</f>
        <v>503609</v>
      </c>
      <c r="Q54" s="5"/>
      <c r="R54" s="5"/>
      <c r="S54" s="5"/>
      <c r="T54" s="5"/>
      <c r="U54" s="5"/>
      <c r="V54" s="5"/>
      <c r="W54" s="5">
        <v>14952</v>
      </c>
      <c r="X54" s="5">
        <v>1</v>
      </c>
      <c r="Y54" s="5">
        <v>14952</v>
      </c>
      <c r="Z54" s="5">
        <v>503609</v>
      </c>
      <c r="AA54" s="5">
        <v>1</v>
      </c>
      <c r="AB54" s="5">
        <v>503609</v>
      </c>
    </row>
    <row r="55" spans="1:28" ht="12.75">
      <c r="A55" s="5">
        <v>50</v>
      </c>
      <c r="B55" s="5">
        <v>0</v>
      </c>
      <c r="C55" s="5">
        <v>0</v>
      </c>
      <c r="D55" s="5">
        <v>1</v>
      </c>
      <c r="E55" s="5">
        <v>215</v>
      </c>
      <c r="F55" s="5">
        <f>ROUND(Source!AT37,O55)</f>
        <v>0</v>
      </c>
      <c r="G55" s="5" t="s">
        <v>88</v>
      </c>
      <c r="H55" s="5" t="s">
        <v>89</v>
      </c>
      <c r="I55" s="5"/>
      <c r="J55" s="5"/>
      <c r="K55" s="5">
        <v>215</v>
      </c>
      <c r="L55" s="5">
        <v>17</v>
      </c>
      <c r="M55" s="5">
        <v>3</v>
      </c>
      <c r="N55" s="5" t="s">
        <v>3</v>
      </c>
      <c r="O55" s="5">
        <v>0</v>
      </c>
      <c r="P55" s="5">
        <f>ROUND(Source!EL37,O55)</f>
        <v>0</v>
      </c>
      <c r="Q55" s="5"/>
      <c r="R55" s="5"/>
      <c r="S55" s="5"/>
      <c r="T55" s="5"/>
      <c r="U55" s="5"/>
      <c r="V55" s="5"/>
      <c r="W55" s="5">
        <v>0</v>
      </c>
      <c r="X55" s="5">
        <v>1</v>
      </c>
      <c r="Y55" s="5">
        <v>0</v>
      </c>
      <c r="Z55" s="5">
        <v>0</v>
      </c>
      <c r="AA55" s="5">
        <v>1</v>
      </c>
      <c r="AB55" s="5">
        <v>0</v>
      </c>
    </row>
    <row r="56" spans="1:28" ht="12.75">
      <c r="A56" s="5">
        <v>50</v>
      </c>
      <c r="B56" s="5">
        <v>0</v>
      </c>
      <c r="C56" s="5">
        <v>0</v>
      </c>
      <c r="D56" s="5">
        <v>1</v>
      </c>
      <c r="E56" s="5">
        <v>217</v>
      </c>
      <c r="F56" s="5">
        <f>ROUND(Source!AU37,O56)</f>
        <v>0</v>
      </c>
      <c r="G56" s="5" t="s">
        <v>90</v>
      </c>
      <c r="H56" s="5" t="s">
        <v>91</v>
      </c>
      <c r="I56" s="5"/>
      <c r="J56" s="5"/>
      <c r="K56" s="5">
        <v>217</v>
      </c>
      <c r="L56" s="5">
        <v>18</v>
      </c>
      <c r="M56" s="5">
        <v>3</v>
      </c>
      <c r="N56" s="5" t="s">
        <v>3</v>
      </c>
      <c r="O56" s="5">
        <v>0</v>
      </c>
      <c r="P56" s="5">
        <f>ROUND(Source!EM37,O56)</f>
        <v>0</v>
      </c>
      <c r="Q56" s="5"/>
      <c r="R56" s="5"/>
      <c r="S56" s="5"/>
      <c r="T56" s="5"/>
      <c r="U56" s="5"/>
      <c r="V56" s="5"/>
      <c r="W56" s="5">
        <v>0</v>
      </c>
      <c r="X56" s="5">
        <v>1</v>
      </c>
      <c r="Y56" s="5">
        <v>0</v>
      </c>
      <c r="Z56" s="5">
        <v>0</v>
      </c>
      <c r="AA56" s="5">
        <v>1</v>
      </c>
      <c r="AB56" s="5">
        <v>0</v>
      </c>
    </row>
    <row r="57" spans="1:28" ht="12.75">
      <c r="A57" s="5">
        <v>50</v>
      </c>
      <c r="B57" s="5">
        <v>0</v>
      </c>
      <c r="C57" s="5">
        <v>0</v>
      </c>
      <c r="D57" s="5">
        <v>1</v>
      </c>
      <c r="E57" s="5">
        <v>230</v>
      </c>
      <c r="F57" s="5">
        <f>ROUND(Source!BA37,O57)</f>
        <v>0</v>
      </c>
      <c r="G57" s="5" t="s">
        <v>92</v>
      </c>
      <c r="H57" s="5" t="s">
        <v>93</v>
      </c>
      <c r="I57" s="5"/>
      <c r="J57" s="5"/>
      <c r="K57" s="5">
        <v>230</v>
      </c>
      <c r="L57" s="5">
        <v>19</v>
      </c>
      <c r="M57" s="5">
        <v>3</v>
      </c>
      <c r="N57" s="5" t="s">
        <v>3</v>
      </c>
      <c r="O57" s="5">
        <v>0</v>
      </c>
      <c r="P57" s="5">
        <f>ROUND(Source!ES37,O57)</f>
        <v>0</v>
      </c>
      <c r="Q57" s="5"/>
      <c r="R57" s="5"/>
      <c r="S57" s="5"/>
      <c r="T57" s="5"/>
      <c r="U57" s="5"/>
      <c r="V57" s="5"/>
      <c r="W57" s="5">
        <v>0</v>
      </c>
      <c r="X57" s="5">
        <v>1</v>
      </c>
      <c r="Y57" s="5">
        <v>0</v>
      </c>
      <c r="Z57" s="5">
        <v>0</v>
      </c>
      <c r="AA57" s="5">
        <v>1</v>
      </c>
      <c r="AB57" s="5">
        <v>0</v>
      </c>
    </row>
    <row r="58" spans="1:28" ht="12.75">
      <c r="A58" s="5">
        <v>50</v>
      </c>
      <c r="B58" s="5">
        <v>0</v>
      </c>
      <c r="C58" s="5">
        <v>0</v>
      </c>
      <c r="D58" s="5">
        <v>1</v>
      </c>
      <c r="E58" s="5">
        <v>206</v>
      </c>
      <c r="F58" s="5">
        <f>ROUND(Source!T37,O58)</f>
        <v>0</v>
      </c>
      <c r="G58" s="5" t="s">
        <v>94</v>
      </c>
      <c r="H58" s="5" t="s">
        <v>95</v>
      </c>
      <c r="I58" s="5"/>
      <c r="J58" s="5"/>
      <c r="K58" s="5">
        <v>206</v>
      </c>
      <c r="L58" s="5">
        <v>20</v>
      </c>
      <c r="M58" s="5">
        <v>3</v>
      </c>
      <c r="N58" s="5" t="s">
        <v>3</v>
      </c>
      <c r="O58" s="5">
        <v>0</v>
      </c>
      <c r="P58" s="5">
        <f>ROUND(Source!DL37,O58)</f>
        <v>0</v>
      </c>
      <c r="Q58" s="5"/>
      <c r="R58" s="5"/>
      <c r="S58" s="5"/>
      <c r="T58" s="5"/>
      <c r="U58" s="5"/>
      <c r="V58" s="5"/>
      <c r="W58" s="5">
        <v>0</v>
      </c>
      <c r="X58" s="5">
        <v>1</v>
      </c>
      <c r="Y58" s="5">
        <v>0</v>
      </c>
      <c r="Z58" s="5">
        <v>0</v>
      </c>
      <c r="AA58" s="5">
        <v>1</v>
      </c>
      <c r="AB58" s="5">
        <v>0</v>
      </c>
    </row>
    <row r="59" spans="1:28" ht="12.75">
      <c r="A59" s="5">
        <v>50</v>
      </c>
      <c r="B59" s="5">
        <v>0</v>
      </c>
      <c r="C59" s="5">
        <v>0</v>
      </c>
      <c r="D59" s="5">
        <v>1</v>
      </c>
      <c r="E59" s="5">
        <v>207</v>
      </c>
      <c r="F59" s="5">
        <f>Source!U37</f>
        <v>632.567</v>
      </c>
      <c r="G59" s="5" t="s">
        <v>96</v>
      </c>
      <c r="H59" s="5" t="s">
        <v>97</v>
      </c>
      <c r="I59" s="5"/>
      <c r="J59" s="5"/>
      <c r="K59" s="5">
        <v>207</v>
      </c>
      <c r="L59" s="5">
        <v>21</v>
      </c>
      <c r="M59" s="5">
        <v>3</v>
      </c>
      <c r="N59" s="5" t="s">
        <v>3</v>
      </c>
      <c r="O59" s="5">
        <v>-1</v>
      </c>
      <c r="P59" s="5">
        <f>Source!DM37</f>
        <v>632.567</v>
      </c>
      <c r="Q59" s="5"/>
      <c r="R59" s="5"/>
      <c r="S59" s="5"/>
      <c r="T59" s="5"/>
      <c r="U59" s="5"/>
      <c r="V59" s="5"/>
      <c r="W59" s="5">
        <v>632.567</v>
      </c>
      <c r="X59" s="5">
        <v>1</v>
      </c>
      <c r="Y59" s="5">
        <v>632.567</v>
      </c>
      <c r="Z59" s="5">
        <v>632.567</v>
      </c>
      <c r="AA59" s="5">
        <v>1</v>
      </c>
      <c r="AB59" s="5">
        <v>632.567</v>
      </c>
    </row>
    <row r="60" spans="1:28" ht="12.75">
      <c r="A60" s="5">
        <v>50</v>
      </c>
      <c r="B60" s="5">
        <v>0</v>
      </c>
      <c r="C60" s="5">
        <v>0</v>
      </c>
      <c r="D60" s="5">
        <v>1</v>
      </c>
      <c r="E60" s="5">
        <v>208</v>
      </c>
      <c r="F60" s="5">
        <f>Source!V37</f>
        <v>11.2776</v>
      </c>
      <c r="G60" s="5" t="s">
        <v>98</v>
      </c>
      <c r="H60" s="5" t="s">
        <v>99</v>
      </c>
      <c r="I60" s="5"/>
      <c r="J60" s="5"/>
      <c r="K60" s="5">
        <v>208</v>
      </c>
      <c r="L60" s="5">
        <v>22</v>
      </c>
      <c r="M60" s="5">
        <v>3</v>
      </c>
      <c r="N60" s="5" t="s">
        <v>3</v>
      </c>
      <c r="O60" s="5">
        <v>-1</v>
      </c>
      <c r="P60" s="5">
        <f>Source!DN37</f>
        <v>11.2776</v>
      </c>
      <c r="Q60" s="5"/>
      <c r="R60" s="5"/>
      <c r="S60" s="5"/>
      <c r="T60" s="5"/>
      <c r="U60" s="5"/>
      <c r="V60" s="5"/>
      <c r="W60" s="5">
        <v>11.2776</v>
      </c>
      <c r="X60" s="5">
        <v>1</v>
      </c>
      <c r="Y60" s="5">
        <v>11.2776</v>
      </c>
      <c r="Z60" s="5">
        <v>11.2776</v>
      </c>
      <c r="AA60" s="5">
        <v>1</v>
      </c>
      <c r="AB60" s="5">
        <v>11.2776</v>
      </c>
    </row>
    <row r="61" spans="1:28" ht="12.75">
      <c r="A61" s="5">
        <v>50</v>
      </c>
      <c r="B61" s="5">
        <v>0</v>
      </c>
      <c r="C61" s="5">
        <v>0</v>
      </c>
      <c r="D61" s="5">
        <v>1</v>
      </c>
      <c r="E61" s="5">
        <v>209</v>
      </c>
      <c r="F61" s="5">
        <f>ROUND(Source!W37,O61)</f>
        <v>0</v>
      </c>
      <c r="G61" s="5" t="s">
        <v>100</v>
      </c>
      <c r="H61" s="5" t="s">
        <v>101</v>
      </c>
      <c r="I61" s="5"/>
      <c r="J61" s="5"/>
      <c r="K61" s="5">
        <v>209</v>
      </c>
      <c r="L61" s="5">
        <v>23</v>
      </c>
      <c r="M61" s="5">
        <v>3</v>
      </c>
      <c r="N61" s="5" t="s">
        <v>3</v>
      </c>
      <c r="O61" s="5">
        <v>0</v>
      </c>
      <c r="P61" s="5">
        <f>ROUND(Source!DO37,O61)</f>
        <v>0</v>
      </c>
      <c r="Q61" s="5"/>
      <c r="R61" s="5"/>
      <c r="S61" s="5"/>
      <c r="T61" s="5"/>
      <c r="U61" s="5"/>
      <c r="V61" s="5"/>
      <c r="W61" s="5">
        <v>0</v>
      </c>
      <c r="X61" s="5">
        <v>1</v>
      </c>
      <c r="Y61" s="5">
        <v>0</v>
      </c>
      <c r="Z61" s="5">
        <v>0</v>
      </c>
      <c r="AA61" s="5">
        <v>1</v>
      </c>
      <c r="AB61" s="5">
        <v>0</v>
      </c>
    </row>
    <row r="62" spans="1:28" ht="12.75">
      <c r="A62" s="5">
        <v>50</v>
      </c>
      <c r="B62" s="5">
        <v>0</v>
      </c>
      <c r="C62" s="5">
        <v>0</v>
      </c>
      <c r="D62" s="5">
        <v>1</v>
      </c>
      <c r="E62" s="5">
        <v>233</v>
      </c>
      <c r="F62" s="5">
        <f>ROUND(Source!BD37,O62)</f>
        <v>0</v>
      </c>
      <c r="G62" s="5" t="s">
        <v>102</v>
      </c>
      <c r="H62" s="5" t="s">
        <v>103</v>
      </c>
      <c r="I62" s="5"/>
      <c r="J62" s="5"/>
      <c r="K62" s="5">
        <v>233</v>
      </c>
      <c r="L62" s="5">
        <v>24</v>
      </c>
      <c r="M62" s="5">
        <v>3</v>
      </c>
      <c r="N62" s="5" t="s">
        <v>3</v>
      </c>
      <c r="O62" s="5">
        <v>0</v>
      </c>
      <c r="P62" s="5">
        <f>ROUND(Source!EV37,O62)</f>
        <v>0</v>
      </c>
      <c r="Q62" s="5"/>
      <c r="R62" s="5"/>
      <c r="S62" s="5"/>
      <c r="T62" s="5"/>
      <c r="U62" s="5"/>
      <c r="V62" s="5"/>
      <c r="W62" s="5">
        <v>0</v>
      </c>
      <c r="X62" s="5">
        <v>1</v>
      </c>
      <c r="Y62" s="5">
        <v>0</v>
      </c>
      <c r="Z62" s="5">
        <v>0</v>
      </c>
      <c r="AA62" s="5">
        <v>1</v>
      </c>
      <c r="AB62" s="5">
        <v>0</v>
      </c>
    </row>
    <row r="63" spans="1:28" ht="12.75">
      <c r="A63" s="5">
        <v>50</v>
      </c>
      <c r="B63" s="5">
        <v>0</v>
      </c>
      <c r="C63" s="5">
        <v>0</v>
      </c>
      <c r="D63" s="5">
        <v>1</v>
      </c>
      <c r="E63" s="5">
        <v>210</v>
      </c>
      <c r="F63" s="5">
        <f>ROUND(Source!X37,O63)</f>
        <v>5512</v>
      </c>
      <c r="G63" s="5" t="s">
        <v>104</v>
      </c>
      <c r="H63" s="5" t="s">
        <v>105</v>
      </c>
      <c r="I63" s="5"/>
      <c r="J63" s="5"/>
      <c r="K63" s="5">
        <v>210</v>
      </c>
      <c r="L63" s="5">
        <v>25</v>
      </c>
      <c r="M63" s="5">
        <v>3</v>
      </c>
      <c r="N63" s="5" t="s">
        <v>3</v>
      </c>
      <c r="O63" s="5">
        <v>0</v>
      </c>
      <c r="P63" s="5">
        <f>ROUND(Source!DP37,O63)</f>
        <v>198639</v>
      </c>
      <c r="Q63" s="5"/>
      <c r="R63" s="5"/>
      <c r="S63" s="5"/>
      <c r="T63" s="5"/>
      <c r="U63" s="5"/>
      <c r="V63" s="5"/>
      <c r="W63" s="5">
        <v>5512</v>
      </c>
      <c r="X63" s="5">
        <v>1</v>
      </c>
      <c r="Y63" s="5">
        <v>5512</v>
      </c>
      <c r="Z63" s="5">
        <v>198639</v>
      </c>
      <c r="AA63" s="5">
        <v>1</v>
      </c>
      <c r="AB63" s="5">
        <v>198639</v>
      </c>
    </row>
    <row r="64" spans="1:28" ht="12.75">
      <c r="A64" s="5">
        <v>50</v>
      </c>
      <c r="B64" s="5">
        <v>0</v>
      </c>
      <c r="C64" s="5">
        <v>0</v>
      </c>
      <c r="D64" s="5">
        <v>1</v>
      </c>
      <c r="E64" s="5">
        <v>211</v>
      </c>
      <c r="F64" s="5">
        <f>ROUND(Source!Y37,O64)</f>
        <v>3180</v>
      </c>
      <c r="G64" s="5" t="s">
        <v>106</v>
      </c>
      <c r="H64" s="5" t="s">
        <v>107</v>
      </c>
      <c r="I64" s="5"/>
      <c r="J64" s="5"/>
      <c r="K64" s="5">
        <v>211</v>
      </c>
      <c r="L64" s="5">
        <v>26</v>
      </c>
      <c r="M64" s="5">
        <v>3</v>
      </c>
      <c r="N64" s="5" t="s">
        <v>3</v>
      </c>
      <c r="O64" s="5">
        <v>0</v>
      </c>
      <c r="P64" s="5">
        <f>ROUND(Source!DQ37,O64)</f>
        <v>114590</v>
      </c>
      <c r="Q64" s="5"/>
      <c r="R64" s="5"/>
      <c r="S64" s="5"/>
      <c r="T64" s="5"/>
      <c r="U64" s="5"/>
      <c r="V64" s="5"/>
      <c r="W64" s="5">
        <v>3180</v>
      </c>
      <c r="X64" s="5">
        <v>1</v>
      </c>
      <c r="Y64" s="5">
        <v>3180</v>
      </c>
      <c r="Z64" s="5">
        <v>114590</v>
      </c>
      <c r="AA64" s="5">
        <v>1</v>
      </c>
      <c r="AB64" s="5">
        <v>114590</v>
      </c>
    </row>
    <row r="65" spans="1:28" ht="12.75">
      <c r="A65" s="5">
        <v>50</v>
      </c>
      <c r="B65" s="5">
        <v>0</v>
      </c>
      <c r="C65" s="5">
        <v>0</v>
      </c>
      <c r="D65" s="5">
        <v>1</v>
      </c>
      <c r="E65" s="5">
        <v>224</v>
      </c>
      <c r="F65" s="5">
        <f>ROUND(Source!AR37,O65)</f>
        <v>14952</v>
      </c>
      <c r="G65" s="5" t="s">
        <v>108</v>
      </c>
      <c r="H65" s="5" t="s">
        <v>109</v>
      </c>
      <c r="I65" s="5"/>
      <c r="J65" s="5"/>
      <c r="K65" s="5">
        <v>224</v>
      </c>
      <c r="L65" s="5">
        <v>27</v>
      </c>
      <c r="M65" s="5">
        <v>3</v>
      </c>
      <c r="N65" s="5" t="s">
        <v>3</v>
      </c>
      <c r="O65" s="5">
        <v>0</v>
      </c>
      <c r="P65" s="5">
        <f>ROUND(Source!EJ37,O65)</f>
        <v>503609</v>
      </c>
      <c r="Q65" s="5"/>
      <c r="R65" s="5"/>
      <c r="S65" s="5"/>
      <c r="T65" s="5"/>
      <c r="U65" s="5"/>
      <c r="V65" s="5"/>
      <c r="W65" s="5">
        <v>14952</v>
      </c>
      <c r="X65" s="5">
        <v>1</v>
      </c>
      <c r="Y65" s="5">
        <v>14952</v>
      </c>
      <c r="Z65" s="5">
        <v>503609</v>
      </c>
      <c r="AA65" s="5">
        <v>1</v>
      </c>
      <c r="AB65" s="5">
        <v>503609</v>
      </c>
    </row>
    <row r="67" spans="1:88" ht="12.75">
      <c r="A67" s="1">
        <v>4</v>
      </c>
      <c r="B67" s="1">
        <v>1</v>
      </c>
      <c r="C67" s="1"/>
      <c r="D67" s="1">
        <f>ROW(A126)</f>
        <v>126</v>
      </c>
      <c r="E67" s="1"/>
      <c r="F67" s="1" t="s">
        <v>19</v>
      </c>
      <c r="G67" s="1" t="s">
        <v>88</v>
      </c>
      <c r="H67" s="1" t="s">
        <v>3</v>
      </c>
      <c r="I67" s="1">
        <v>0</v>
      </c>
      <c r="J67" s="1"/>
      <c r="K67" s="1">
        <v>0</v>
      </c>
      <c r="L67" s="1"/>
      <c r="M67" s="1" t="s">
        <v>3</v>
      </c>
      <c r="N67" s="1"/>
      <c r="O67" s="1"/>
      <c r="P67" s="1"/>
      <c r="Q67" s="1"/>
      <c r="R67" s="1"/>
      <c r="S67" s="1">
        <v>0</v>
      </c>
      <c r="T67" s="1">
        <v>0</v>
      </c>
      <c r="U67" s="1" t="s">
        <v>3</v>
      </c>
      <c r="V67" s="1">
        <v>0</v>
      </c>
      <c r="W67" s="1"/>
      <c r="X67" s="1"/>
      <c r="Y67" s="1"/>
      <c r="Z67" s="1"/>
      <c r="AA67" s="1"/>
      <c r="AB67" s="1" t="s">
        <v>3</v>
      </c>
      <c r="AC67" s="1" t="s">
        <v>3</v>
      </c>
      <c r="AD67" s="1" t="s">
        <v>3</v>
      </c>
      <c r="AE67" s="1" t="s">
        <v>3</v>
      </c>
      <c r="AF67" s="1" t="s">
        <v>3</v>
      </c>
      <c r="AG67" s="1" t="s">
        <v>3</v>
      </c>
      <c r="AH67" s="1"/>
      <c r="AI67" s="1"/>
      <c r="AJ67" s="1"/>
      <c r="AK67" s="1"/>
      <c r="AL67" s="1"/>
      <c r="AM67" s="1"/>
      <c r="AN67" s="1"/>
      <c r="AO67" s="1"/>
      <c r="AP67" s="1" t="s">
        <v>3</v>
      </c>
      <c r="AQ67" s="1" t="s">
        <v>3</v>
      </c>
      <c r="AR67" s="1" t="s">
        <v>3</v>
      </c>
      <c r="AS67" s="1"/>
      <c r="AT67" s="1"/>
      <c r="AU67" s="1"/>
      <c r="AV67" s="1"/>
      <c r="AW67" s="1"/>
      <c r="AX67" s="1"/>
      <c r="AY67" s="1"/>
      <c r="AZ67" s="1" t="s">
        <v>3</v>
      </c>
      <c r="BA67" s="1"/>
      <c r="BB67" s="1" t="s">
        <v>3</v>
      </c>
      <c r="BC67" s="1" t="s">
        <v>3</v>
      </c>
      <c r="BD67" s="1" t="s">
        <v>3</v>
      </c>
      <c r="BE67" s="1" t="s">
        <v>3</v>
      </c>
      <c r="BF67" s="1" t="s">
        <v>3</v>
      </c>
      <c r="BG67" s="1" t="s">
        <v>3</v>
      </c>
      <c r="BH67" s="1" t="s">
        <v>3</v>
      </c>
      <c r="BI67" s="1" t="s">
        <v>3</v>
      </c>
      <c r="BJ67" s="1" t="s">
        <v>3</v>
      </c>
      <c r="BK67" s="1" t="s">
        <v>3</v>
      </c>
      <c r="BL67" s="1" t="s">
        <v>3</v>
      </c>
      <c r="BM67" s="1" t="s">
        <v>3</v>
      </c>
      <c r="BN67" s="1" t="s">
        <v>3</v>
      </c>
      <c r="BO67" s="1" t="s">
        <v>3</v>
      </c>
      <c r="BP67" s="1" t="s">
        <v>3</v>
      </c>
      <c r="BQ67" s="1"/>
      <c r="BR67" s="1"/>
      <c r="BS67" s="1"/>
      <c r="BT67" s="1"/>
      <c r="BU67" s="1"/>
      <c r="BV67" s="1"/>
      <c r="BW67" s="1"/>
      <c r="BX67" s="1">
        <v>0</v>
      </c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>
        <v>0</v>
      </c>
    </row>
    <row r="69" spans="1:206" ht="12.75">
      <c r="A69" s="3">
        <v>52</v>
      </c>
      <c r="B69" s="3">
        <f aca="true" t="shared" si="57" ref="B69:G69">B126</f>
        <v>1</v>
      </c>
      <c r="C69" s="3">
        <f t="shared" si="57"/>
        <v>4</v>
      </c>
      <c r="D69" s="3">
        <f t="shared" si="57"/>
        <v>67</v>
      </c>
      <c r="E69" s="3">
        <f t="shared" si="57"/>
        <v>0</v>
      </c>
      <c r="F69" s="3" t="str">
        <f t="shared" si="57"/>
        <v>Новый раздел</v>
      </c>
      <c r="G69" s="3" t="str">
        <f t="shared" si="57"/>
        <v>Монтаж</v>
      </c>
      <c r="H69" s="3"/>
      <c r="I69" s="3"/>
      <c r="J69" s="3"/>
      <c r="K69" s="3"/>
      <c r="L69" s="3"/>
      <c r="M69" s="3"/>
      <c r="N69" s="3"/>
      <c r="O69" s="3">
        <f aca="true" t="shared" si="58" ref="O69:AT69">O126</f>
        <v>198058</v>
      </c>
      <c r="P69" s="3">
        <f t="shared" si="58"/>
        <v>184844</v>
      </c>
      <c r="Q69" s="3">
        <f t="shared" si="58"/>
        <v>4274</v>
      </c>
      <c r="R69" s="3">
        <f t="shared" si="58"/>
        <v>454</v>
      </c>
      <c r="S69" s="3">
        <f t="shared" si="58"/>
        <v>8940</v>
      </c>
      <c r="T69" s="3">
        <f t="shared" si="58"/>
        <v>0</v>
      </c>
      <c r="U69" s="3">
        <f t="shared" si="58"/>
        <v>999.3955400000001</v>
      </c>
      <c r="V69" s="3">
        <f t="shared" si="58"/>
        <v>38.819874999999996</v>
      </c>
      <c r="W69" s="3">
        <f t="shared" si="58"/>
        <v>0</v>
      </c>
      <c r="X69" s="3">
        <f t="shared" si="58"/>
        <v>10173</v>
      </c>
      <c r="Y69" s="3">
        <f t="shared" si="58"/>
        <v>5338</v>
      </c>
      <c r="Z69" s="3">
        <f t="shared" si="58"/>
        <v>0</v>
      </c>
      <c r="AA69" s="3">
        <f t="shared" si="58"/>
        <v>0</v>
      </c>
      <c r="AB69" s="3">
        <f t="shared" si="58"/>
        <v>198058</v>
      </c>
      <c r="AC69" s="3">
        <f t="shared" si="58"/>
        <v>184844</v>
      </c>
      <c r="AD69" s="3">
        <f t="shared" si="58"/>
        <v>4274</v>
      </c>
      <c r="AE69" s="3">
        <f t="shared" si="58"/>
        <v>454</v>
      </c>
      <c r="AF69" s="3">
        <f t="shared" si="58"/>
        <v>8940</v>
      </c>
      <c r="AG69" s="3">
        <f t="shared" si="58"/>
        <v>0</v>
      </c>
      <c r="AH69" s="3">
        <f t="shared" si="58"/>
        <v>999.3955400000001</v>
      </c>
      <c r="AI69" s="3">
        <f t="shared" si="58"/>
        <v>38.819874999999996</v>
      </c>
      <c r="AJ69" s="3">
        <f t="shared" si="58"/>
        <v>0</v>
      </c>
      <c r="AK69" s="3">
        <f t="shared" si="58"/>
        <v>10173</v>
      </c>
      <c r="AL69" s="3">
        <f t="shared" si="58"/>
        <v>5338</v>
      </c>
      <c r="AM69" s="3">
        <f t="shared" si="58"/>
        <v>0</v>
      </c>
      <c r="AN69" s="3">
        <f t="shared" si="58"/>
        <v>0</v>
      </c>
      <c r="AO69" s="3">
        <f t="shared" si="58"/>
        <v>0</v>
      </c>
      <c r="AP69" s="3">
        <f t="shared" si="58"/>
        <v>0</v>
      </c>
      <c r="AQ69" s="3">
        <f t="shared" si="58"/>
        <v>0</v>
      </c>
      <c r="AR69" s="3">
        <f t="shared" si="58"/>
        <v>213569</v>
      </c>
      <c r="AS69" s="3">
        <f t="shared" si="58"/>
        <v>213569</v>
      </c>
      <c r="AT69" s="3">
        <f t="shared" si="58"/>
        <v>0</v>
      </c>
      <c r="AU69" s="3">
        <f aca="true" t="shared" si="59" ref="AU69:BZ69">AU126</f>
        <v>0</v>
      </c>
      <c r="AV69" s="3">
        <f t="shared" si="59"/>
        <v>184844</v>
      </c>
      <c r="AW69" s="3">
        <f t="shared" si="59"/>
        <v>184844</v>
      </c>
      <c r="AX69" s="3">
        <f t="shared" si="59"/>
        <v>0</v>
      </c>
      <c r="AY69" s="3">
        <f t="shared" si="59"/>
        <v>184844</v>
      </c>
      <c r="AZ69" s="3">
        <f t="shared" si="59"/>
        <v>0</v>
      </c>
      <c r="BA69" s="3">
        <f t="shared" si="59"/>
        <v>0</v>
      </c>
      <c r="BB69" s="3">
        <f t="shared" si="59"/>
        <v>0</v>
      </c>
      <c r="BC69" s="3">
        <f t="shared" si="59"/>
        <v>0</v>
      </c>
      <c r="BD69" s="3">
        <f t="shared" si="59"/>
        <v>0</v>
      </c>
      <c r="BE69" s="3">
        <f t="shared" si="59"/>
        <v>0</v>
      </c>
      <c r="BF69" s="3">
        <f t="shared" si="59"/>
        <v>0</v>
      </c>
      <c r="BG69" s="3">
        <f t="shared" si="59"/>
        <v>0</v>
      </c>
      <c r="BH69" s="3">
        <f t="shared" si="59"/>
        <v>0</v>
      </c>
      <c r="BI69" s="3">
        <f t="shared" si="59"/>
        <v>0</v>
      </c>
      <c r="BJ69" s="3">
        <f t="shared" si="59"/>
        <v>0</v>
      </c>
      <c r="BK69" s="3">
        <f t="shared" si="59"/>
        <v>0</v>
      </c>
      <c r="BL69" s="3">
        <f t="shared" si="59"/>
        <v>0</v>
      </c>
      <c r="BM69" s="3">
        <f t="shared" si="59"/>
        <v>0</v>
      </c>
      <c r="BN69" s="3">
        <f t="shared" si="59"/>
        <v>0</v>
      </c>
      <c r="BO69" s="3">
        <f t="shared" si="59"/>
        <v>0</v>
      </c>
      <c r="BP69" s="3">
        <f t="shared" si="59"/>
        <v>0</v>
      </c>
      <c r="BQ69" s="3">
        <f t="shared" si="59"/>
        <v>0</v>
      </c>
      <c r="BR69" s="3">
        <f t="shared" si="59"/>
        <v>0</v>
      </c>
      <c r="BS69" s="3">
        <f t="shared" si="59"/>
        <v>0</v>
      </c>
      <c r="BT69" s="3">
        <f t="shared" si="59"/>
        <v>0</v>
      </c>
      <c r="BU69" s="3">
        <f t="shared" si="59"/>
        <v>0</v>
      </c>
      <c r="BV69" s="3">
        <f t="shared" si="59"/>
        <v>0</v>
      </c>
      <c r="BW69" s="3">
        <f t="shared" si="59"/>
        <v>0</v>
      </c>
      <c r="BX69" s="3">
        <f t="shared" si="59"/>
        <v>0</v>
      </c>
      <c r="BY69" s="3">
        <f t="shared" si="59"/>
        <v>0</v>
      </c>
      <c r="BZ69" s="3">
        <f t="shared" si="59"/>
        <v>0</v>
      </c>
      <c r="CA69" s="3">
        <f aca="true" t="shared" si="60" ref="CA69:DF69">CA126</f>
        <v>213569</v>
      </c>
      <c r="CB69" s="3">
        <f t="shared" si="60"/>
        <v>213569</v>
      </c>
      <c r="CC69" s="3">
        <f t="shared" si="60"/>
        <v>0</v>
      </c>
      <c r="CD69" s="3">
        <f t="shared" si="60"/>
        <v>0</v>
      </c>
      <c r="CE69" s="3">
        <f t="shared" si="60"/>
        <v>184844</v>
      </c>
      <c r="CF69" s="3">
        <f t="shared" si="60"/>
        <v>184844</v>
      </c>
      <c r="CG69" s="3">
        <f t="shared" si="60"/>
        <v>0</v>
      </c>
      <c r="CH69" s="3">
        <f t="shared" si="60"/>
        <v>184844</v>
      </c>
      <c r="CI69" s="3">
        <f t="shared" si="60"/>
        <v>0</v>
      </c>
      <c r="CJ69" s="3">
        <f t="shared" si="60"/>
        <v>0</v>
      </c>
      <c r="CK69" s="3">
        <f t="shared" si="60"/>
        <v>0</v>
      </c>
      <c r="CL69" s="3">
        <f t="shared" si="60"/>
        <v>0</v>
      </c>
      <c r="CM69" s="3">
        <f t="shared" si="60"/>
        <v>0</v>
      </c>
      <c r="CN69" s="3">
        <f t="shared" si="60"/>
        <v>0</v>
      </c>
      <c r="CO69" s="3">
        <f t="shared" si="60"/>
        <v>0</v>
      </c>
      <c r="CP69" s="3">
        <f t="shared" si="60"/>
        <v>0</v>
      </c>
      <c r="CQ69" s="3">
        <f t="shared" si="60"/>
        <v>0</v>
      </c>
      <c r="CR69" s="3">
        <f t="shared" si="60"/>
        <v>0</v>
      </c>
      <c r="CS69" s="3">
        <f t="shared" si="60"/>
        <v>0</v>
      </c>
      <c r="CT69" s="3">
        <f t="shared" si="60"/>
        <v>0</v>
      </c>
      <c r="CU69" s="3">
        <f t="shared" si="60"/>
        <v>0</v>
      </c>
      <c r="CV69" s="3">
        <f t="shared" si="60"/>
        <v>0</v>
      </c>
      <c r="CW69" s="3">
        <f t="shared" si="60"/>
        <v>0</v>
      </c>
      <c r="CX69" s="3">
        <f t="shared" si="60"/>
        <v>0</v>
      </c>
      <c r="CY69" s="3">
        <f t="shared" si="60"/>
        <v>0</v>
      </c>
      <c r="CZ69" s="3">
        <f t="shared" si="60"/>
        <v>0</v>
      </c>
      <c r="DA69" s="3">
        <f t="shared" si="60"/>
        <v>0</v>
      </c>
      <c r="DB69" s="3">
        <f t="shared" si="60"/>
        <v>0</v>
      </c>
      <c r="DC69" s="3">
        <f t="shared" si="60"/>
        <v>0</v>
      </c>
      <c r="DD69" s="3">
        <f t="shared" si="60"/>
        <v>0</v>
      </c>
      <c r="DE69" s="3">
        <f t="shared" si="60"/>
        <v>0</v>
      </c>
      <c r="DF69" s="3">
        <f t="shared" si="60"/>
        <v>0</v>
      </c>
      <c r="DG69" s="4">
        <f aca="true" t="shared" si="61" ref="DG69:EL69">DG126</f>
        <v>1340995</v>
      </c>
      <c r="DH69" s="4">
        <f t="shared" si="61"/>
        <v>982315</v>
      </c>
      <c r="DI69" s="4">
        <f t="shared" si="61"/>
        <v>36576</v>
      </c>
      <c r="DJ69" s="4">
        <f t="shared" si="61"/>
        <v>16383</v>
      </c>
      <c r="DK69" s="4">
        <f t="shared" si="61"/>
        <v>322104</v>
      </c>
      <c r="DL69" s="4">
        <f t="shared" si="61"/>
        <v>0</v>
      </c>
      <c r="DM69" s="4">
        <f t="shared" si="61"/>
        <v>999.3955400000001</v>
      </c>
      <c r="DN69" s="4">
        <f t="shared" si="61"/>
        <v>38.819874999999996</v>
      </c>
      <c r="DO69" s="4">
        <f t="shared" si="61"/>
        <v>0</v>
      </c>
      <c r="DP69" s="4">
        <f t="shared" si="61"/>
        <v>366641</v>
      </c>
      <c r="DQ69" s="4">
        <f t="shared" si="61"/>
        <v>192359</v>
      </c>
      <c r="DR69" s="4">
        <f t="shared" si="61"/>
        <v>0</v>
      </c>
      <c r="DS69" s="4">
        <f t="shared" si="61"/>
        <v>0</v>
      </c>
      <c r="DT69" s="4">
        <f t="shared" si="61"/>
        <v>1340995</v>
      </c>
      <c r="DU69" s="4">
        <f t="shared" si="61"/>
        <v>982315</v>
      </c>
      <c r="DV69" s="4">
        <f t="shared" si="61"/>
        <v>36576</v>
      </c>
      <c r="DW69" s="4">
        <f t="shared" si="61"/>
        <v>16383</v>
      </c>
      <c r="DX69" s="4">
        <f t="shared" si="61"/>
        <v>322104</v>
      </c>
      <c r="DY69" s="4">
        <f t="shared" si="61"/>
        <v>0</v>
      </c>
      <c r="DZ69" s="4">
        <f t="shared" si="61"/>
        <v>999.3955400000001</v>
      </c>
      <c r="EA69" s="4">
        <f t="shared" si="61"/>
        <v>38.819874999999996</v>
      </c>
      <c r="EB69" s="4">
        <f t="shared" si="61"/>
        <v>0</v>
      </c>
      <c r="EC69" s="4">
        <f t="shared" si="61"/>
        <v>366641</v>
      </c>
      <c r="ED69" s="4">
        <f t="shared" si="61"/>
        <v>192359</v>
      </c>
      <c r="EE69" s="4">
        <f t="shared" si="61"/>
        <v>0</v>
      </c>
      <c r="EF69" s="4">
        <f t="shared" si="61"/>
        <v>0</v>
      </c>
      <c r="EG69" s="4">
        <f t="shared" si="61"/>
        <v>0</v>
      </c>
      <c r="EH69" s="4">
        <f t="shared" si="61"/>
        <v>0</v>
      </c>
      <c r="EI69" s="4">
        <f t="shared" si="61"/>
        <v>0</v>
      </c>
      <c r="EJ69" s="4">
        <f t="shared" si="61"/>
        <v>1899995</v>
      </c>
      <c r="EK69" s="4">
        <f t="shared" si="61"/>
        <v>1899995</v>
      </c>
      <c r="EL69" s="4">
        <f t="shared" si="61"/>
        <v>0</v>
      </c>
      <c r="EM69" s="4">
        <f aca="true" t="shared" si="62" ref="EM69:FR69">EM126</f>
        <v>0</v>
      </c>
      <c r="EN69" s="4">
        <f t="shared" si="62"/>
        <v>982315</v>
      </c>
      <c r="EO69" s="4">
        <f t="shared" si="62"/>
        <v>982315</v>
      </c>
      <c r="EP69" s="4">
        <f t="shared" si="62"/>
        <v>0</v>
      </c>
      <c r="EQ69" s="4">
        <f t="shared" si="62"/>
        <v>982315</v>
      </c>
      <c r="ER69" s="4">
        <f t="shared" si="62"/>
        <v>0</v>
      </c>
      <c r="ES69" s="4">
        <f t="shared" si="62"/>
        <v>0</v>
      </c>
      <c r="ET69" s="4">
        <f t="shared" si="62"/>
        <v>0</v>
      </c>
      <c r="EU69" s="4">
        <f t="shared" si="62"/>
        <v>0</v>
      </c>
      <c r="EV69" s="4">
        <f t="shared" si="62"/>
        <v>0</v>
      </c>
      <c r="EW69" s="4">
        <f t="shared" si="62"/>
        <v>0</v>
      </c>
      <c r="EX69" s="4">
        <f t="shared" si="62"/>
        <v>0</v>
      </c>
      <c r="EY69" s="4">
        <f t="shared" si="62"/>
        <v>0</v>
      </c>
      <c r="EZ69" s="4">
        <f t="shared" si="62"/>
        <v>0</v>
      </c>
      <c r="FA69" s="4">
        <f t="shared" si="62"/>
        <v>0</v>
      </c>
      <c r="FB69" s="4">
        <f t="shared" si="62"/>
        <v>0</v>
      </c>
      <c r="FC69" s="4">
        <f t="shared" si="62"/>
        <v>0</v>
      </c>
      <c r="FD69" s="4">
        <f t="shared" si="62"/>
        <v>0</v>
      </c>
      <c r="FE69" s="4">
        <f t="shared" si="62"/>
        <v>0</v>
      </c>
      <c r="FF69" s="4">
        <f t="shared" si="62"/>
        <v>0</v>
      </c>
      <c r="FG69" s="4">
        <f t="shared" si="62"/>
        <v>0</v>
      </c>
      <c r="FH69" s="4">
        <f t="shared" si="62"/>
        <v>0</v>
      </c>
      <c r="FI69" s="4">
        <f t="shared" si="62"/>
        <v>0</v>
      </c>
      <c r="FJ69" s="4">
        <f t="shared" si="62"/>
        <v>0</v>
      </c>
      <c r="FK69" s="4">
        <f t="shared" si="62"/>
        <v>0</v>
      </c>
      <c r="FL69" s="4">
        <f t="shared" si="62"/>
        <v>0</v>
      </c>
      <c r="FM69" s="4">
        <f t="shared" si="62"/>
        <v>0</v>
      </c>
      <c r="FN69" s="4">
        <f t="shared" si="62"/>
        <v>0</v>
      </c>
      <c r="FO69" s="4">
        <f t="shared" si="62"/>
        <v>0</v>
      </c>
      <c r="FP69" s="4">
        <f t="shared" si="62"/>
        <v>0</v>
      </c>
      <c r="FQ69" s="4">
        <f t="shared" si="62"/>
        <v>0</v>
      </c>
      <c r="FR69" s="4">
        <f t="shared" si="62"/>
        <v>0</v>
      </c>
      <c r="FS69" s="4">
        <f aca="true" t="shared" si="63" ref="FS69:GX69">FS126</f>
        <v>1899995</v>
      </c>
      <c r="FT69" s="4">
        <f t="shared" si="63"/>
        <v>1899995</v>
      </c>
      <c r="FU69" s="4">
        <f t="shared" si="63"/>
        <v>0</v>
      </c>
      <c r="FV69" s="4">
        <f t="shared" si="63"/>
        <v>0</v>
      </c>
      <c r="FW69" s="4">
        <f t="shared" si="63"/>
        <v>982315</v>
      </c>
      <c r="FX69" s="4">
        <f t="shared" si="63"/>
        <v>982315</v>
      </c>
      <c r="FY69" s="4">
        <f t="shared" si="63"/>
        <v>0</v>
      </c>
      <c r="FZ69" s="4">
        <f t="shared" si="63"/>
        <v>982315</v>
      </c>
      <c r="GA69" s="4">
        <f t="shared" si="63"/>
        <v>0</v>
      </c>
      <c r="GB69" s="4">
        <f t="shared" si="63"/>
        <v>0</v>
      </c>
      <c r="GC69" s="4">
        <f t="shared" si="63"/>
        <v>0</v>
      </c>
      <c r="GD69" s="4">
        <f t="shared" si="63"/>
        <v>0</v>
      </c>
      <c r="GE69" s="4">
        <f t="shared" si="63"/>
        <v>0</v>
      </c>
      <c r="GF69" s="4">
        <f t="shared" si="63"/>
        <v>0</v>
      </c>
      <c r="GG69" s="4">
        <f t="shared" si="63"/>
        <v>0</v>
      </c>
      <c r="GH69" s="4">
        <f t="shared" si="63"/>
        <v>0</v>
      </c>
      <c r="GI69" s="4">
        <f t="shared" si="63"/>
        <v>0</v>
      </c>
      <c r="GJ69" s="4">
        <f t="shared" si="63"/>
        <v>0</v>
      </c>
      <c r="GK69" s="4">
        <f t="shared" si="63"/>
        <v>0</v>
      </c>
      <c r="GL69" s="4">
        <f t="shared" si="63"/>
        <v>0</v>
      </c>
      <c r="GM69" s="4">
        <f t="shared" si="63"/>
        <v>0</v>
      </c>
      <c r="GN69" s="4">
        <f t="shared" si="63"/>
        <v>0</v>
      </c>
      <c r="GO69" s="4">
        <f t="shared" si="63"/>
        <v>0</v>
      </c>
      <c r="GP69" s="4">
        <f t="shared" si="63"/>
        <v>0</v>
      </c>
      <c r="GQ69" s="4">
        <f t="shared" si="63"/>
        <v>0</v>
      </c>
      <c r="GR69" s="4">
        <f t="shared" si="63"/>
        <v>0</v>
      </c>
      <c r="GS69" s="4">
        <f t="shared" si="63"/>
        <v>0</v>
      </c>
      <c r="GT69" s="4">
        <f t="shared" si="63"/>
        <v>0</v>
      </c>
      <c r="GU69" s="4">
        <f t="shared" si="63"/>
        <v>0</v>
      </c>
      <c r="GV69" s="4">
        <f t="shared" si="63"/>
        <v>0</v>
      </c>
      <c r="GW69" s="4">
        <f t="shared" si="63"/>
        <v>0</v>
      </c>
      <c r="GX69" s="4">
        <f t="shared" si="63"/>
        <v>0</v>
      </c>
    </row>
    <row r="71" spans="1:255" ht="12.75">
      <c r="A71" s="2">
        <v>17</v>
      </c>
      <c r="B71" s="2">
        <v>1</v>
      </c>
      <c r="C71" s="2">
        <f>ROW(SmtRes!A26)</f>
        <v>26</v>
      </c>
      <c r="D71" s="2">
        <f>ROW(EtalonRes!A28)</f>
        <v>28</v>
      </c>
      <c r="E71" s="2" t="s">
        <v>110</v>
      </c>
      <c r="F71" s="2" t="s">
        <v>111</v>
      </c>
      <c r="G71" s="2" t="s">
        <v>112</v>
      </c>
      <c r="H71" s="2" t="s">
        <v>24</v>
      </c>
      <c r="I71" s="2">
        <f>ROUND(1110/100,7)</f>
        <v>11.1</v>
      </c>
      <c r="J71" s="2">
        <v>0</v>
      </c>
      <c r="K71" s="2">
        <f>ROUND(1110/100,7)</f>
        <v>11.1</v>
      </c>
      <c r="L71" s="2"/>
      <c r="M71" s="2"/>
      <c r="N71" s="2"/>
      <c r="O71" s="2">
        <f aca="true" t="shared" si="64" ref="O71:O102">ROUND(CP71,0)</f>
        <v>5722</v>
      </c>
      <c r="P71" s="2">
        <f aca="true" t="shared" si="65" ref="P71:P102">ROUND(CQ71*I71,0)</f>
        <v>407</v>
      </c>
      <c r="Q71" s="2">
        <f aca="true" t="shared" si="66" ref="Q71:Q102">ROUND(CR71*I71,0)</f>
        <v>2635</v>
      </c>
      <c r="R71" s="2">
        <f aca="true" t="shared" si="67" ref="R71:R102">ROUND(CS71*I71,0)</f>
        <v>303</v>
      </c>
      <c r="S71" s="2">
        <f aca="true" t="shared" si="68" ref="S71:S102">ROUND(CT71*I71,0)</f>
        <v>2680</v>
      </c>
      <c r="T71" s="2">
        <f aca="true" t="shared" si="69" ref="T71:T102">ROUND(CU71*I71,0)</f>
        <v>0</v>
      </c>
      <c r="U71" s="2">
        <f aca="true" t="shared" si="70" ref="U71:U102">CV71*I71</f>
        <v>310.1895</v>
      </c>
      <c r="V71" s="2">
        <f aca="true" t="shared" si="71" ref="V71:V102">CW71*I71</f>
        <v>26.917499999999997</v>
      </c>
      <c r="W71" s="2">
        <f aca="true" t="shared" si="72" ref="W71:W102">ROUND(CX71*I71,0)</f>
        <v>0</v>
      </c>
      <c r="X71" s="2">
        <f aca="true" t="shared" si="73" ref="X71:X102">ROUND(CY71,0)</f>
        <v>3251</v>
      </c>
      <c r="Y71" s="2">
        <f aca="true" t="shared" si="74" ref="Y71:Y102">ROUND(CZ71,0)</f>
        <v>1700</v>
      </c>
      <c r="Z71" s="2"/>
      <c r="AA71" s="2">
        <v>55110074</v>
      </c>
      <c r="AB71" s="2">
        <f aca="true" t="shared" si="75" ref="AB71:AB102">ROUND((AC71+AD71+AF71),2)</f>
        <v>515.53</v>
      </c>
      <c r="AC71" s="2">
        <f>ROUND((ES71),2)</f>
        <v>36.67</v>
      </c>
      <c r="AD71" s="2">
        <f>ROUND(((((ET71*ROUND(1.25,7)))-((EU71*ROUND(1.25,7))))+AE71),2)</f>
        <v>237.42</v>
      </c>
      <c r="AE71" s="2">
        <f>ROUND(((EU71*ROUND(1.25,7))),2)</f>
        <v>27.33</v>
      </c>
      <c r="AF71" s="2">
        <f>ROUND(((EV71*ROUND(1.15,7))),2)</f>
        <v>241.44</v>
      </c>
      <c r="AG71" s="2">
        <f aca="true" t="shared" si="76" ref="AG71:AG102">ROUND((AP71),2)</f>
        <v>0</v>
      </c>
      <c r="AH71" s="2">
        <f>((EW71*ROUND(1.15,7)))</f>
        <v>27.945</v>
      </c>
      <c r="AI71" s="2">
        <f>((EX71*ROUND(1.25,7)))</f>
        <v>2.425</v>
      </c>
      <c r="AJ71" s="2">
        <f aca="true" t="shared" si="77" ref="AJ71:AJ102">(AS71)</f>
        <v>0</v>
      </c>
      <c r="AK71" s="2">
        <v>436.55</v>
      </c>
      <c r="AL71" s="2">
        <v>36.67</v>
      </c>
      <c r="AM71" s="2">
        <v>189.93</v>
      </c>
      <c r="AN71" s="2">
        <v>21.86</v>
      </c>
      <c r="AO71" s="2">
        <v>209.95</v>
      </c>
      <c r="AP71" s="2">
        <v>0</v>
      </c>
      <c r="AQ71" s="2">
        <v>24.3</v>
      </c>
      <c r="AR71" s="2">
        <v>1.94</v>
      </c>
      <c r="AS71" s="2">
        <v>0</v>
      </c>
      <c r="AT71" s="2">
        <v>109</v>
      </c>
      <c r="AU71" s="2">
        <v>57</v>
      </c>
      <c r="AV71" s="2">
        <v>1</v>
      </c>
      <c r="AW71" s="2">
        <v>1</v>
      </c>
      <c r="AX71" s="2"/>
      <c r="AY71" s="2"/>
      <c r="AZ71" s="2">
        <v>1</v>
      </c>
      <c r="BA71" s="2">
        <v>1</v>
      </c>
      <c r="BB71" s="2">
        <v>1</v>
      </c>
      <c r="BC71" s="2">
        <v>1</v>
      </c>
      <c r="BD71" s="2" t="s">
        <v>3</v>
      </c>
      <c r="BE71" s="2" t="s">
        <v>3</v>
      </c>
      <c r="BF71" s="2" t="s">
        <v>3</v>
      </c>
      <c r="BG71" s="2" t="s">
        <v>3</v>
      </c>
      <c r="BH71" s="2">
        <v>0</v>
      </c>
      <c r="BI71" s="2">
        <v>1</v>
      </c>
      <c r="BJ71" s="2" t="s">
        <v>113</v>
      </c>
      <c r="BK71" s="2"/>
      <c r="BL71" s="2"/>
      <c r="BM71" s="2">
        <v>12001</v>
      </c>
      <c r="BN71" s="2">
        <v>0</v>
      </c>
      <c r="BO71" s="2" t="s">
        <v>3</v>
      </c>
      <c r="BP71" s="2">
        <v>0</v>
      </c>
      <c r="BQ71" s="2">
        <v>2</v>
      </c>
      <c r="BR71" s="2">
        <v>0</v>
      </c>
      <c r="BS71" s="2">
        <v>1</v>
      </c>
      <c r="BT71" s="2">
        <v>1</v>
      </c>
      <c r="BU71" s="2">
        <v>1</v>
      </c>
      <c r="BV71" s="2">
        <v>1</v>
      </c>
      <c r="BW71" s="2">
        <v>1</v>
      </c>
      <c r="BX71" s="2">
        <v>1</v>
      </c>
      <c r="BY71" s="2" t="s">
        <v>3</v>
      </c>
      <c r="BZ71" s="2">
        <v>109</v>
      </c>
      <c r="CA71" s="2">
        <v>57</v>
      </c>
      <c r="CB71" s="2" t="s">
        <v>3</v>
      </c>
      <c r="CC71" s="2"/>
      <c r="CD71" s="2"/>
      <c r="CE71" s="2">
        <v>0</v>
      </c>
      <c r="CF71" s="2">
        <v>0</v>
      </c>
      <c r="CG71" s="2">
        <v>0</v>
      </c>
      <c r="CH71" s="2"/>
      <c r="CI71" s="2"/>
      <c r="CJ71" s="2"/>
      <c r="CK71" s="2"/>
      <c r="CL71" s="2"/>
      <c r="CM71" s="2">
        <v>0</v>
      </c>
      <c r="CN71" s="2" t="s">
        <v>114</v>
      </c>
      <c r="CO71" s="2">
        <v>0</v>
      </c>
      <c r="CP71" s="2">
        <f aca="true" t="shared" si="78" ref="CP71:CP102">(P71+Q71+S71)</f>
        <v>5722</v>
      </c>
      <c r="CQ71" s="2">
        <f aca="true" t="shared" si="79" ref="CQ71:CQ102">AC71*BC71</f>
        <v>36.67</v>
      </c>
      <c r="CR71" s="2">
        <f aca="true" t="shared" si="80" ref="CR71:CR102">AD71*BB71</f>
        <v>237.42</v>
      </c>
      <c r="CS71" s="2">
        <f aca="true" t="shared" si="81" ref="CS71:CS102">AE71*BS71</f>
        <v>27.33</v>
      </c>
      <c r="CT71" s="2">
        <f aca="true" t="shared" si="82" ref="CT71:CT102">AF71*BA71</f>
        <v>241.44</v>
      </c>
      <c r="CU71" s="2">
        <f aca="true" t="shared" si="83" ref="CU71:CU102">AG71</f>
        <v>0</v>
      </c>
      <c r="CV71" s="2">
        <f aca="true" t="shared" si="84" ref="CV71:CV102">AH71</f>
        <v>27.945</v>
      </c>
      <c r="CW71" s="2">
        <f aca="true" t="shared" si="85" ref="CW71:CW102">AI71</f>
        <v>2.425</v>
      </c>
      <c r="CX71" s="2">
        <f aca="true" t="shared" si="86" ref="CX71:CX102">AJ71</f>
        <v>0</v>
      </c>
      <c r="CY71" s="2">
        <f aca="true" t="shared" si="87" ref="CY71:CY102">(((S71+R71)*AT71)/100)</f>
        <v>3251.47</v>
      </c>
      <c r="CZ71" s="2">
        <f aca="true" t="shared" si="88" ref="CZ71:CZ102">(((S71+R71)*AU71)/100)</f>
        <v>1700.31</v>
      </c>
      <c r="DA71" s="2"/>
      <c r="DB71" s="2"/>
      <c r="DC71" s="2" t="s">
        <v>3</v>
      </c>
      <c r="DD71" s="2" t="s">
        <v>3</v>
      </c>
      <c r="DE71" s="2" t="s">
        <v>115</v>
      </c>
      <c r="DF71" s="2" t="s">
        <v>115</v>
      </c>
      <c r="DG71" s="2" t="s">
        <v>116</v>
      </c>
      <c r="DH71" s="2" t="s">
        <v>3</v>
      </c>
      <c r="DI71" s="2" t="s">
        <v>116</v>
      </c>
      <c r="DJ71" s="2" t="s">
        <v>115</v>
      </c>
      <c r="DK71" s="2" t="s">
        <v>3</v>
      </c>
      <c r="DL71" s="2" t="s">
        <v>3</v>
      </c>
      <c r="DM71" s="2" t="s">
        <v>3</v>
      </c>
      <c r="DN71" s="2">
        <v>0</v>
      </c>
      <c r="DO71" s="2">
        <v>0</v>
      </c>
      <c r="DP71" s="2">
        <v>1</v>
      </c>
      <c r="DQ71" s="2">
        <v>1</v>
      </c>
      <c r="DR71" s="2"/>
      <c r="DS71" s="2"/>
      <c r="DT71" s="2"/>
      <c r="DU71" s="2">
        <v>1005</v>
      </c>
      <c r="DV71" s="2" t="s">
        <v>24</v>
      </c>
      <c r="DW71" s="2" t="s">
        <v>24</v>
      </c>
      <c r="DX71" s="2">
        <v>100</v>
      </c>
      <c r="DY71" s="2"/>
      <c r="DZ71" s="2" t="s">
        <v>3</v>
      </c>
      <c r="EA71" s="2" t="s">
        <v>3</v>
      </c>
      <c r="EB71" s="2" t="s">
        <v>3</v>
      </c>
      <c r="EC71" s="2" t="s">
        <v>3</v>
      </c>
      <c r="ED71" s="2"/>
      <c r="EE71" s="2">
        <v>53507574</v>
      </c>
      <c r="EF71" s="2">
        <v>2</v>
      </c>
      <c r="EG71" s="2" t="s">
        <v>26</v>
      </c>
      <c r="EH71" s="2">
        <v>12</v>
      </c>
      <c r="EI71" s="2" t="s">
        <v>117</v>
      </c>
      <c r="EJ71" s="2">
        <v>1</v>
      </c>
      <c r="EK71" s="2">
        <v>12001</v>
      </c>
      <c r="EL71" s="2" t="s">
        <v>117</v>
      </c>
      <c r="EM71" s="2" t="s">
        <v>118</v>
      </c>
      <c r="EN71" s="2"/>
      <c r="EO71" s="2" t="s">
        <v>119</v>
      </c>
      <c r="EP71" s="2"/>
      <c r="EQ71" s="2">
        <v>0</v>
      </c>
      <c r="ER71" s="2">
        <v>436.55</v>
      </c>
      <c r="ES71" s="2">
        <v>36.67</v>
      </c>
      <c r="ET71" s="2">
        <v>189.93</v>
      </c>
      <c r="EU71" s="2">
        <v>21.86</v>
      </c>
      <c r="EV71" s="2">
        <v>209.95</v>
      </c>
      <c r="EW71" s="2">
        <v>24.3</v>
      </c>
      <c r="EX71" s="2">
        <v>1.94</v>
      </c>
      <c r="EY71" s="2">
        <v>0</v>
      </c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>
        <v>0</v>
      </c>
      <c r="FR71" s="2">
        <f aca="true" t="shared" si="89" ref="FR71:FR102">ROUND(IF(AND(BH71=3,BI71=3),P71,0),0)</f>
        <v>0</v>
      </c>
      <c r="FS71" s="2">
        <v>0</v>
      </c>
      <c r="FT71" s="2"/>
      <c r="FU71" s="2"/>
      <c r="FV71" s="2"/>
      <c r="FW71" s="2"/>
      <c r="FX71" s="2">
        <v>109</v>
      </c>
      <c r="FY71" s="2">
        <v>57</v>
      </c>
      <c r="FZ71" s="2"/>
      <c r="GA71" s="2" t="s">
        <v>3</v>
      </c>
      <c r="GB71" s="2"/>
      <c r="GC71" s="2"/>
      <c r="GD71" s="2">
        <v>1</v>
      </c>
      <c r="GE71" s="2"/>
      <c r="GF71" s="2">
        <v>-1131866763</v>
      </c>
      <c r="GG71" s="2">
        <v>2</v>
      </c>
      <c r="GH71" s="2">
        <v>1</v>
      </c>
      <c r="GI71" s="2">
        <v>-2</v>
      </c>
      <c r="GJ71" s="2">
        <v>0</v>
      </c>
      <c r="GK71" s="2">
        <v>0</v>
      </c>
      <c r="GL71" s="2">
        <f aca="true" t="shared" si="90" ref="GL71:GL102">ROUND(IF(AND(BH71=3,BI71=3,FS71&lt;&gt;0),P71,0),0)</f>
        <v>0</v>
      </c>
      <c r="GM71" s="2">
        <f aca="true" t="shared" si="91" ref="GM71:GM102">ROUND(O71+X71+Y71,0)+GX71</f>
        <v>10673</v>
      </c>
      <c r="GN71" s="2">
        <f aca="true" t="shared" si="92" ref="GN71:GN102">IF(OR(BI71=0,BI71=1),ROUND(O71+X71+Y71,0),0)</f>
        <v>10673</v>
      </c>
      <c r="GO71" s="2">
        <f aca="true" t="shared" si="93" ref="GO71:GO102">IF(BI71=2,ROUND(O71+X71+Y71,0),0)</f>
        <v>0</v>
      </c>
      <c r="GP71" s="2">
        <f aca="true" t="shared" si="94" ref="GP71:GP102">IF(BI71=4,ROUND(O71+X71+Y71,0)+GX71,0)</f>
        <v>0</v>
      </c>
      <c r="GQ71" s="2"/>
      <c r="GR71" s="2">
        <v>0</v>
      </c>
      <c r="GS71" s="2">
        <v>0</v>
      </c>
      <c r="GT71" s="2">
        <v>0</v>
      </c>
      <c r="GU71" s="2" t="s">
        <v>3</v>
      </c>
      <c r="GV71" s="2">
        <f aca="true" t="shared" si="95" ref="GV71:GV102">ROUND((GT71),2)</f>
        <v>0</v>
      </c>
      <c r="GW71" s="2">
        <v>1</v>
      </c>
      <c r="GX71" s="2">
        <f aca="true" t="shared" si="96" ref="GX71:GX102">ROUND(HC71*I71,0)</f>
        <v>0</v>
      </c>
      <c r="GY71" s="2"/>
      <c r="GZ71" s="2"/>
      <c r="HA71" s="2">
        <v>0</v>
      </c>
      <c r="HB71" s="2">
        <v>0</v>
      </c>
      <c r="HC71" s="2">
        <f aca="true" t="shared" si="97" ref="HC71:HC102">GV71*GW71</f>
        <v>0</v>
      </c>
      <c r="HD71" s="2"/>
      <c r="HE71" s="2" t="s">
        <v>3</v>
      </c>
      <c r="HF71" s="2" t="s">
        <v>3</v>
      </c>
      <c r="HG71" s="2"/>
      <c r="HH71" s="2"/>
      <c r="HI71" s="2"/>
      <c r="HJ71" s="2"/>
      <c r="HK71" s="2"/>
      <c r="HL71" s="2"/>
      <c r="HM71" s="2" t="s">
        <v>3</v>
      </c>
      <c r="HN71" s="2" t="s">
        <v>120</v>
      </c>
      <c r="HO71" s="2" t="s">
        <v>121</v>
      </c>
      <c r="HP71" s="2" t="s">
        <v>117</v>
      </c>
      <c r="HQ71" s="2" t="s">
        <v>117</v>
      </c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>
        <v>0</v>
      </c>
      <c r="IL71" s="2"/>
      <c r="IM71" s="2"/>
      <c r="IN71" s="2"/>
      <c r="IO71" s="2"/>
      <c r="IP71" s="2"/>
      <c r="IQ71" s="2"/>
      <c r="IR71" s="2"/>
      <c r="IS71" s="2"/>
      <c r="IT71" s="2"/>
      <c r="IU71" s="2"/>
    </row>
    <row r="72" spans="1:245" ht="12.75">
      <c r="A72">
        <v>17</v>
      </c>
      <c r="B72">
        <v>1</v>
      </c>
      <c r="C72">
        <f>ROW(SmtRes!A34)</f>
        <v>34</v>
      </c>
      <c r="D72">
        <f>ROW(EtalonRes!A36)</f>
        <v>36</v>
      </c>
      <c r="E72" t="s">
        <v>110</v>
      </c>
      <c r="F72" t="s">
        <v>111</v>
      </c>
      <c r="G72" t="s">
        <v>112</v>
      </c>
      <c r="H72" t="s">
        <v>24</v>
      </c>
      <c r="I72">
        <f>ROUND(1110/100,7)</f>
        <v>11.1</v>
      </c>
      <c r="J72">
        <v>0</v>
      </c>
      <c r="K72">
        <f>ROUND(1110/100,7)</f>
        <v>11.1</v>
      </c>
      <c r="O72">
        <f t="shared" si="64"/>
        <v>123790</v>
      </c>
      <c r="P72">
        <f t="shared" si="65"/>
        <v>4197</v>
      </c>
      <c r="Q72">
        <f t="shared" si="66"/>
        <v>23033</v>
      </c>
      <c r="R72">
        <f t="shared" si="67"/>
        <v>10930</v>
      </c>
      <c r="S72">
        <f t="shared" si="68"/>
        <v>96560</v>
      </c>
      <c r="T72">
        <f t="shared" si="69"/>
        <v>0</v>
      </c>
      <c r="U72">
        <f t="shared" si="70"/>
        <v>310.1895</v>
      </c>
      <c r="V72">
        <f t="shared" si="71"/>
        <v>26.917499999999997</v>
      </c>
      <c r="W72">
        <f t="shared" si="72"/>
        <v>0</v>
      </c>
      <c r="X72">
        <f t="shared" si="73"/>
        <v>117164</v>
      </c>
      <c r="Y72">
        <f t="shared" si="74"/>
        <v>61269</v>
      </c>
      <c r="AA72">
        <v>55110083</v>
      </c>
      <c r="AB72">
        <f t="shared" si="75"/>
        <v>515.53</v>
      </c>
      <c r="AC72">
        <f>ROUND((ES72),2)</f>
        <v>36.67</v>
      </c>
      <c r="AD72">
        <f>ROUND(((((ET72*ROUND(1.25,7)))-((EU72*ROUND(1.25,7))))+AE72),2)</f>
        <v>237.42</v>
      </c>
      <c r="AE72">
        <f>ROUND(((EU72*ROUND(1.25,7))),2)</f>
        <v>27.33</v>
      </c>
      <c r="AF72">
        <f>ROUND(((EV72*ROUND(1.15,7))),2)</f>
        <v>241.44</v>
      </c>
      <c r="AG72">
        <f t="shared" si="76"/>
        <v>0</v>
      </c>
      <c r="AH72">
        <f>((EW72*ROUND(1.15,7)))</f>
        <v>27.945</v>
      </c>
      <c r="AI72">
        <f>((EX72*ROUND(1.25,7)))</f>
        <v>2.425</v>
      </c>
      <c r="AJ72">
        <f t="shared" si="77"/>
        <v>0</v>
      </c>
      <c r="AK72">
        <v>436.55</v>
      </c>
      <c r="AL72">
        <v>36.67</v>
      </c>
      <c r="AM72">
        <v>189.93</v>
      </c>
      <c r="AN72">
        <v>21.86</v>
      </c>
      <c r="AO72">
        <v>209.95</v>
      </c>
      <c r="AP72">
        <v>0</v>
      </c>
      <c r="AQ72">
        <v>24.3</v>
      </c>
      <c r="AR72">
        <v>1.94</v>
      </c>
      <c r="AS72">
        <v>0</v>
      </c>
      <c r="AT72">
        <v>109</v>
      </c>
      <c r="AU72">
        <v>57</v>
      </c>
      <c r="AV72">
        <v>1</v>
      </c>
      <c r="AW72">
        <v>1</v>
      </c>
      <c r="AZ72">
        <v>1</v>
      </c>
      <c r="BA72">
        <v>36.03</v>
      </c>
      <c r="BB72">
        <v>8.74</v>
      </c>
      <c r="BC72">
        <v>10.31</v>
      </c>
      <c r="BH72">
        <v>0</v>
      </c>
      <c r="BI72">
        <v>1</v>
      </c>
      <c r="BJ72" t="s">
        <v>113</v>
      </c>
      <c r="BM72">
        <v>12001</v>
      </c>
      <c r="BN72">
        <v>0</v>
      </c>
      <c r="BO72" t="s">
        <v>111</v>
      </c>
      <c r="BP72">
        <v>1</v>
      </c>
      <c r="BQ72">
        <v>2</v>
      </c>
      <c r="BR72">
        <v>0</v>
      </c>
      <c r="BS72">
        <v>36.03</v>
      </c>
      <c r="BT72">
        <v>1</v>
      </c>
      <c r="BU72">
        <v>1</v>
      </c>
      <c r="BV72">
        <v>1</v>
      </c>
      <c r="BW72">
        <v>1</v>
      </c>
      <c r="BX72">
        <v>1</v>
      </c>
      <c r="BZ72">
        <v>109</v>
      </c>
      <c r="CA72">
        <v>57</v>
      </c>
      <c r="CE72">
        <v>0</v>
      </c>
      <c r="CF72">
        <v>0</v>
      </c>
      <c r="CG72">
        <v>0</v>
      </c>
      <c r="CM72">
        <v>0</v>
      </c>
      <c r="CN72" t="s">
        <v>114</v>
      </c>
      <c r="CO72">
        <v>0</v>
      </c>
      <c r="CP72">
        <f t="shared" si="78"/>
        <v>123790</v>
      </c>
      <c r="CQ72">
        <f t="shared" si="79"/>
        <v>378.06770000000006</v>
      </c>
      <c r="CR72">
        <f t="shared" si="80"/>
        <v>2075.0508</v>
      </c>
      <c r="CS72">
        <f t="shared" si="81"/>
        <v>984.6999</v>
      </c>
      <c r="CT72">
        <f t="shared" si="82"/>
        <v>8699.083200000001</v>
      </c>
      <c r="CU72">
        <f t="shared" si="83"/>
        <v>0</v>
      </c>
      <c r="CV72">
        <f t="shared" si="84"/>
        <v>27.945</v>
      </c>
      <c r="CW72">
        <f t="shared" si="85"/>
        <v>2.425</v>
      </c>
      <c r="CX72">
        <f t="shared" si="86"/>
        <v>0</v>
      </c>
      <c r="CY72">
        <f t="shared" si="87"/>
        <v>117164.1</v>
      </c>
      <c r="CZ72">
        <f t="shared" si="88"/>
        <v>61269.3</v>
      </c>
      <c r="DE72" t="s">
        <v>115</v>
      </c>
      <c r="DF72" t="s">
        <v>115</v>
      </c>
      <c r="DG72" t="s">
        <v>116</v>
      </c>
      <c r="DI72" t="s">
        <v>116</v>
      </c>
      <c r="DJ72" t="s">
        <v>115</v>
      </c>
      <c r="DN72">
        <v>0</v>
      </c>
      <c r="DO72">
        <v>0</v>
      </c>
      <c r="DP72">
        <v>1</v>
      </c>
      <c r="DQ72">
        <v>1</v>
      </c>
      <c r="DU72">
        <v>1005</v>
      </c>
      <c r="DV72" t="s">
        <v>24</v>
      </c>
      <c r="DW72" t="s">
        <v>24</v>
      </c>
      <c r="DX72">
        <v>100</v>
      </c>
      <c r="EE72">
        <v>53507574</v>
      </c>
      <c r="EF72">
        <v>2</v>
      </c>
      <c r="EG72" t="s">
        <v>26</v>
      </c>
      <c r="EH72">
        <v>12</v>
      </c>
      <c r="EI72" t="s">
        <v>117</v>
      </c>
      <c r="EJ72">
        <v>1</v>
      </c>
      <c r="EK72">
        <v>12001</v>
      </c>
      <c r="EL72" t="s">
        <v>117</v>
      </c>
      <c r="EM72" t="s">
        <v>118</v>
      </c>
      <c r="EO72" t="s">
        <v>119</v>
      </c>
      <c r="EQ72">
        <v>0</v>
      </c>
      <c r="ER72">
        <v>436.55</v>
      </c>
      <c r="ES72">
        <v>36.67</v>
      </c>
      <c r="ET72">
        <v>189.93</v>
      </c>
      <c r="EU72">
        <v>21.86</v>
      </c>
      <c r="EV72">
        <v>209.95</v>
      </c>
      <c r="EW72">
        <v>24.3</v>
      </c>
      <c r="EX72">
        <v>1.94</v>
      </c>
      <c r="EY72">
        <v>0</v>
      </c>
      <c r="FQ72">
        <v>0</v>
      </c>
      <c r="FR72">
        <f t="shared" si="89"/>
        <v>0</v>
      </c>
      <c r="FS72">
        <v>0</v>
      </c>
      <c r="FX72">
        <v>109</v>
      </c>
      <c r="FY72">
        <v>57</v>
      </c>
      <c r="GD72">
        <v>1</v>
      </c>
      <c r="GF72">
        <v>-1131866763</v>
      </c>
      <c r="GG72">
        <v>2</v>
      </c>
      <c r="GH72">
        <v>1</v>
      </c>
      <c r="GI72">
        <v>2</v>
      </c>
      <c r="GJ72">
        <v>0</v>
      </c>
      <c r="GK72">
        <v>0</v>
      </c>
      <c r="GL72">
        <f t="shared" si="90"/>
        <v>0</v>
      </c>
      <c r="GM72">
        <f t="shared" si="91"/>
        <v>302223</v>
      </c>
      <c r="GN72">
        <f t="shared" si="92"/>
        <v>302223</v>
      </c>
      <c r="GO72">
        <f t="shared" si="93"/>
        <v>0</v>
      </c>
      <c r="GP72">
        <f t="shared" si="94"/>
        <v>0</v>
      </c>
      <c r="GR72">
        <v>0</v>
      </c>
      <c r="GS72">
        <v>0</v>
      </c>
      <c r="GT72">
        <v>0</v>
      </c>
      <c r="GV72">
        <f t="shared" si="95"/>
        <v>0</v>
      </c>
      <c r="GW72">
        <v>1</v>
      </c>
      <c r="GX72">
        <f t="shared" si="96"/>
        <v>0</v>
      </c>
      <c r="HA72">
        <v>0</v>
      </c>
      <c r="HB72">
        <v>0</v>
      </c>
      <c r="HC72">
        <f t="shared" si="97"/>
        <v>0</v>
      </c>
      <c r="HN72" t="s">
        <v>120</v>
      </c>
      <c r="HO72" t="s">
        <v>121</v>
      </c>
      <c r="HP72" t="s">
        <v>117</v>
      </c>
      <c r="HQ72" t="s">
        <v>117</v>
      </c>
      <c r="IK72">
        <v>0</v>
      </c>
    </row>
    <row r="73" spans="1:255" ht="12.75">
      <c r="A73" s="2">
        <v>18</v>
      </c>
      <c r="B73" s="2">
        <v>1</v>
      </c>
      <c r="C73" s="2">
        <v>25</v>
      </c>
      <c r="D73" s="2"/>
      <c r="E73" s="2" t="s">
        <v>122</v>
      </c>
      <c r="F73" s="2" t="s">
        <v>123</v>
      </c>
      <c r="G73" s="2" t="s">
        <v>124</v>
      </c>
      <c r="H73" s="2" t="s">
        <v>125</v>
      </c>
      <c r="I73" s="2">
        <f>I71*J73</f>
        <v>30.058412</v>
      </c>
      <c r="J73" s="2">
        <v>2.707965045045045</v>
      </c>
      <c r="K73" s="2">
        <v>2.707965</v>
      </c>
      <c r="L73" s="2"/>
      <c r="M73" s="2"/>
      <c r="N73" s="2"/>
      <c r="O73" s="2">
        <f t="shared" si="64"/>
        <v>37364</v>
      </c>
      <c r="P73" s="2">
        <f t="shared" si="65"/>
        <v>37364</v>
      </c>
      <c r="Q73" s="2">
        <f t="shared" si="66"/>
        <v>0</v>
      </c>
      <c r="R73" s="2">
        <f t="shared" si="67"/>
        <v>0</v>
      </c>
      <c r="S73" s="2">
        <f t="shared" si="68"/>
        <v>0</v>
      </c>
      <c r="T73" s="2">
        <f t="shared" si="69"/>
        <v>0</v>
      </c>
      <c r="U73" s="2">
        <f t="shared" si="70"/>
        <v>0</v>
      </c>
      <c r="V73" s="2">
        <f t="shared" si="71"/>
        <v>0</v>
      </c>
      <c r="W73" s="2">
        <f t="shared" si="72"/>
        <v>0</v>
      </c>
      <c r="X73" s="2">
        <f t="shared" si="73"/>
        <v>0</v>
      </c>
      <c r="Y73" s="2">
        <f t="shared" si="74"/>
        <v>0</v>
      </c>
      <c r="Z73" s="2"/>
      <c r="AA73" s="2">
        <v>55110074</v>
      </c>
      <c r="AB73" s="2">
        <f t="shared" si="75"/>
        <v>1243.05</v>
      </c>
      <c r="AC73" s="2">
        <f>ROUND((ES73),2)</f>
        <v>1243.05</v>
      </c>
      <c r="AD73" s="2">
        <f>ROUND((((ET73)-(EU73))+AE73),2)</f>
        <v>0</v>
      </c>
      <c r="AE73" s="2">
        <f>ROUND((EU73),2)</f>
        <v>0</v>
      </c>
      <c r="AF73" s="2">
        <f>ROUND((EV73),2)</f>
        <v>0</v>
      </c>
      <c r="AG73" s="2">
        <f t="shared" si="76"/>
        <v>0</v>
      </c>
      <c r="AH73" s="2">
        <f>(EW73)</f>
        <v>0</v>
      </c>
      <c r="AI73" s="2">
        <f>(EX73)</f>
        <v>0</v>
      </c>
      <c r="AJ73" s="2">
        <f t="shared" si="77"/>
        <v>0</v>
      </c>
      <c r="AK73" s="2">
        <v>1243.05</v>
      </c>
      <c r="AL73" s="2">
        <v>1243.05</v>
      </c>
      <c r="AM73" s="2">
        <v>0</v>
      </c>
      <c r="AN73" s="2">
        <v>0</v>
      </c>
      <c r="AO73" s="2">
        <v>0</v>
      </c>
      <c r="AP73" s="2">
        <v>0</v>
      </c>
      <c r="AQ73" s="2">
        <v>0</v>
      </c>
      <c r="AR73" s="2">
        <v>0</v>
      </c>
      <c r="AS73" s="2">
        <v>0</v>
      </c>
      <c r="AT73" s="2">
        <v>109</v>
      </c>
      <c r="AU73" s="2">
        <v>57</v>
      </c>
      <c r="AV73" s="2">
        <v>1</v>
      </c>
      <c r="AW73" s="2">
        <v>1</v>
      </c>
      <c r="AX73" s="2"/>
      <c r="AY73" s="2"/>
      <c r="AZ73" s="2">
        <v>1</v>
      </c>
      <c r="BA73" s="2">
        <v>1</v>
      </c>
      <c r="BB73" s="2">
        <v>1</v>
      </c>
      <c r="BC73" s="2">
        <v>1</v>
      </c>
      <c r="BD73" s="2" t="s">
        <v>3</v>
      </c>
      <c r="BE73" s="2" t="s">
        <v>3</v>
      </c>
      <c r="BF73" s="2" t="s">
        <v>3</v>
      </c>
      <c r="BG73" s="2" t="s">
        <v>3</v>
      </c>
      <c r="BH73" s="2">
        <v>3</v>
      </c>
      <c r="BI73" s="2">
        <v>1</v>
      </c>
      <c r="BJ73" s="2" t="s">
        <v>126</v>
      </c>
      <c r="BK73" s="2"/>
      <c r="BL73" s="2"/>
      <c r="BM73" s="2">
        <v>12001</v>
      </c>
      <c r="BN73" s="2">
        <v>0</v>
      </c>
      <c r="BO73" s="2" t="s">
        <v>3</v>
      </c>
      <c r="BP73" s="2">
        <v>0</v>
      </c>
      <c r="BQ73" s="2">
        <v>2</v>
      </c>
      <c r="BR73" s="2">
        <v>0</v>
      </c>
      <c r="BS73" s="2">
        <v>1</v>
      </c>
      <c r="BT73" s="2">
        <v>1</v>
      </c>
      <c r="BU73" s="2">
        <v>1</v>
      </c>
      <c r="BV73" s="2">
        <v>1</v>
      </c>
      <c r="BW73" s="2">
        <v>1</v>
      </c>
      <c r="BX73" s="2">
        <v>1</v>
      </c>
      <c r="BY73" s="2" t="s">
        <v>3</v>
      </c>
      <c r="BZ73" s="2">
        <v>109</v>
      </c>
      <c r="CA73" s="2">
        <v>57</v>
      </c>
      <c r="CB73" s="2" t="s">
        <v>3</v>
      </c>
      <c r="CC73" s="2"/>
      <c r="CD73" s="2"/>
      <c r="CE73" s="2">
        <v>0</v>
      </c>
      <c r="CF73" s="2">
        <v>0</v>
      </c>
      <c r="CG73" s="2">
        <v>0</v>
      </c>
      <c r="CH73" s="2"/>
      <c r="CI73" s="2"/>
      <c r="CJ73" s="2"/>
      <c r="CK73" s="2"/>
      <c r="CL73" s="2"/>
      <c r="CM73" s="2">
        <v>0</v>
      </c>
      <c r="CN73" s="2" t="s">
        <v>3</v>
      </c>
      <c r="CO73" s="2">
        <v>0</v>
      </c>
      <c r="CP73" s="2">
        <f t="shared" si="78"/>
        <v>37364</v>
      </c>
      <c r="CQ73" s="2">
        <f t="shared" si="79"/>
        <v>1243.05</v>
      </c>
      <c r="CR73" s="2">
        <f t="shared" si="80"/>
        <v>0</v>
      </c>
      <c r="CS73" s="2">
        <f t="shared" si="81"/>
        <v>0</v>
      </c>
      <c r="CT73" s="2">
        <f t="shared" si="82"/>
        <v>0</v>
      </c>
      <c r="CU73" s="2">
        <f t="shared" si="83"/>
        <v>0</v>
      </c>
      <c r="CV73" s="2">
        <f t="shared" si="84"/>
        <v>0</v>
      </c>
      <c r="CW73" s="2">
        <f t="shared" si="85"/>
        <v>0</v>
      </c>
      <c r="CX73" s="2">
        <f t="shared" si="86"/>
        <v>0</v>
      </c>
      <c r="CY73" s="2">
        <f t="shared" si="87"/>
        <v>0</v>
      </c>
      <c r="CZ73" s="2">
        <f t="shared" si="88"/>
        <v>0</v>
      </c>
      <c r="DA73" s="2"/>
      <c r="DB73" s="2"/>
      <c r="DC73" s="2" t="s">
        <v>3</v>
      </c>
      <c r="DD73" s="2" t="s">
        <v>3</v>
      </c>
      <c r="DE73" s="2" t="s">
        <v>3</v>
      </c>
      <c r="DF73" s="2" t="s">
        <v>3</v>
      </c>
      <c r="DG73" s="2" t="s">
        <v>3</v>
      </c>
      <c r="DH73" s="2" t="s">
        <v>3</v>
      </c>
      <c r="DI73" s="2" t="s">
        <v>3</v>
      </c>
      <c r="DJ73" s="2" t="s">
        <v>3</v>
      </c>
      <c r="DK73" s="2" t="s">
        <v>3</v>
      </c>
      <c r="DL73" s="2" t="s">
        <v>3</v>
      </c>
      <c r="DM73" s="2" t="s">
        <v>3</v>
      </c>
      <c r="DN73" s="2">
        <v>0</v>
      </c>
      <c r="DO73" s="2">
        <v>0</v>
      </c>
      <c r="DP73" s="2">
        <v>1</v>
      </c>
      <c r="DQ73" s="2">
        <v>1</v>
      </c>
      <c r="DR73" s="2"/>
      <c r="DS73" s="2"/>
      <c r="DT73" s="2"/>
      <c r="DU73" s="2">
        <v>1009</v>
      </c>
      <c r="DV73" s="2" t="s">
        <v>125</v>
      </c>
      <c r="DW73" s="2" t="s">
        <v>125</v>
      </c>
      <c r="DX73" s="2">
        <v>1000</v>
      </c>
      <c r="DY73" s="2"/>
      <c r="DZ73" s="2" t="s">
        <v>3</v>
      </c>
      <c r="EA73" s="2" t="s">
        <v>3</v>
      </c>
      <c r="EB73" s="2" t="s">
        <v>3</v>
      </c>
      <c r="EC73" s="2" t="s">
        <v>3</v>
      </c>
      <c r="ED73" s="2"/>
      <c r="EE73" s="2">
        <v>53507574</v>
      </c>
      <c r="EF73" s="2">
        <v>2</v>
      </c>
      <c r="EG73" s="2" t="s">
        <v>26</v>
      </c>
      <c r="EH73" s="2">
        <v>12</v>
      </c>
      <c r="EI73" s="2" t="s">
        <v>117</v>
      </c>
      <c r="EJ73" s="2">
        <v>1</v>
      </c>
      <c r="EK73" s="2">
        <v>12001</v>
      </c>
      <c r="EL73" s="2" t="s">
        <v>117</v>
      </c>
      <c r="EM73" s="2" t="s">
        <v>118</v>
      </c>
      <c r="EN73" s="2"/>
      <c r="EO73" s="2" t="s">
        <v>3</v>
      </c>
      <c r="EP73" s="2"/>
      <c r="EQ73" s="2">
        <v>0</v>
      </c>
      <c r="ER73" s="2">
        <v>1243.05</v>
      </c>
      <c r="ES73" s="2">
        <v>1243.05</v>
      </c>
      <c r="ET73" s="2">
        <v>0</v>
      </c>
      <c r="EU73" s="2">
        <v>0</v>
      </c>
      <c r="EV73" s="2">
        <v>0</v>
      </c>
      <c r="EW73" s="2">
        <v>0</v>
      </c>
      <c r="EX73" s="2">
        <v>0</v>
      </c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>
        <v>0</v>
      </c>
      <c r="FR73" s="2">
        <f t="shared" si="89"/>
        <v>0</v>
      </c>
      <c r="FS73" s="2">
        <v>0</v>
      </c>
      <c r="FT73" s="2"/>
      <c r="FU73" s="2"/>
      <c r="FV73" s="2"/>
      <c r="FW73" s="2"/>
      <c r="FX73" s="2">
        <v>109</v>
      </c>
      <c r="FY73" s="2">
        <v>57</v>
      </c>
      <c r="FZ73" s="2"/>
      <c r="GA73" s="2" t="s">
        <v>3</v>
      </c>
      <c r="GB73" s="2"/>
      <c r="GC73" s="2"/>
      <c r="GD73" s="2">
        <v>1</v>
      </c>
      <c r="GE73" s="2"/>
      <c r="GF73" s="2">
        <v>-1961211957</v>
      </c>
      <c r="GG73" s="2">
        <v>2</v>
      </c>
      <c r="GH73" s="2">
        <v>1</v>
      </c>
      <c r="GI73" s="2">
        <v>-2</v>
      </c>
      <c r="GJ73" s="2">
        <v>0</v>
      </c>
      <c r="GK73" s="2">
        <v>0</v>
      </c>
      <c r="GL73" s="2">
        <f t="shared" si="90"/>
        <v>0</v>
      </c>
      <c r="GM73" s="2">
        <f t="shared" si="91"/>
        <v>37364</v>
      </c>
      <c r="GN73" s="2">
        <f t="shared" si="92"/>
        <v>37364</v>
      </c>
      <c r="GO73" s="2">
        <f t="shared" si="93"/>
        <v>0</v>
      </c>
      <c r="GP73" s="2">
        <f t="shared" si="94"/>
        <v>0</v>
      </c>
      <c r="GQ73" s="2"/>
      <c r="GR73" s="2">
        <v>0</v>
      </c>
      <c r="GS73" s="2">
        <v>0</v>
      </c>
      <c r="GT73" s="2">
        <v>0</v>
      </c>
      <c r="GU73" s="2" t="s">
        <v>3</v>
      </c>
      <c r="GV73" s="2">
        <f t="shared" si="95"/>
        <v>0</v>
      </c>
      <c r="GW73" s="2">
        <v>1</v>
      </c>
      <c r="GX73" s="2">
        <f t="shared" si="96"/>
        <v>0</v>
      </c>
      <c r="GY73" s="2"/>
      <c r="GZ73" s="2"/>
      <c r="HA73" s="2">
        <v>0</v>
      </c>
      <c r="HB73" s="2">
        <v>0</v>
      </c>
      <c r="HC73" s="2">
        <f t="shared" si="97"/>
        <v>0</v>
      </c>
      <c r="HD73" s="2"/>
      <c r="HE73" s="2" t="s">
        <v>3</v>
      </c>
      <c r="HF73" s="2" t="s">
        <v>3</v>
      </c>
      <c r="HG73" s="2"/>
      <c r="HH73" s="2"/>
      <c r="HI73" s="2"/>
      <c r="HJ73" s="2"/>
      <c r="HK73" s="2"/>
      <c r="HL73" s="2"/>
      <c r="HM73" s="2" t="s">
        <v>3</v>
      </c>
      <c r="HN73" s="2" t="s">
        <v>120</v>
      </c>
      <c r="HO73" s="2" t="s">
        <v>121</v>
      </c>
      <c r="HP73" s="2" t="s">
        <v>117</v>
      </c>
      <c r="HQ73" s="2" t="s">
        <v>117</v>
      </c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>
        <v>0</v>
      </c>
      <c r="IL73" s="2"/>
      <c r="IM73" s="2"/>
      <c r="IN73" s="2"/>
      <c r="IO73" s="2"/>
      <c r="IP73" s="2"/>
      <c r="IQ73" s="2"/>
      <c r="IR73" s="2"/>
      <c r="IS73" s="2"/>
      <c r="IT73" s="2"/>
      <c r="IU73" s="2"/>
    </row>
    <row r="74" spans="1:245" ht="12.75">
      <c r="A74">
        <v>18</v>
      </c>
      <c r="B74">
        <v>1</v>
      </c>
      <c r="C74">
        <v>33</v>
      </c>
      <c r="E74" t="s">
        <v>122</v>
      </c>
      <c r="F74" t="s">
        <v>123</v>
      </c>
      <c r="G74" t="s">
        <v>124</v>
      </c>
      <c r="H74" t="s">
        <v>125</v>
      </c>
      <c r="I74">
        <f>I72*J74</f>
        <v>30.058412</v>
      </c>
      <c r="J74">
        <v>2.707965045045045</v>
      </c>
      <c r="K74">
        <v>2.707965</v>
      </c>
      <c r="O74">
        <f t="shared" si="64"/>
        <v>169633</v>
      </c>
      <c r="P74">
        <f t="shared" si="65"/>
        <v>169633</v>
      </c>
      <c r="Q74">
        <f t="shared" si="66"/>
        <v>0</v>
      </c>
      <c r="R74">
        <f t="shared" si="67"/>
        <v>0</v>
      </c>
      <c r="S74">
        <f t="shared" si="68"/>
        <v>0</v>
      </c>
      <c r="T74">
        <f t="shared" si="69"/>
        <v>0</v>
      </c>
      <c r="U74">
        <f t="shared" si="70"/>
        <v>0</v>
      </c>
      <c r="V74">
        <f t="shared" si="71"/>
        <v>0</v>
      </c>
      <c r="W74">
        <f t="shared" si="72"/>
        <v>0</v>
      </c>
      <c r="X74">
        <f t="shared" si="73"/>
        <v>0</v>
      </c>
      <c r="Y74">
        <f t="shared" si="74"/>
        <v>0</v>
      </c>
      <c r="AA74">
        <v>55110083</v>
      </c>
      <c r="AB74">
        <f t="shared" si="75"/>
        <v>1243.05</v>
      </c>
      <c r="AC74">
        <f>ROUND((ES74),2)</f>
        <v>1243.05</v>
      </c>
      <c r="AD74">
        <f>ROUND((((ET74)-(EU74))+AE74),2)</f>
        <v>0</v>
      </c>
      <c r="AE74">
        <f>ROUND((EU74),2)</f>
        <v>0</v>
      </c>
      <c r="AF74">
        <f>ROUND((EV74),2)</f>
        <v>0</v>
      </c>
      <c r="AG74">
        <f t="shared" si="76"/>
        <v>0</v>
      </c>
      <c r="AH74">
        <f>(EW74)</f>
        <v>0</v>
      </c>
      <c r="AI74">
        <f>(EX74)</f>
        <v>0</v>
      </c>
      <c r="AJ74">
        <f t="shared" si="77"/>
        <v>0</v>
      </c>
      <c r="AK74">
        <v>1243.05</v>
      </c>
      <c r="AL74">
        <v>1243.05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109</v>
      </c>
      <c r="AU74">
        <v>57</v>
      </c>
      <c r="AV74">
        <v>1</v>
      </c>
      <c r="AW74">
        <v>1</v>
      </c>
      <c r="AZ74">
        <v>1</v>
      </c>
      <c r="BA74">
        <v>1</v>
      </c>
      <c r="BB74">
        <v>1</v>
      </c>
      <c r="BC74">
        <v>4.54</v>
      </c>
      <c r="BH74">
        <v>3</v>
      </c>
      <c r="BI74">
        <v>1</v>
      </c>
      <c r="BJ74" t="s">
        <v>126</v>
      </c>
      <c r="BM74">
        <v>12001</v>
      </c>
      <c r="BN74">
        <v>0</v>
      </c>
      <c r="BO74" t="s">
        <v>123</v>
      </c>
      <c r="BP74">
        <v>1</v>
      </c>
      <c r="BQ74">
        <v>2</v>
      </c>
      <c r="BR74">
        <v>0</v>
      </c>
      <c r="BS74">
        <v>1</v>
      </c>
      <c r="BT74">
        <v>1</v>
      </c>
      <c r="BU74">
        <v>1</v>
      </c>
      <c r="BV74">
        <v>1</v>
      </c>
      <c r="BW74">
        <v>1</v>
      </c>
      <c r="BX74">
        <v>1</v>
      </c>
      <c r="BZ74">
        <v>109</v>
      </c>
      <c r="CA74">
        <v>57</v>
      </c>
      <c r="CE74">
        <v>0</v>
      </c>
      <c r="CF74">
        <v>0</v>
      </c>
      <c r="CG74">
        <v>0</v>
      </c>
      <c r="CM74">
        <v>0</v>
      </c>
      <c r="CO74">
        <v>0</v>
      </c>
      <c r="CP74">
        <f t="shared" si="78"/>
        <v>169633</v>
      </c>
      <c r="CQ74">
        <f t="shared" si="79"/>
        <v>5643.447</v>
      </c>
      <c r="CR74">
        <f t="shared" si="80"/>
        <v>0</v>
      </c>
      <c r="CS74">
        <f t="shared" si="81"/>
        <v>0</v>
      </c>
      <c r="CT74">
        <f t="shared" si="82"/>
        <v>0</v>
      </c>
      <c r="CU74">
        <f t="shared" si="83"/>
        <v>0</v>
      </c>
      <c r="CV74">
        <f t="shared" si="84"/>
        <v>0</v>
      </c>
      <c r="CW74">
        <f t="shared" si="85"/>
        <v>0</v>
      </c>
      <c r="CX74">
        <f t="shared" si="86"/>
        <v>0</v>
      </c>
      <c r="CY74">
        <f t="shared" si="87"/>
        <v>0</v>
      </c>
      <c r="CZ74">
        <f t="shared" si="88"/>
        <v>0</v>
      </c>
      <c r="DN74">
        <v>0</v>
      </c>
      <c r="DO74">
        <v>0</v>
      </c>
      <c r="DP74">
        <v>1</v>
      </c>
      <c r="DQ74">
        <v>1</v>
      </c>
      <c r="DU74">
        <v>1009</v>
      </c>
      <c r="DV74" t="s">
        <v>125</v>
      </c>
      <c r="DW74" t="s">
        <v>125</v>
      </c>
      <c r="DX74">
        <v>1000</v>
      </c>
      <c r="EE74">
        <v>53507574</v>
      </c>
      <c r="EF74">
        <v>2</v>
      </c>
      <c r="EG74" t="s">
        <v>26</v>
      </c>
      <c r="EH74">
        <v>12</v>
      </c>
      <c r="EI74" t="s">
        <v>117</v>
      </c>
      <c r="EJ74">
        <v>1</v>
      </c>
      <c r="EK74">
        <v>12001</v>
      </c>
      <c r="EL74" t="s">
        <v>117</v>
      </c>
      <c r="EM74" t="s">
        <v>118</v>
      </c>
      <c r="EQ74">
        <v>0</v>
      </c>
      <c r="ER74">
        <v>1243.05</v>
      </c>
      <c r="ES74">
        <v>1243.05</v>
      </c>
      <c r="ET74">
        <v>0</v>
      </c>
      <c r="EU74">
        <v>0</v>
      </c>
      <c r="EV74">
        <v>0</v>
      </c>
      <c r="EW74">
        <v>0</v>
      </c>
      <c r="EX74">
        <v>0</v>
      </c>
      <c r="FQ74">
        <v>0</v>
      </c>
      <c r="FR74">
        <f t="shared" si="89"/>
        <v>0</v>
      </c>
      <c r="FS74">
        <v>0</v>
      </c>
      <c r="FX74">
        <v>109</v>
      </c>
      <c r="FY74">
        <v>57</v>
      </c>
      <c r="GD74">
        <v>1</v>
      </c>
      <c r="GF74">
        <v>-1961211957</v>
      </c>
      <c r="GG74">
        <v>2</v>
      </c>
      <c r="GH74">
        <v>1</v>
      </c>
      <c r="GI74">
        <v>2</v>
      </c>
      <c r="GJ74">
        <v>0</v>
      </c>
      <c r="GK74">
        <v>0</v>
      </c>
      <c r="GL74">
        <f t="shared" si="90"/>
        <v>0</v>
      </c>
      <c r="GM74">
        <f t="shared" si="91"/>
        <v>169633</v>
      </c>
      <c r="GN74">
        <f t="shared" si="92"/>
        <v>169633</v>
      </c>
      <c r="GO74">
        <f t="shared" si="93"/>
        <v>0</v>
      </c>
      <c r="GP74">
        <f t="shared" si="94"/>
        <v>0</v>
      </c>
      <c r="GR74">
        <v>0</v>
      </c>
      <c r="GS74">
        <v>0</v>
      </c>
      <c r="GT74">
        <v>0</v>
      </c>
      <c r="GV74">
        <f t="shared" si="95"/>
        <v>0</v>
      </c>
      <c r="GW74">
        <v>1</v>
      </c>
      <c r="GX74">
        <f t="shared" si="96"/>
        <v>0</v>
      </c>
      <c r="HA74">
        <v>0</v>
      </c>
      <c r="HB74">
        <v>0</v>
      </c>
      <c r="HC74">
        <f t="shared" si="97"/>
        <v>0</v>
      </c>
      <c r="HN74" t="s">
        <v>120</v>
      </c>
      <c r="HO74" t="s">
        <v>121</v>
      </c>
      <c r="HP74" t="s">
        <v>117</v>
      </c>
      <c r="HQ74" t="s">
        <v>117</v>
      </c>
      <c r="IK74">
        <v>0</v>
      </c>
    </row>
    <row r="75" spans="1:255" ht="12.75">
      <c r="A75" s="2">
        <v>17</v>
      </c>
      <c r="B75" s="2">
        <v>1</v>
      </c>
      <c r="C75" s="2">
        <f>ROW(SmtRes!A39)</f>
        <v>39</v>
      </c>
      <c r="D75" s="2">
        <f>ROW(EtalonRes!A41)</f>
        <v>41</v>
      </c>
      <c r="E75" s="2" t="s">
        <v>127</v>
      </c>
      <c r="F75" s="2" t="s">
        <v>128</v>
      </c>
      <c r="G75" s="2" t="s">
        <v>129</v>
      </c>
      <c r="H75" s="2" t="s">
        <v>24</v>
      </c>
      <c r="I75" s="2">
        <f>ROUND(550/100,7)</f>
        <v>5.5</v>
      </c>
      <c r="J75" s="2">
        <v>0</v>
      </c>
      <c r="K75" s="2">
        <f>ROUND(550/100,7)</f>
        <v>5.5</v>
      </c>
      <c r="L75" s="2"/>
      <c r="M75" s="2"/>
      <c r="N75" s="2"/>
      <c r="O75" s="2">
        <f t="shared" si="64"/>
        <v>364</v>
      </c>
      <c r="P75" s="2">
        <f t="shared" si="65"/>
        <v>0</v>
      </c>
      <c r="Q75" s="2">
        <f t="shared" si="66"/>
        <v>91</v>
      </c>
      <c r="R75" s="2">
        <f t="shared" si="67"/>
        <v>12</v>
      </c>
      <c r="S75" s="2">
        <f t="shared" si="68"/>
        <v>273</v>
      </c>
      <c r="T75" s="2">
        <f t="shared" si="69"/>
        <v>0</v>
      </c>
      <c r="U75" s="2">
        <f t="shared" si="70"/>
        <v>31.625</v>
      </c>
      <c r="V75" s="2">
        <f t="shared" si="71"/>
        <v>1.03125</v>
      </c>
      <c r="W75" s="2">
        <f t="shared" si="72"/>
        <v>0</v>
      </c>
      <c r="X75" s="2">
        <f t="shared" si="73"/>
        <v>311</v>
      </c>
      <c r="Y75" s="2">
        <f t="shared" si="74"/>
        <v>162</v>
      </c>
      <c r="Z75" s="2"/>
      <c r="AA75" s="2">
        <v>55110074</v>
      </c>
      <c r="AB75" s="2">
        <f t="shared" si="75"/>
        <v>66.31</v>
      </c>
      <c r="AC75" s="2">
        <f>ROUND(((ES75*ROUND(5,7))),2)</f>
        <v>0</v>
      </c>
      <c r="AD75" s="2">
        <f>ROUND(((((ET75*ROUND((1.25*5),7)))-((EU75*ROUND((1.25*5),7))))+AE75),2)</f>
        <v>16.63</v>
      </c>
      <c r="AE75" s="2">
        <f>ROUND(((EU75*ROUND((1.25*5),7))),2)</f>
        <v>2.13</v>
      </c>
      <c r="AF75" s="2">
        <f>ROUND(((EV75*ROUND((1.15*5),7))),2)</f>
        <v>49.68</v>
      </c>
      <c r="AG75" s="2">
        <f t="shared" si="76"/>
        <v>0</v>
      </c>
      <c r="AH75" s="2">
        <f>((EW75*ROUND((1.15*5),7)))</f>
        <v>5.75</v>
      </c>
      <c r="AI75" s="2">
        <f>((EX75*ROUND((1.25*5),7)))</f>
        <v>0.1875</v>
      </c>
      <c r="AJ75" s="2">
        <f t="shared" si="77"/>
        <v>0</v>
      </c>
      <c r="AK75" s="2">
        <v>11.3</v>
      </c>
      <c r="AL75" s="2">
        <v>0</v>
      </c>
      <c r="AM75" s="2">
        <v>2.66</v>
      </c>
      <c r="AN75" s="2">
        <v>0.34</v>
      </c>
      <c r="AO75" s="2">
        <v>8.64</v>
      </c>
      <c r="AP75" s="2">
        <v>0</v>
      </c>
      <c r="AQ75" s="2">
        <v>1</v>
      </c>
      <c r="AR75" s="2">
        <v>0.03</v>
      </c>
      <c r="AS75" s="2">
        <v>0</v>
      </c>
      <c r="AT75" s="2">
        <v>109</v>
      </c>
      <c r="AU75" s="2">
        <v>57</v>
      </c>
      <c r="AV75" s="2">
        <v>1</v>
      </c>
      <c r="AW75" s="2">
        <v>1</v>
      </c>
      <c r="AX75" s="2"/>
      <c r="AY75" s="2"/>
      <c r="AZ75" s="2">
        <v>1</v>
      </c>
      <c r="BA75" s="2">
        <v>1</v>
      </c>
      <c r="BB75" s="2">
        <v>1</v>
      </c>
      <c r="BC75" s="2">
        <v>1</v>
      </c>
      <c r="BD75" s="2" t="s">
        <v>3</v>
      </c>
      <c r="BE75" s="2" t="s">
        <v>3</v>
      </c>
      <c r="BF75" s="2" t="s">
        <v>3</v>
      </c>
      <c r="BG75" s="2" t="s">
        <v>3</v>
      </c>
      <c r="BH75" s="2">
        <v>0</v>
      </c>
      <c r="BI75" s="2">
        <v>1</v>
      </c>
      <c r="BJ75" s="2" t="s">
        <v>130</v>
      </c>
      <c r="BK75" s="2"/>
      <c r="BL75" s="2"/>
      <c r="BM75" s="2">
        <v>12001</v>
      </c>
      <c r="BN75" s="2">
        <v>0</v>
      </c>
      <c r="BO75" s="2" t="s">
        <v>3</v>
      </c>
      <c r="BP75" s="2">
        <v>0</v>
      </c>
      <c r="BQ75" s="2">
        <v>2</v>
      </c>
      <c r="BR75" s="2">
        <v>0</v>
      </c>
      <c r="BS75" s="2">
        <v>1</v>
      </c>
      <c r="BT75" s="2">
        <v>1</v>
      </c>
      <c r="BU75" s="2">
        <v>1</v>
      </c>
      <c r="BV75" s="2">
        <v>1</v>
      </c>
      <c r="BW75" s="2">
        <v>1</v>
      </c>
      <c r="BX75" s="2">
        <v>1</v>
      </c>
      <c r="BY75" s="2" t="s">
        <v>3</v>
      </c>
      <c r="BZ75" s="2">
        <v>109</v>
      </c>
      <c r="CA75" s="2">
        <v>57</v>
      </c>
      <c r="CB75" s="2" t="s">
        <v>3</v>
      </c>
      <c r="CC75" s="2"/>
      <c r="CD75" s="2"/>
      <c r="CE75" s="2">
        <v>0</v>
      </c>
      <c r="CF75" s="2">
        <v>0</v>
      </c>
      <c r="CG75" s="2">
        <v>0</v>
      </c>
      <c r="CH75" s="2"/>
      <c r="CI75" s="2"/>
      <c r="CJ75" s="2"/>
      <c r="CK75" s="2"/>
      <c r="CL75" s="2"/>
      <c r="CM75" s="2">
        <v>0</v>
      </c>
      <c r="CN75" s="2" t="s">
        <v>114</v>
      </c>
      <c r="CO75" s="2">
        <v>0</v>
      </c>
      <c r="CP75" s="2">
        <f t="shared" si="78"/>
        <v>364</v>
      </c>
      <c r="CQ75" s="2">
        <f t="shared" si="79"/>
        <v>0</v>
      </c>
      <c r="CR75" s="2">
        <f t="shared" si="80"/>
        <v>16.63</v>
      </c>
      <c r="CS75" s="2">
        <f t="shared" si="81"/>
        <v>2.13</v>
      </c>
      <c r="CT75" s="2">
        <f t="shared" si="82"/>
        <v>49.68</v>
      </c>
      <c r="CU75" s="2">
        <f t="shared" si="83"/>
        <v>0</v>
      </c>
      <c r="CV75" s="2">
        <f t="shared" si="84"/>
        <v>5.75</v>
      </c>
      <c r="CW75" s="2">
        <f t="shared" si="85"/>
        <v>0.1875</v>
      </c>
      <c r="CX75" s="2">
        <f t="shared" si="86"/>
        <v>0</v>
      </c>
      <c r="CY75" s="2">
        <f t="shared" si="87"/>
        <v>310.65</v>
      </c>
      <c r="CZ75" s="2">
        <f t="shared" si="88"/>
        <v>162.45</v>
      </c>
      <c r="DA75" s="2"/>
      <c r="DB75" s="2"/>
      <c r="DC75" s="2" t="s">
        <v>3</v>
      </c>
      <c r="DD75" s="2" t="s">
        <v>131</v>
      </c>
      <c r="DE75" s="2" t="s">
        <v>132</v>
      </c>
      <c r="DF75" s="2" t="s">
        <v>132</v>
      </c>
      <c r="DG75" s="2" t="s">
        <v>133</v>
      </c>
      <c r="DH75" s="2" t="s">
        <v>3</v>
      </c>
      <c r="DI75" s="2" t="s">
        <v>133</v>
      </c>
      <c r="DJ75" s="2" t="s">
        <v>132</v>
      </c>
      <c r="DK75" s="2" t="s">
        <v>3</v>
      </c>
      <c r="DL75" s="2" t="s">
        <v>3</v>
      </c>
      <c r="DM75" s="2" t="s">
        <v>3</v>
      </c>
      <c r="DN75" s="2">
        <v>0</v>
      </c>
      <c r="DO75" s="2">
        <v>0</v>
      </c>
      <c r="DP75" s="2">
        <v>1</v>
      </c>
      <c r="DQ75" s="2">
        <v>1</v>
      </c>
      <c r="DR75" s="2"/>
      <c r="DS75" s="2"/>
      <c r="DT75" s="2"/>
      <c r="DU75" s="2">
        <v>1005</v>
      </c>
      <c r="DV75" s="2" t="s">
        <v>24</v>
      </c>
      <c r="DW75" s="2" t="s">
        <v>24</v>
      </c>
      <c r="DX75" s="2">
        <v>100</v>
      </c>
      <c r="DY75" s="2"/>
      <c r="DZ75" s="2" t="s">
        <v>3</v>
      </c>
      <c r="EA75" s="2" t="s">
        <v>3</v>
      </c>
      <c r="EB75" s="2" t="s">
        <v>3</v>
      </c>
      <c r="EC75" s="2" t="s">
        <v>3</v>
      </c>
      <c r="ED75" s="2"/>
      <c r="EE75" s="2">
        <v>53507574</v>
      </c>
      <c r="EF75" s="2">
        <v>2</v>
      </c>
      <c r="EG75" s="2" t="s">
        <v>26</v>
      </c>
      <c r="EH75" s="2">
        <v>12</v>
      </c>
      <c r="EI75" s="2" t="s">
        <v>117</v>
      </c>
      <c r="EJ75" s="2">
        <v>1</v>
      </c>
      <c r="EK75" s="2">
        <v>12001</v>
      </c>
      <c r="EL75" s="2" t="s">
        <v>117</v>
      </c>
      <c r="EM75" s="2" t="s">
        <v>118</v>
      </c>
      <c r="EN75" s="2"/>
      <c r="EO75" s="2" t="s">
        <v>119</v>
      </c>
      <c r="EP75" s="2"/>
      <c r="EQ75" s="2">
        <v>0</v>
      </c>
      <c r="ER75" s="2">
        <v>11.3</v>
      </c>
      <c r="ES75" s="2">
        <v>0</v>
      </c>
      <c r="ET75" s="2">
        <v>2.66</v>
      </c>
      <c r="EU75" s="2">
        <v>0.34</v>
      </c>
      <c r="EV75" s="2">
        <v>8.64</v>
      </c>
      <c r="EW75" s="2">
        <v>1</v>
      </c>
      <c r="EX75" s="2">
        <v>0.03</v>
      </c>
      <c r="EY75" s="2">
        <v>0</v>
      </c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>
        <v>0</v>
      </c>
      <c r="FR75" s="2">
        <f t="shared" si="89"/>
        <v>0</v>
      </c>
      <c r="FS75" s="2">
        <v>0</v>
      </c>
      <c r="FT75" s="2"/>
      <c r="FU75" s="2"/>
      <c r="FV75" s="2"/>
      <c r="FW75" s="2"/>
      <c r="FX75" s="2">
        <v>109</v>
      </c>
      <c r="FY75" s="2">
        <v>57</v>
      </c>
      <c r="FZ75" s="2"/>
      <c r="GA75" s="2" t="s">
        <v>3</v>
      </c>
      <c r="GB75" s="2"/>
      <c r="GC75" s="2"/>
      <c r="GD75" s="2">
        <v>1</v>
      </c>
      <c r="GE75" s="2"/>
      <c r="GF75" s="2">
        <v>456578496</v>
      </c>
      <c r="GG75" s="2">
        <v>2</v>
      </c>
      <c r="GH75" s="2">
        <v>1</v>
      </c>
      <c r="GI75" s="2">
        <v>-2</v>
      </c>
      <c r="GJ75" s="2">
        <v>0</v>
      </c>
      <c r="GK75" s="2">
        <v>0</v>
      </c>
      <c r="GL75" s="2">
        <f t="shared" si="90"/>
        <v>0</v>
      </c>
      <c r="GM75" s="2">
        <f t="shared" si="91"/>
        <v>837</v>
      </c>
      <c r="GN75" s="2">
        <f t="shared" si="92"/>
        <v>837</v>
      </c>
      <c r="GO75" s="2">
        <f t="shared" si="93"/>
        <v>0</v>
      </c>
      <c r="GP75" s="2">
        <f t="shared" si="94"/>
        <v>0</v>
      </c>
      <c r="GQ75" s="2"/>
      <c r="GR75" s="2">
        <v>0</v>
      </c>
      <c r="GS75" s="2">
        <v>0</v>
      </c>
      <c r="GT75" s="2">
        <v>0</v>
      </c>
      <c r="GU75" s="2" t="s">
        <v>3</v>
      </c>
      <c r="GV75" s="2">
        <f t="shared" si="95"/>
        <v>0</v>
      </c>
      <c r="GW75" s="2">
        <v>1</v>
      </c>
      <c r="GX75" s="2">
        <f t="shared" si="96"/>
        <v>0</v>
      </c>
      <c r="GY75" s="2"/>
      <c r="GZ75" s="2"/>
      <c r="HA75" s="2">
        <v>0</v>
      </c>
      <c r="HB75" s="2">
        <v>0</v>
      </c>
      <c r="HC75" s="2">
        <f t="shared" si="97"/>
        <v>0</v>
      </c>
      <c r="HD75" s="2"/>
      <c r="HE75" s="2" t="s">
        <v>3</v>
      </c>
      <c r="HF75" s="2" t="s">
        <v>3</v>
      </c>
      <c r="HG75" s="2"/>
      <c r="HH75" s="2"/>
      <c r="HI75" s="2"/>
      <c r="HJ75" s="2"/>
      <c r="HK75" s="2"/>
      <c r="HL75" s="2"/>
      <c r="HM75" s="2" t="s">
        <v>3</v>
      </c>
      <c r="HN75" s="2" t="s">
        <v>120</v>
      </c>
      <c r="HO75" s="2" t="s">
        <v>121</v>
      </c>
      <c r="HP75" s="2" t="s">
        <v>117</v>
      </c>
      <c r="HQ75" s="2" t="s">
        <v>117</v>
      </c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>
        <v>0</v>
      </c>
      <c r="IL75" s="2"/>
      <c r="IM75" s="2"/>
      <c r="IN75" s="2"/>
      <c r="IO75" s="2"/>
      <c r="IP75" s="2"/>
      <c r="IQ75" s="2"/>
      <c r="IR75" s="2"/>
      <c r="IS75" s="2"/>
      <c r="IT75" s="2"/>
      <c r="IU75" s="2"/>
    </row>
    <row r="76" spans="1:245" ht="12.75">
      <c r="A76">
        <v>17</v>
      </c>
      <c r="B76">
        <v>1</v>
      </c>
      <c r="C76">
        <f>ROW(SmtRes!A44)</f>
        <v>44</v>
      </c>
      <c r="D76">
        <f>ROW(EtalonRes!A46)</f>
        <v>46</v>
      </c>
      <c r="E76" t="s">
        <v>127</v>
      </c>
      <c r="F76" t="s">
        <v>128</v>
      </c>
      <c r="G76" t="s">
        <v>129</v>
      </c>
      <c r="H76" t="s">
        <v>24</v>
      </c>
      <c r="I76">
        <f>ROUND(550/100,7)</f>
        <v>5.5</v>
      </c>
      <c r="J76">
        <v>0</v>
      </c>
      <c r="K76">
        <f>ROUND(550/100,7)</f>
        <v>5.5</v>
      </c>
      <c r="O76">
        <f t="shared" si="64"/>
        <v>10667</v>
      </c>
      <c r="P76">
        <f t="shared" si="65"/>
        <v>0</v>
      </c>
      <c r="Q76">
        <f t="shared" si="66"/>
        <v>822</v>
      </c>
      <c r="R76">
        <f t="shared" si="67"/>
        <v>422</v>
      </c>
      <c r="S76">
        <f t="shared" si="68"/>
        <v>9845</v>
      </c>
      <c r="T76">
        <f t="shared" si="69"/>
        <v>0</v>
      </c>
      <c r="U76">
        <f t="shared" si="70"/>
        <v>31.625</v>
      </c>
      <c r="V76">
        <f t="shared" si="71"/>
        <v>1.03125</v>
      </c>
      <c r="W76">
        <f t="shared" si="72"/>
        <v>0</v>
      </c>
      <c r="X76">
        <f t="shared" si="73"/>
        <v>11191</v>
      </c>
      <c r="Y76">
        <f t="shared" si="74"/>
        <v>5852</v>
      </c>
      <c r="AA76">
        <v>55110083</v>
      </c>
      <c r="AB76">
        <f t="shared" si="75"/>
        <v>66.31</v>
      </c>
      <c r="AC76">
        <f>ROUND(((ES76*ROUND(5,7))),2)</f>
        <v>0</v>
      </c>
      <c r="AD76">
        <f>ROUND(((((ET76*ROUND((1.25*5),7)))-((EU76*ROUND((1.25*5),7))))+AE76),2)</f>
        <v>16.63</v>
      </c>
      <c r="AE76">
        <f>ROUND(((EU76*ROUND((1.25*5),7))),2)</f>
        <v>2.13</v>
      </c>
      <c r="AF76">
        <f>ROUND(((EV76*ROUND((1.15*5),7))),2)</f>
        <v>49.68</v>
      </c>
      <c r="AG76">
        <f t="shared" si="76"/>
        <v>0</v>
      </c>
      <c r="AH76">
        <f>((EW76*ROUND((1.15*5),7)))</f>
        <v>5.75</v>
      </c>
      <c r="AI76">
        <f>((EX76*ROUND((1.25*5),7)))</f>
        <v>0.1875</v>
      </c>
      <c r="AJ76">
        <f t="shared" si="77"/>
        <v>0</v>
      </c>
      <c r="AK76">
        <v>11.3</v>
      </c>
      <c r="AL76">
        <v>0</v>
      </c>
      <c r="AM76">
        <v>2.66</v>
      </c>
      <c r="AN76">
        <v>0.34</v>
      </c>
      <c r="AO76">
        <v>8.64</v>
      </c>
      <c r="AP76">
        <v>0</v>
      </c>
      <c r="AQ76">
        <v>1</v>
      </c>
      <c r="AR76">
        <v>0.03</v>
      </c>
      <c r="AS76">
        <v>0</v>
      </c>
      <c r="AT76">
        <v>109</v>
      </c>
      <c r="AU76">
        <v>57</v>
      </c>
      <c r="AV76">
        <v>1</v>
      </c>
      <c r="AW76">
        <v>1</v>
      </c>
      <c r="AZ76">
        <v>1</v>
      </c>
      <c r="BA76">
        <v>36.03</v>
      </c>
      <c r="BB76">
        <v>8.99</v>
      </c>
      <c r="BC76">
        <v>1</v>
      </c>
      <c r="BH76">
        <v>0</v>
      </c>
      <c r="BI76">
        <v>1</v>
      </c>
      <c r="BJ76" t="s">
        <v>130</v>
      </c>
      <c r="BM76">
        <v>12001</v>
      </c>
      <c r="BN76">
        <v>0</v>
      </c>
      <c r="BO76" t="s">
        <v>128</v>
      </c>
      <c r="BP76">
        <v>1</v>
      </c>
      <c r="BQ76">
        <v>2</v>
      </c>
      <c r="BR76">
        <v>0</v>
      </c>
      <c r="BS76">
        <v>36.03</v>
      </c>
      <c r="BT76">
        <v>1</v>
      </c>
      <c r="BU76">
        <v>1</v>
      </c>
      <c r="BV76">
        <v>1</v>
      </c>
      <c r="BW76">
        <v>1</v>
      </c>
      <c r="BX76">
        <v>1</v>
      </c>
      <c r="BZ76">
        <v>109</v>
      </c>
      <c r="CA76">
        <v>57</v>
      </c>
      <c r="CE76">
        <v>0</v>
      </c>
      <c r="CF76">
        <v>0</v>
      </c>
      <c r="CG76">
        <v>0</v>
      </c>
      <c r="CM76">
        <v>0</v>
      </c>
      <c r="CN76" t="s">
        <v>114</v>
      </c>
      <c r="CO76">
        <v>0</v>
      </c>
      <c r="CP76">
        <f t="shared" si="78"/>
        <v>10667</v>
      </c>
      <c r="CQ76">
        <f t="shared" si="79"/>
        <v>0</v>
      </c>
      <c r="CR76">
        <f t="shared" si="80"/>
        <v>149.50369999999998</v>
      </c>
      <c r="CS76">
        <f t="shared" si="81"/>
        <v>76.7439</v>
      </c>
      <c r="CT76">
        <f t="shared" si="82"/>
        <v>1789.9704000000002</v>
      </c>
      <c r="CU76">
        <f t="shared" si="83"/>
        <v>0</v>
      </c>
      <c r="CV76">
        <f t="shared" si="84"/>
        <v>5.75</v>
      </c>
      <c r="CW76">
        <f t="shared" si="85"/>
        <v>0.1875</v>
      </c>
      <c r="CX76">
        <f t="shared" si="86"/>
        <v>0</v>
      </c>
      <c r="CY76">
        <f t="shared" si="87"/>
        <v>11191.03</v>
      </c>
      <c r="CZ76">
        <f t="shared" si="88"/>
        <v>5852.19</v>
      </c>
      <c r="DD76" t="s">
        <v>131</v>
      </c>
      <c r="DE76" t="s">
        <v>132</v>
      </c>
      <c r="DF76" t="s">
        <v>132</v>
      </c>
      <c r="DG76" t="s">
        <v>133</v>
      </c>
      <c r="DI76" t="s">
        <v>133</v>
      </c>
      <c r="DJ76" t="s">
        <v>132</v>
      </c>
      <c r="DN76">
        <v>0</v>
      </c>
      <c r="DO76">
        <v>0</v>
      </c>
      <c r="DP76">
        <v>1</v>
      </c>
      <c r="DQ76">
        <v>1</v>
      </c>
      <c r="DU76">
        <v>1005</v>
      </c>
      <c r="DV76" t="s">
        <v>24</v>
      </c>
      <c r="DW76" t="s">
        <v>24</v>
      </c>
      <c r="DX76">
        <v>100</v>
      </c>
      <c r="EE76">
        <v>53507574</v>
      </c>
      <c r="EF76">
        <v>2</v>
      </c>
      <c r="EG76" t="s">
        <v>26</v>
      </c>
      <c r="EH76">
        <v>12</v>
      </c>
      <c r="EI76" t="s">
        <v>117</v>
      </c>
      <c r="EJ76">
        <v>1</v>
      </c>
      <c r="EK76">
        <v>12001</v>
      </c>
      <c r="EL76" t="s">
        <v>117</v>
      </c>
      <c r="EM76" t="s">
        <v>118</v>
      </c>
      <c r="EO76" t="s">
        <v>119</v>
      </c>
      <c r="EQ76">
        <v>0</v>
      </c>
      <c r="ER76">
        <v>11.3</v>
      </c>
      <c r="ES76">
        <v>0</v>
      </c>
      <c r="ET76">
        <v>2.66</v>
      </c>
      <c r="EU76">
        <v>0.34</v>
      </c>
      <c r="EV76">
        <v>8.64</v>
      </c>
      <c r="EW76">
        <v>1</v>
      </c>
      <c r="EX76">
        <v>0.03</v>
      </c>
      <c r="EY76">
        <v>0</v>
      </c>
      <c r="FQ76">
        <v>0</v>
      </c>
      <c r="FR76">
        <f t="shared" si="89"/>
        <v>0</v>
      </c>
      <c r="FS76">
        <v>0</v>
      </c>
      <c r="FX76">
        <v>109</v>
      </c>
      <c r="FY76">
        <v>57</v>
      </c>
      <c r="GD76">
        <v>1</v>
      </c>
      <c r="GF76">
        <v>456578496</v>
      </c>
      <c r="GG76">
        <v>2</v>
      </c>
      <c r="GH76">
        <v>1</v>
      </c>
      <c r="GI76">
        <v>2</v>
      </c>
      <c r="GJ76">
        <v>0</v>
      </c>
      <c r="GK76">
        <v>0</v>
      </c>
      <c r="GL76">
        <f t="shared" si="90"/>
        <v>0</v>
      </c>
      <c r="GM76">
        <f t="shared" si="91"/>
        <v>27710</v>
      </c>
      <c r="GN76">
        <f t="shared" si="92"/>
        <v>27710</v>
      </c>
      <c r="GO76">
        <f t="shared" si="93"/>
        <v>0</v>
      </c>
      <c r="GP76">
        <f t="shared" si="94"/>
        <v>0</v>
      </c>
      <c r="GR76">
        <v>0</v>
      </c>
      <c r="GS76">
        <v>0</v>
      </c>
      <c r="GT76">
        <v>0</v>
      </c>
      <c r="GV76">
        <f t="shared" si="95"/>
        <v>0</v>
      </c>
      <c r="GW76">
        <v>1</v>
      </c>
      <c r="GX76">
        <f t="shared" si="96"/>
        <v>0</v>
      </c>
      <c r="HA76">
        <v>0</v>
      </c>
      <c r="HB76">
        <v>0</v>
      </c>
      <c r="HC76">
        <f t="shared" si="97"/>
        <v>0</v>
      </c>
      <c r="HN76" t="s">
        <v>120</v>
      </c>
      <c r="HO76" t="s">
        <v>121</v>
      </c>
      <c r="HP76" t="s">
        <v>117</v>
      </c>
      <c r="HQ76" t="s">
        <v>117</v>
      </c>
      <c r="IK76">
        <v>0</v>
      </c>
    </row>
    <row r="77" spans="1:255" ht="12.75">
      <c r="A77" s="2">
        <v>18</v>
      </c>
      <c r="B77" s="2">
        <v>1</v>
      </c>
      <c r="C77" s="2">
        <v>39</v>
      </c>
      <c r="D77" s="2"/>
      <c r="E77" s="2" t="s">
        <v>134</v>
      </c>
      <c r="F77" s="2" t="s">
        <v>123</v>
      </c>
      <c r="G77" s="2" t="s">
        <v>124</v>
      </c>
      <c r="H77" s="2" t="s">
        <v>125</v>
      </c>
      <c r="I77" s="2">
        <f>I75*J77</f>
        <v>4.97</v>
      </c>
      <c r="J77" s="2">
        <v>0.9036363636363636</v>
      </c>
      <c r="K77" s="2">
        <v>0.903636</v>
      </c>
      <c r="L77" s="2"/>
      <c r="M77" s="2"/>
      <c r="N77" s="2"/>
      <c r="O77" s="2">
        <f t="shared" si="64"/>
        <v>6178</v>
      </c>
      <c r="P77" s="2">
        <f t="shared" si="65"/>
        <v>6178</v>
      </c>
      <c r="Q77" s="2">
        <f t="shared" si="66"/>
        <v>0</v>
      </c>
      <c r="R77" s="2">
        <f t="shared" si="67"/>
        <v>0</v>
      </c>
      <c r="S77" s="2">
        <f t="shared" si="68"/>
        <v>0</v>
      </c>
      <c r="T77" s="2">
        <f t="shared" si="69"/>
        <v>0</v>
      </c>
      <c r="U77" s="2">
        <f t="shared" si="70"/>
        <v>0</v>
      </c>
      <c r="V77" s="2">
        <f t="shared" si="71"/>
        <v>0</v>
      </c>
      <c r="W77" s="2">
        <f t="shared" si="72"/>
        <v>0</v>
      </c>
      <c r="X77" s="2">
        <f t="shared" si="73"/>
        <v>0</v>
      </c>
      <c r="Y77" s="2">
        <f t="shared" si="74"/>
        <v>0</v>
      </c>
      <c r="Z77" s="2"/>
      <c r="AA77" s="2">
        <v>55110074</v>
      </c>
      <c r="AB77" s="2">
        <f t="shared" si="75"/>
        <v>1243.05</v>
      </c>
      <c r="AC77" s="2">
        <f aca="true" t="shared" si="98" ref="AC77:AC124">ROUND((ES77),2)</f>
        <v>1243.05</v>
      </c>
      <c r="AD77" s="2">
        <f>ROUND((((ET77)-(EU77))+AE77),2)</f>
        <v>0</v>
      </c>
      <c r="AE77" s="2">
        <f>ROUND((EU77),2)</f>
        <v>0</v>
      </c>
      <c r="AF77" s="2">
        <f>ROUND((EV77),2)</f>
        <v>0</v>
      </c>
      <c r="AG77" s="2">
        <f t="shared" si="76"/>
        <v>0</v>
      </c>
      <c r="AH77" s="2">
        <f>(EW77)</f>
        <v>0</v>
      </c>
      <c r="AI77" s="2">
        <f>(EX77)</f>
        <v>0</v>
      </c>
      <c r="AJ77" s="2">
        <f t="shared" si="77"/>
        <v>0</v>
      </c>
      <c r="AK77" s="2">
        <v>1243.05</v>
      </c>
      <c r="AL77" s="2">
        <v>1243.05</v>
      </c>
      <c r="AM77" s="2">
        <v>0</v>
      </c>
      <c r="AN77" s="2">
        <v>0</v>
      </c>
      <c r="AO77" s="2">
        <v>0</v>
      </c>
      <c r="AP77" s="2">
        <v>0</v>
      </c>
      <c r="AQ77" s="2">
        <v>0</v>
      </c>
      <c r="AR77" s="2">
        <v>0</v>
      </c>
      <c r="AS77" s="2">
        <v>0</v>
      </c>
      <c r="AT77" s="2">
        <v>109</v>
      </c>
      <c r="AU77" s="2">
        <v>57</v>
      </c>
      <c r="AV77" s="2">
        <v>1</v>
      </c>
      <c r="AW77" s="2">
        <v>1</v>
      </c>
      <c r="AX77" s="2"/>
      <c r="AY77" s="2"/>
      <c r="AZ77" s="2">
        <v>1</v>
      </c>
      <c r="BA77" s="2">
        <v>1</v>
      </c>
      <c r="BB77" s="2">
        <v>1</v>
      </c>
      <c r="BC77" s="2">
        <v>1</v>
      </c>
      <c r="BD77" s="2" t="s">
        <v>3</v>
      </c>
      <c r="BE77" s="2" t="s">
        <v>3</v>
      </c>
      <c r="BF77" s="2" t="s">
        <v>3</v>
      </c>
      <c r="BG77" s="2" t="s">
        <v>3</v>
      </c>
      <c r="BH77" s="2">
        <v>3</v>
      </c>
      <c r="BI77" s="2">
        <v>1</v>
      </c>
      <c r="BJ77" s="2" t="s">
        <v>126</v>
      </c>
      <c r="BK77" s="2"/>
      <c r="BL77" s="2"/>
      <c r="BM77" s="2">
        <v>12001</v>
      </c>
      <c r="BN77" s="2">
        <v>0</v>
      </c>
      <c r="BO77" s="2" t="s">
        <v>3</v>
      </c>
      <c r="BP77" s="2">
        <v>0</v>
      </c>
      <c r="BQ77" s="2">
        <v>2</v>
      </c>
      <c r="BR77" s="2">
        <v>0</v>
      </c>
      <c r="BS77" s="2">
        <v>1</v>
      </c>
      <c r="BT77" s="2">
        <v>1</v>
      </c>
      <c r="BU77" s="2">
        <v>1</v>
      </c>
      <c r="BV77" s="2">
        <v>1</v>
      </c>
      <c r="BW77" s="2">
        <v>1</v>
      </c>
      <c r="BX77" s="2">
        <v>1</v>
      </c>
      <c r="BY77" s="2" t="s">
        <v>3</v>
      </c>
      <c r="BZ77" s="2">
        <v>109</v>
      </c>
      <c r="CA77" s="2">
        <v>57</v>
      </c>
      <c r="CB77" s="2" t="s">
        <v>3</v>
      </c>
      <c r="CC77" s="2"/>
      <c r="CD77" s="2"/>
      <c r="CE77" s="2">
        <v>0</v>
      </c>
      <c r="CF77" s="2">
        <v>0</v>
      </c>
      <c r="CG77" s="2">
        <v>0</v>
      </c>
      <c r="CH77" s="2"/>
      <c r="CI77" s="2"/>
      <c r="CJ77" s="2"/>
      <c r="CK77" s="2"/>
      <c r="CL77" s="2"/>
      <c r="CM77" s="2">
        <v>0</v>
      </c>
      <c r="CN77" s="2" t="s">
        <v>3</v>
      </c>
      <c r="CO77" s="2">
        <v>0</v>
      </c>
      <c r="CP77" s="2">
        <f t="shared" si="78"/>
        <v>6178</v>
      </c>
      <c r="CQ77" s="2">
        <f t="shared" si="79"/>
        <v>1243.05</v>
      </c>
      <c r="CR77" s="2">
        <f t="shared" si="80"/>
        <v>0</v>
      </c>
      <c r="CS77" s="2">
        <f t="shared" si="81"/>
        <v>0</v>
      </c>
      <c r="CT77" s="2">
        <f t="shared" si="82"/>
        <v>0</v>
      </c>
      <c r="CU77" s="2">
        <f t="shared" si="83"/>
        <v>0</v>
      </c>
      <c r="CV77" s="2">
        <f t="shared" si="84"/>
        <v>0</v>
      </c>
      <c r="CW77" s="2">
        <f t="shared" si="85"/>
        <v>0</v>
      </c>
      <c r="CX77" s="2">
        <f t="shared" si="86"/>
        <v>0</v>
      </c>
      <c r="CY77" s="2">
        <f t="shared" si="87"/>
        <v>0</v>
      </c>
      <c r="CZ77" s="2">
        <f t="shared" si="88"/>
        <v>0</v>
      </c>
      <c r="DA77" s="2"/>
      <c r="DB77" s="2"/>
      <c r="DC77" s="2" t="s">
        <v>3</v>
      </c>
      <c r="DD77" s="2" t="s">
        <v>3</v>
      </c>
      <c r="DE77" s="2" t="s">
        <v>3</v>
      </c>
      <c r="DF77" s="2" t="s">
        <v>3</v>
      </c>
      <c r="DG77" s="2" t="s">
        <v>3</v>
      </c>
      <c r="DH77" s="2" t="s">
        <v>3</v>
      </c>
      <c r="DI77" s="2" t="s">
        <v>3</v>
      </c>
      <c r="DJ77" s="2" t="s">
        <v>3</v>
      </c>
      <c r="DK77" s="2" t="s">
        <v>3</v>
      </c>
      <c r="DL77" s="2" t="s">
        <v>3</v>
      </c>
      <c r="DM77" s="2" t="s">
        <v>3</v>
      </c>
      <c r="DN77" s="2">
        <v>0</v>
      </c>
      <c r="DO77" s="2">
        <v>0</v>
      </c>
      <c r="DP77" s="2">
        <v>1</v>
      </c>
      <c r="DQ77" s="2">
        <v>1</v>
      </c>
      <c r="DR77" s="2"/>
      <c r="DS77" s="2"/>
      <c r="DT77" s="2"/>
      <c r="DU77" s="2">
        <v>1009</v>
      </c>
      <c r="DV77" s="2" t="s">
        <v>125</v>
      </c>
      <c r="DW77" s="2" t="s">
        <v>125</v>
      </c>
      <c r="DX77" s="2">
        <v>1000</v>
      </c>
      <c r="DY77" s="2"/>
      <c r="DZ77" s="2" t="s">
        <v>3</v>
      </c>
      <c r="EA77" s="2" t="s">
        <v>3</v>
      </c>
      <c r="EB77" s="2" t="s">
        <v>3</v>
      </c>
      <c r="EC77" s="2" t="s">
        <v>3</v>
      </c>
      <c r="ED77" s="2"/>
      <c r="EE77" s="2">
        <v>53507574</v>
      </c>
      <c r="EF77" s="2">
        <v>2</v>
      </c>
      <c r="EG77" s="2" t="s">
        <v>26</v>
      </c>
      <c r="EH77" s="2">
        <v>12</v>
      </c>
      <c r="EI77" s="2" t="s">
        <v>117</v>
      </c>
      <c r="EJ77" s="2">
        <v>1</v>
      </c>
      <c r="EK77" s="2">
        <v>12001</v>
      </c>
      <c r="EL77" s="2" t="s">
        <v>117</v>
      </c>
      <c r="EM77" s="2" t="s">
        <v>118</v>
      </c>
      <c r="EN77" s="2"/>
      <c r="EO77" s="2" t="s">
        <v>3</v>
      </c>
      <c r="EP77" s="2"/>
      <c r="EQ77" s="2">
        <v>0</v>
      </c>
      <c r="ER77" s="2">
        <v>1243.05</v>
      </c>
      <c r="ES77" s="2">
        <v>1243.05</v>
      </c>
      <c r="ET77" s="2">
        <v>0</v>
      </c>
      <c r="EU77" s="2">
        <v>0</v>
      </c>
      <c r="EV77" s="2">
        <v>0</v>
      </c>
      <c r="EW77" s="2">
        <v>0</v>
      </c>
      <c r="EX77" s="2">
        <v>0</v>
      </c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>
        <v>0</v>
      </c>
      <c r="FR77" s="2">
        <f t="shared" si="89"/>
        <v>0</v>
      </c>
      <c r="FS77" s="2">
        <v>0</v>
      </c>
      <c r="FT77" s="2"/>
      <c r="FU77" s="2"/>
      <c r="FV77" s="2"/>
      <c r="FW77" s="2"/>
      <c r="FX77" s="2">
        <v>109</v>
      </c>
      <c r="FY77" s="2">
        <v>57</v>
      </c>
      <c r="FZ77" s="2"/>
      <c r="GA77" s="2" t="s">
        <v>3</v>
      </c>
      <c r="GB77" s="2"/>
      <c r="GC77" s="2"/>
      <c r="GD77" s="2">
        <v>1</v>
      </c>
      <c r="GE77" s="2"/>
      <c r="GF77" s="2">
        <v>-1961211957</v>
      </c>
      <c r="GG77" s="2">
        <v>2</v>
      </c>
      <c r="GH77" s="2">
        <v>1</v>
      </c>
      <c r="GI77" s="2">
        <v>-2</v>
      </c>
      <c r="GJ77" s="2">
        <v>0</v>
      </c>
      <c r="GK77" s="2">
        <v>0</v>
      </c>
      <c r="GL77" s="2">
        <f t="shared" si="90"/>
        <v>0</v>
      </c>
      <c r="GM77" s="2">
        <f t="shared" si="91"/>
        <v>6178</v>
      </c>
      <c r="GN77" s="2">
        <f t="shared" si="92"/>
        <v>6178</v>
      </c>
      <c r="GO77" s="2">
        <f t="shared" si="93"/>
        <v>0</v>
      </c>
      <c r="GP77" s="2">
        <f t="shared" si="94"/>
        <v>0</v>
      </c>
      <c r="GQ77" s="2"/>
      <c r="GR77" s="2">
        <v>0</v>
      </c>
      <c r="GS77" s="2">
        <v>0</v>
      </c>
      <c r="GT77" s="2">
        <v>0</v>
      </c>
      <c r="GU77" s="2" t="s">
        <v>3</v>
      </c>
      <c r="GV77" s="2">
        <f t="shared" si="95"/>
        <v>0</v>
      </c>
      <c r="GW77" s="2">
        <v>1</v>
      </c>
      <c r="GX77" s="2">
        <f t="shared" si="96"/>
        <v>0</v>
      </c>
      <c r="GY77" s="2"/>
      <c r="GZ77" s="2"/>
      <c r="HA77" s="2">
        <v>0</v>
      </c>
      <c r="HB77" s="2">
        <v>0</v>
      </c>
      <c r="HC77" s="2">
        <f t="shared" si="97"/>
        <v>0</v>
      </c>
      <c r="HD77" s="2"/>
      <c r="HE77" s="2" t="s">
        <v>3</v>
      </c>
      <c r="HF77" s="2" t="s">
        <v>3</v>
      </c>
      <c r="HG77" s="2"/>
      <c r="HH77" s="2"/>
      <c r="HI77" s="2"/>
      <c r="HJ77" s="2"/>
      <c r="HK77" s="2"/>
      <c r="HL77" s="2"/>
      <c r="HM77" s="2" t="s">
        <v>3</v>
      </c>
      <c r="HN77" s="2" t="s">
        <v>120</v>
      </c>
      <c r="HO77" s="2" t="s">
        <v>121</v>
      </c>
      <c r="HP77" s="2" t="s">
        <v>117</v>
      </c>
      <c r="HQ77" s="2" t="s">
        <v>117</v>
      </c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>
        <v>0</v>
      </c>
      <c r="IL77" s="2"/>
      <c r="IM77" s="2"/>
      <c r="IN77" s="2"/>
      <c r="IO77" s="2"/>
      <c r="IP77" s="2"/>
      <c r="IQ77" s="2"/>
      <c r="IR77" s="2"/>
      <c r="IS77" s="2"/>
      <c r="IT77" s="2"/>
      <c r="IU77" s="2"/>
    </row>
    <row r="78" spans="1:245" ht="12.75">
      <c r="A78">
        <v>18</v>
      </c>
      <c r="B78">
        <v>1</v>
      </c>
      <c r="C78">
        <v>44</v>
      </c>
      <c r="E78" t="s">
        <v>134</v>
      </c>
      <c r="F78" t="s">
        <v>123</v>
      </c>
      <c r="G78" t="s">
        <v>124</v>
      </c>
      <c r="H78" t="s">
        <v>125</v>
      </c>
      <c r="I78">
        <f>I76*J78</f>
        <v>4.97</v>
      </c>
      <c r="J78">
        <v>0.9036363636363636</v>
      </c>
      <c r="K78">
        <v>0.903636</v>
      </c>
      <c r="O78">
        <f t="shared" si="64"/>
        <v>28048</v>
      </c>
      <c r="P78">
        <f t="shared" si="65"/>
        <v>28048</v>
      </c>
      <c r="Q78">
        <f t="shared" si="66"/>
        <v>0</v>
      </c>
      <c r="R78">
        <f t="shared" si="67"/>
        <v>0</v>
      </c>
      <c r="S78">
        <f t="shared" si="68"/>
        <v>0</v>
      </c>
      <c r="T78">
        <f t="shared" si="69"/>
        <v>0</v>
      </c>
      <c r="U78">
        <f t="shared" si="70"/>
        <v>0</v>
      </c>
      <c r="V78">
        <f t="shared" si="71"/>
        <v>0</v>
      </c>
      <c r="W78">
        <f t="shared" si="72"/>
        <v>0</v>
      </c>
      <c r="X78">
        <f t="shared" si="73"/>
        <v>0</v>
      </c>
      <c r="Y78">
        <f t="shared" si="74"/>
        <v>0</v>
      </c>
      <c r="AA78">
        <v>55110083</v>
      </c>
      <c r="AB78">
        <f t="shared" si="75"/>
        <v>1243.05</v>
      </c>
      <c r="AC78">
        <f t="shared" si="98"/>
        <v>1243.05</v>
      </c>
      <c r="AD78">
        <f>ROUND((((ET78)-(EU78))+AE78),2)</f>
        <v>0</v>
      </c>
      <c r="AE78">
        <f>ROUND((EU78),2)</f>
        <v>0</v>
      </c>
      <c r="AF78">
        <f>ROUND((EV78),2)</f>
        <v>0</v>
      </c>
      <c r="AG78">
        <f t="shared" si="76"/>
        <v>0</v>
      </c>
      <c r="AH78">
        <f>(EW78)</f>
        <v>0</v>
      </c>
      <c r="AI78">
        <f>(EX78)</f>
        <v>0</v>
      </c>
      <c r="AJ78">
        <f t="shared" si="77"/>
        <v>0</v>
      </c>
      <c r="AK78">
        <v>1243.05</v>
      </c>
      <c r="AL78">
        <v>1243.05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109</v>
      </c>
      <c r="AU78">
        <v>57</v>
      </c>
      <c r="AV78">
        <v>1</v>
      </c>
      <c r="AW78">
        <v>1</v>
      </c>
      <c r="AZ78">
        <v>1</v>
      </c>
      <c r="BA78">
        <v>1</v>
      </c>
      <c r="BB78">
        <v>1</v>
      </c>
      <c r="BC78">
        <v>4.54</v>
      </c>
      <c r="BH78">
        <v>3</v>
      </c>
      <c r="BI78">
        <v>1</v>
      </c>
      <c r="BJ78" t="s">
        <v>126</v>
      </c>
      <c r="BM78">
        <v>12001</v>
      </c>
      <c r="BN78">
        <v>0</v>
      </c>
      <c r="BO78" t="s">
        <v>123</v>
      </c>
      <c r="BP78">
        <v>1</v>
      </c>
      <c r="BQ78">
        <v>2</v>
      </c>
      <c r="BR78">
        <v>0</v>
      </c>
      <c r="BS78">
        <v>1</v>
      </c>
      <c r="BT78">
        <v>1</v>
      </c>
      <c r="BU78">
        <v>1</v>
      </c>
      <c r="BV78">
        <v>1</v>
      </c>
      <c r="BW78">
        <v>1</v>
      </c>
      <c r="BX78">
        <v>1</v>
      </c>
      <c r="BZ78">
        <v>109</v>
      </c>
      <c r="CA78">
        <v>57</v>
      </c>
      <c r="CE78">
        <v>0</v>
      </c>
      <c r="CF78">
        <v>0</v>
      </c>
      <c r="CG78">
        <v>0</v>
      </c>
      <c r="CM78">
        <v>0</v>
      </c>
      <c r="CO78">
        <v>0</v>
      </c>
      <c r="CP78">
        <f t="shared" si="78"/>
        <v>28048</v>
      </c>
      <c r="CQ78">
        <f t="shared" si="79"/>
        <v>5643.447</v>
      </c>
      <c r="CR78">
        <f t="shared" si="80"/>
        <v>0</v>
      </c>
      <c r="CS78">
        <f t="shared" si="81"/>
        <v>0</v>
      </c>
      <c r="CT78">
        <f t="shared" si="82"/>
        <v>0</v>
      </c>
      <c r="CU78">
        <f t="shared" si="83"/>
        <v>0</v>
      </c>
      <c r="CV78">
        <f t="shared" si="84"/>
        <v>0</v>
      </c>
      <c r="CW78">
        <f t="shared" si="85"/>
        <v>0</v>
      </c>
      <c r="CX78">
        <f t="shared" si="86"/>
        <v>0</v>
      </c>
      <c r="CY78">
        <f t="shared" si="87"/>
        <v>0</v>
      </c>
      <c r="CZ78">
        <f t="shared" si="88"/>
        <v>0</v>
      </c>
      <c r="DN78">
        <v>0</v>
      </c>
      <c r="DO78">
        <v>0</v>
      </c>
      <c r="DP78">
        <v>1</v>
      </c>
      <c r="DQ78">
        <v>1</v>
      </c>
      <c r="DU78">
        <v>1009</v>
      </c>
      <c r="DV78" t="s">
        <v>125</v>
      </c>
      <c r="DW78" t="s">
        <v>125</v>
      </c>
      <c r="DX78">
        <v>1000</v>
      </c>
      <c r="EE78">
        <v>53507574</v>
      </c>
      <c r="EF78">
        <v>2</v>
      </c>
      <c r="EG78" t="s">
        <v>26</v>
      </c>
      <c r="EH78">
        <v>12</v>
      </c>
      <c r="EI78" t="s">
        <v>117</v>
      </c>
      <c r="EJ78">
        <v>1</v>
      </c>
      <c r="EK78">
        <v>12001</v>
      </c>
      <c r="EL78" t="s">
        <v>117</v>
      </c>
      <c r="EM78" t="s">
        <v>118</v>
      </c>
      <c r="EQ78">
        <v>0</v>
      </c>
      <c r="ER78">
        <v>1243.05</v>
      </c>
      <c r="ES78">
        <v>1243.05</v>
      </c>
      <c r="ET78">
        <v>0</v>
      </c>
      <c r="EU78">
        <v>0</v>
      </c>
      <c r="EV78">
        <v>0</v>
      </c>
      <c r="EW78">
        <v>0</v>
      </c>
      <c r="EX78">
        <v>0</v>
      </c>
      <c r="FQ78">
        <v>0</v>
      </c>
      <c r="FR78">
        <f t="shared" si="89"/>
        <v>0</v>
      </c>
      <c r="FS78">
        <v>0</v>
      </c>
      <c r="FX78">
        <v>109</v>
      </c>
      <c r="FY78">
        <v>57</v>
      </c>
      <c r="GD78">
        <v>1</v>
      </c>
      <c r="GF78">
        <v>-1961211957</v>
      </c>
      <c r="GG78">
        <v>2</v>
      </c>
      <c r="GH78">
        <v>1</v>
      </c>
      <c r="GI78">
        <v>2</v>
      </c>
      <c r="GJ78">
        <v>0</v>
      </c>
      <c r="GK78">
        <v>0</v>
      </c>
      <c r="GL78">
        <f t="shared" si="90"/>
        <v>0</v>
      </c>
      <c r="GM78">
        <f t="shared" si="91"/>
        <v>28048</v>
      </c>
      <c r="GN78">
        <f t="shared" si="92"/>
        <v>28048</v>
      </c>
      <c r="GO78">
        <f t="shared" si="93"/>
        <v>0</v>
      </c>
      <c r="GP78">
        <f t="shared" si="94"/>
        <v>0</v>
      </c>
      <c r="GR78">
        <v>0</v>
      </c>
      <c r="GS78">
        <v>0</v>
      </c>
      <c r="GT78">
        <v>0</v>
      </c>
      <c r="GV78">
        <f t="shared" si="95"/>
        <v>0</v>
      </c>
      <c r="GW78">
        <v>1</v>
      </c>
      <c r="GX78">
        <f t="shared" si="96"/>
        <v>0</v>
      </c>
      <c r="HA78">
        <v>0</v>
      </c>
      <c r="HB78">
        <v>0</v>
      </c>
      <c r="HC78">
        <f t="shared" si="97"/>
        <v>0</v>
      </c>
      <c r="HN78" t="s">
        <v>120</v>
      </c>
      <c r="HO78" t="s">
        <v>121</v>
      </c>
      <c r="HP78" t="s">
        <v>117</v>
      </c>
      <c r="HQ78" t="s">
        <v>117</v>
      </c>
      <c r="IK78">
        <v>0</v>
      </c>
    </row>
    <row r="79" spans="1:255" ht="12.75">
      <c r="A79" s="2">
        <v>17</v>
      </c>
      <c r="B79" s="2">
        <v>1</v>
      </c>
      <c r="C79" s="2">
        <f>ROW(SmtRes!A49)</f>
        <v>49</v>
      </c>
      <c r="D79" s="2">
        <f>ROW(EtalonRes!A50)</f>
        <v>50</v>
      </c>
      <c r="E79" s="2" t="s">
        <v>135</v>
      </c>
      <c r="F79" s="2" t="s">
        <v>136</v>
      </c>
      <c r="G79" s="2" t="s">
        <v>137</v>
      </c>
      <c r="H79" s="2" t="s">
        <v>24</v>
      </c>
      <c r="I79" s="2">
        <f>ROUND(2120/100,7)</f>
        <v>21.2</v>
      </c>
      <c r="J79" s="2">
        <v>0</v>
      </c>
      <c r="K79" s="2">
        <f>ROUND(2120/100,7)</f>
        <v>21.2</v>
      </c>
      <c r="L79" s="2"/>
      <c r="M79" s="2"/>
      <c r="N79" s="2"/>
      <c r="O79" s="2">
        <f t="shared" si="64"/>
        <v>2575</v>
      </c>
      <c r="P79" s="2">
        <f t="shared" si="65"/>
        <v>1908</v>
      </c>
      <c r="Q79" s="2">
        <f t="shared" si="66"/>
        <v>70</v>
      </c>
      <c r="R79" s="2">
        <f t="shared" si="67"/>
        <v>12</v>
      </c>
      <c r="S79" s="2">
        <f t="shared" si="68"/>
        <v>597</v>
      </c>
      <c r="T79" s="2">
        <f t="shared" si="69"/>
        <v>0</v>
      </c>
      <c r="U79" s="2">
        <f t="shared" si="70"/>
        <v>68.264</v>
      </c>
      <c r="V79" s="2">
        <f t="shared" si="71"/>
        <v>1.06</v>
      </c>
      <c r="W79" s="2">
        <f t="shared" si="72"/>
        <v>0</v>
      </c>
      <c r="X79" s="2">
        <f t="shared" si="73"/>
        <v>597</v>
      </c>
      <c r="Y79" s="2">
        <f t="shared" si="74"/>
        <v>295</v>
      </c>
      <c r="Z79" s="2"/>
      <c r="AA79" s="2">
        <v>55110074</v>
      </c>
      <c r="AB79" s="2">
        <f t="shared" si="75"/>
        <v>121.43</v>
      </c>
      <c r="AC79" s="2">
        <f t="shared" si="98"/>
        <v>90</v>
      </c>
      <c r="AD79" s="2">
        <f>ROUND(((((ET79*ROUND(1.25,7)))-((EU79*ROUND(1.25,7))))+AE79),2)</f>
        <v>3.29</v>
      </c>
      <c r="AE79" s="2">
        <f>ROUND(((EU79*ROUND(1.25,7))),2)</f>
        <v>0.58</v>
      </c>
      <c r="AF79" s="2">
        <f>ROUND(((EV79*ROUND(1.15,7))),2)</f>
        <v>28.14</v>
      </c>
      <c r="AG79" s="2">
        <f t="shared" si="76"/>
        <v>0</v>
      </c>
      <c r="AH79" s="2">
        <f>((EW79*ROUND(1.15,7)))</f>
        <v>3.2199999999999998</v>
      </c>
      <c r="AI79" s="2">
        <f>((EX79*ROUND(1.25,7)))</f>
        <v>0.05</v>
      </c>
      <c r="AJ79" s="2">
        <f t="shared" si="77"/>
        <v>0</v>
      </c>
      <c r="AK79" s="2">
        <v>117.1</v>
      </c>
      <c r="AL79" s="2">
        <v>90</v>
      </c>
      <c r="AM79" s="2">
        <v>2.63</v>
      </c>
      <c r="AN79" s="2">
        <v>0.46</v>
      </c>
      <c r="AO79" s="2">
        <v>24.47</v>
      </c>
      <c r="AP79" s="2">
        <v>0</v>
      </c>
      <c r="AQ79" s="2">
        <v>2.8</v>
      </c>
      <c r="AR79" s="2">
        <v>0.04</v>
      </c>
      <c r="AS79" s="2">
        <v>0</v>
      </c>
      <c r="AT79" s="2">
        <v>98.1</v>
      </c>
      <c r="AU79" s="2">
        <v>48.45</v>
      </c>
      <c r="AV79" s="2">
        <v>1</v>
      </c>
      <c r="AW79" s="2">
        <v>1</v>
      </c>
      <c r="AX79" s="2"/>
      <c r="AY79" s="2"/>
      <c r="AZ79" s="2">
        <v>1</v>
      </c>
      <c r="BA79" s="2">
        <v>1</v>
      </c>
      <c r="BB79" s="2">
        <v>1</v>
      </c>
      <c r="BC79" s="2">
        <v>1</v>
      </c>
      <c r="BD79" s="2" t="s">
        <v>3</v>
      </c>
      <c r="BE79" s="2" t="s">
        <v>3</v>
      </c>
      <c r="BF79" s="2" t="s">
        <v>3</v>
      </c>
      <c r="BG79" s="2" t="s">
        <v>3</v>
      </c>
      <c r="BH79" s="2">
        <v>0</v>
      </c>
      <c r="BI79" s="2">
        <v>1</v>
      </c>
      <c r="BJ79" s="2" t="s">
        <v>138</v>
      </c>
      <c r="BK79" s="2"/>
      <c r="BL79" s="2"/>
      <c r="BM79" s="2">
        <v>12001</v>
      </c>
      <c r="BN79" s="2">
        <v>0</v>
      </c>
      <c r="BO79" s="2" t="s">
        <v>3</v>
      </c>
      <c r="BP79" s="2">
        <v>0</v>
      </c>
      <c r="BQ79" s="2">
        <v>2</v>
      </c>
      <c r="BR79" s="2">
        <v>0</v>
      </c>
      <c r="BS79" s="2">
        <v>1</v>
      </c>
      <c r="BT79" s="2">
        <v>1</v>
      </c>
      <c r="BU79" s="2">
        <v>1</v>
      </c>
      <c r="BV79" s="2">
        <v>1</v>
      </c>
      <c r="BW79" s="2">
        <v>1</v>
      </c>
      <c r="BX79" s="2">
        <v>1</v>
      </c>
      <c r="BY79" s="2" t="s">
        <v>3</v>
      </c>
      <c r="BZ79" s="2">
        <v>109</v>
      </c>
      <c r="CA79" s="2">
        <v>57</v>
      </c>
      <c r="CB79" s="2" t="s">
        <v>3</v>
      </c>
      <c r="CC79" s="2"/>
      <c r="CD79" s="2"/>
      <c r="CE79" s="2">
        <v>0</v>
      </c>
      <c r="CF79" s="2">
        <v>0</v>
      </c>
      <c r="CG79" s="2">
        <v>0</v>
      </c>
      <c r="CH79" s="2"/>
      <c r="CI79" s="2"/>
      <c r="CJ79" s="2"/>
      <c r="CK79" s="2"/>
      <c r="CL79" s="2"/>
      <c r="CM79" s="2">
        <v>0</v>
      </c>
      <c r="CN79" s="2" t="s">
        <v>379</v>
      </c>
      <c r="CO79" s="2">
        <v>0</v>
      </c>
      <c r="CP79" s="2">
        <f t="shared" si="78"/>
        <v>2575</v>
      </c>
      <c r="CQ79" s="2">
        <f t="shared" si="79"/>
        <v>90</v>
      </c>
      <c r="CR79" s="2">
        <f t="shared" si="80"/>
        <v>3.29</v>
      </c>
      <c r="CS79" s="2">
        <f t="shared" si="81"/>
        <v>0.58</v>
      </c>
      <c r="CT79" s="2">
        <f t="shared" si="82"/>
        <v>28.14</v>
      </c>
      <c r="CU79" s="2">
        <f t="shared" si="83"/>
        <v>0</v>
      </c>
      <c r="CV79" s="2">
        <f t="shared" si="84"/>
        <v>3.2199999999999998</v>
      </c>
      <c r="CW79" s="2">
        <f t="shared" si="85"/>
        <v>0.05</v>
      </c>
      <c r="CX79" s="2">
        <f t="shared" si="86"/>
        <v>0</v>
      </c>
      <c r="CY79" s="2">
        <f t="shared" si="87"/>
        <v>597.429</v>
      </c>
      <c r="CZ79" s="2">
        <f t="shared" si="88"/>
        <v>295.06050000000005</v>
      </c>
      <c r="DA79" s="2"/>
      <c r="DB79" s="2"/>
      <c r="DC79" s="2" t="s">
        <v>3</v>
      </c>
      <c r="DD79" s="2" t="s">
        <v>3</v>
      </c>
      <c r="DE79" s="2" t="s">
        <v>115</v>
      </c>
      <c r="DF79" s="2" t="s">
        <v>115</v>
      </c>
      <c r="DG79" s="2" t="s">
        <v>116</v>
      </c>
      <c r="DH79" s="2" t="s">
        <v>3</v>
      </c>
      <c r="DI79" s="2" t="s">
        <v>116</v>
      </c>
      <c r="DJ79" s="2" t="s">
        <v>115</v>
      </c>
      <c r="DK79" s="2" t="s">
        <v>3</v>
      </c>
      <c r="DL79" s="2" t="s">
        <v>139</v>
      </c>
      <c r="DM79" s="2" t="s">
        <v>140</v>
      </c>
      <c r="DN79" s="2">
        <v>0</v>
      </c>
      <c r="DO79" s="2">
        <v>0</v>
      </c>
      <c r="DP79" s="2">
        <v>1</v>
      </c>
      <c r="DQ79" s="2">
        <v>1</v>
      </c>
      <c r="DR79" s="2"/>
      <c r="DS79" s="2"/>
      <c r="DT79" s="2"/>
      <c r="DU79" s="2">
        <v>1005</v>
      </c>
      <c r="DV79" s="2" t="s">
        <v>24</v>
      </c>
      <c r="DW79" s="2" t="s">
        <v>24</v>
      </c>
      <c r="DX79" s="2">
        <v>100</v>
      </c>
      <c r="DY79" s="2"/>
      <c r="DZ79" s="2" t="s">
        <v>3</v>
      </c>
      <c r="EA79" s="2" t="s">
        <v>3</v>
      </c>
      <c r="EB79" s="2" t="s">
        <v>3</v>
      </c>
      <c r="EC79" s="2" t="s">
        <v>3</v>
      </c>
      <c r="ED79" s="2"/>
      <c r="EE79" s="2">
        <v>53507574</v>
      </c>
      <c r="EF79" s="2">
        <v>2</v>
      </c>
      <c r="EG79" s="2" t="s">
        <v>26</v>
      </c>
      <c r="EH79" s="2">
        <v>12</v>
      </c>
      <c r="EI79" s="2" t="s">
        <v>117</v>
      </c>
      <c r="EJ79" s="2">
        <v>1</v>
      </c>
      <c r="EK79" s="2">
        <v>12001</v>
      </c>
      <c r="EL79" s="2" t="s">
        <v>117</v>
      </c>
      <c r="EM79" s="2" t="s">
        <v>118</v>
      </c>
      <c r="EN79" s="2"/>
      <c r="EO79" s="2" t="s">
        <v>141</v>
      </c>
      <c r="EP79" s="2"/>
      <c r="EQ79" s="2">
        <v>0</v>
      </c>
      <c r="ER79" s="2">
        <v>117.1</v>
      </c>
      <c r="ES79" s="2">
        <v>90</v>
      </c>
      <c r="ET79" s="2">
        <v>2.63</v>
      </c>
      <c r="EU79" s="2">
        <v>0.46</v>
      </c>
      <c r="EV79" s="2">
        <v>24.47</v>
      </c>
      <c r="EW79" s="2">
        <v>2.8</v>
      </c>
      <c r="EX79" s="2">
        <v>0.04</v>
      </c>
      <c r="EY79" s="2">
        <v>0</v>
      </c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>
        <v>0</v>
      </c>
      <c r="FR79" s="2">
        <f t="shared" si="89"/>
        <v>0</v>
      </c>
      <c r="FS79" s="2">
        <v>0</v>
      </c>
      <c r="FT79" s="2"/>
      <c r="FU79" s="2"/>
      <c r="FV79" s="2"/>
      <c r="FW79" s="2"/>
      <c r="FX79" s="2">
        <v>98.1</v>
      </c>
      <c r="FY79" s="2">
        <v>48.45</v>
      </c>
      <c r="FZ79" s="2"/>
      <c r="GA79" s="2" t="s">
        <v>3</v>
      </c>
      <c r="GB79" s="2"/>
      <c r="GC79" s="2"/>
      <c r="GD79" s="2">
        <v>1</v>
      </c>
      <c r="GE79" s="2"/>
      <c r="GF79" s="2">
        <v>-1376981920</v>
      </c>
      <c r="GG79" s="2">
        <v>2</v>
      </c>
      <c r="GH79" s="2">
        <v>1</v>
      </c>
      <c r="GI79" s="2">
        <v>-2</v>
      </c>
      <c r="GJ79" s="2">
        <v>0</v>
      </c>
      <c r="GK79" s="2">
        <v>0</v>
      </c>
      <c r="GL79" s="2">
        <f t="shared" si="90"/>
        <v>0</v>
      </c>
      <c r="GM79" s="2">
        <f t="shared" si="91"/>
        <v>3467</v>
      </c>
      <c r="GN79" s="2">
        <f t="shared" si="92"/>
        <v>3467</v>
      </c>
      <c r="GO79" s="2">
        <f t="shared" si="93"/>
        <v>0</v>
      </c>
      <c r="GP79" s="2">
        <f t="shared" si="94"/>
        <v>0</v>
      </c>
      <c r="GQ79" s="2"/>
      <c r="GR79" s="2">
        <v>0</v>
      </c>
      <c r="GS79" s="2">
        <v>0</v>
      </c>
      <c r="GT79" s="2">
        <v>0</v>
      </c>
      <c r="GU79" s="2" t="s">
        <v>3</v>
      </c>
      <c r="GV79" s="2">
        <f t="shared" si="95"/>
        <v>0</v>
      </c>
      <c r="GW79" s="2">
        <v>1</v>
      </c>
      <c r="GX79" s="2">
        <f t="shared" si="96"/>
        <v>0</v>
      </c>
      <c r="GY79" s="2"/>
      <c r="GZ79" s="2"/>
      <c r="HA79" s="2">
        <v>0</v>
      </c>
      <c r="HB79" s="2">
        <v>0</v>
      </c>
      <c r="HC79" s="2">
        <f t="shared" si="97"/>
        <v>0</v>
      </c>
      <c r="HD79" s="2"/>
      <c r="HE79" s="2" t="s">
        <v>3</v>
      </c>
      <c r="HF79" s="2" t="s">
        <v>3</v>
      </c>
      <c r="HG79" s="2"/>
      <c r="HH79" s="2"/>
      <c r="HI79" s="2"/>
      <c r="HJ79" s="2"/>
      <c r="HK79" s="2"/>
      <c r="HL79" s="2"/>
      <c r="HM79" s="2" t="s">
        <v>3</v>
      </c>
      <c r="HN79" s="2" t="s">
        <v>120</v>
      </c>
      <c r="HO79" s="2" t="s">
        <v>121</v>
      </c>
      <c r="HP79" s="2" t="s">
        <v>117</v>
      </c>
      <c r="HQ79" s="2" t="s">
        <v>117</v>
      </c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>
        <v>0</v>
      </c>
      <c r="IL79" s="2"/>
      <c r="IM79" s="2"/>
      <c r="IN79" s="2"/>
      <c r="IO79" s="2"/>
      <c r="IP79" s="2"/>
      <c r="IQ79" s="2"/>
      <c r="IR79" s="2"/>
      <c r="IS79" s="2"/>
      <c r="IT79" s="2"/>
      <c r="IU79" s="2"/>
    </row>
    <row r="80" spans="1:245" ht="12.75">
      <c r="A80">
        <v>17</v>
      </c>
      <c r="B80">
        <v>1</v>
      </c>
      <c r="C80">
        <f>ROW(SmtRes!A54)</f>
        <v>54</v>
      </c>
      <c r="D80">
        <f>ROW(EtalonRes!A54)</f>
        <v>54</v>
      </c>
      <c r="E80" t="s">
        <v>135</v>
      </c>
      <c r="F80" t="s">
        <v>136</v>
      </c>
      <c r="G80" t="s">
        <v>137</v>
      </c>
      <c r="H80" t="s">
        <v>24</v>
      </c>
      <c r="I80">
        <f>ROUND(2120/100,7)</f>
        <v>21.2</v>
      </c>
      <c r="J80">
        <v>0</v>
      </c>
      <c r="K80">
        <f>ROUND(2120/100,7)</f>
        <v>21.2</v>
      </c>
      <c r="O80">
        <f t="shared" si="64"/>
        <v>48003</v>
      </c>
      <c r="P80">
        <f t="shared" si="65"/>
        <v>25682</v>
      </c>
      <c r="Q80">
        <f t="shared" si="66"/>
        <v>827</v>
      </c>
      <c r="R80">
        <f t="shared" si="67"/>
        <v>443</v>
      </c>
      <c r="S80">
        <f t="shared" si="68"/>
        <v>21494</v>
      </c>
      <c r="T80">
        <f t="shared" si="69"/>
        <v>0</v>
      </c>
      <c r="U80">
        <f t="shared" si="70"/>
        <v>68.264</v>
      </c>
      <c r="V80">
        <f t="shared" si="71"/>
        <v>1.06</v>
      </c>
      <c r="W80">
        <f t="shared" si="72"/>
        <v>0</v>
      </c>
      <c r="X80">
        <f t="shared" si="73"/>
        <v>21520</v>
      </c>
      <c r="Y80">
        <f t="shared" si="74"/>
        <v>10628</v>
      </c>
      <c r="AA80">
        <v>55110083</v>
      </c>
      <c r="AB80">
        <f t="shared" si="75"/>
        <v>121.43</v>
      </c>
      <c r="AC80">
        <f t="shared" si="98"/>
        <v>90</v>
      </c>
      <c r="AD80">
        <f>ROUND(((((ET80*ROUND(1.25,7)))-((EU80*ROUND(1.25,7))))+AE80),2)</f>
        <v>3.29</v>
      </c>
      <c r="AE80">
        <f>ROUND(((EU80*ROUND(1.25,7))),2)</f>
        <v>0.58</v>
      </c>
      <c r="AF80">
        <f>ROUND(((EV80*ROUND(1.15,7))),2)</f>
        <v>28.14</v>
      </c>
      <c r="AG80">
        <f t="shared" si="76"/>
        <v>0</v>
      </c>
      <c r="AH80">
        <f>((EW80*ROUND(1.15,7)))</f>
        <v>3.2199999999999998</v>
      </c>
      <c r="AI80">
        <f>((EX80*ROUND(1.25,7)))</f>
        <v>0.05</v>
      </c>
      <c r="AJ80">
        <f t="shared" si="77"/>
        <v>0</v>
      </c>
      <c r="AK80">
        <v>117.1</v>
      </c>
      <c r="AL80">
        <v>90</v>
      </c>
      <c r="AM80">
        <v>2.63</v>
      </c>
      <c r="AN80">
        <v>0.46</v>
      </c>
      <c r="AO80">
        <v>24.47</v>
      </c>
      <c r="AP80">
        <v>0</v>
      </c>
      <c r="AQ80">
        <v>2.8</v>
      </c>
      <c r="AR80">
        <v>0.04</v>
      </c>
      <c r="AS80">
        <v>0</v>
      </c>
      <c r="AT80">
        <v>98.1</v>
      </c>
      <c r="AU80">
        <v>48.45</v>
      </c>
      <c r="AV80">
        <v>1</v>
      </c>
      <c r="AW80">
        <v>1</v>
      </c>
      <c r="AZ80">
        <v>1</v>
      </c>
      <c r="BA80">
        <v>36.03</v>
      </c>
      <c r="BB80">
        <v>11.85</v>
      </c>
      <c r="BC80">
        <v>13.46</v>
      </c>
      <c r="BH80">
        <v>0</v>
      </c>
      <c r="BI80">
        <v>1</v>
      </c>
      <c r="BJ80" t="s">
        <v>138</v>
      </c>
      <c r="BM80">
        <v>12001</v>
      </c>
      <c r="BN80">
        <v>0</v>
      </c>
      <c r="BO80" t="s">
        <v>136</v>
      </c>
      <c r="BP80">
        <v>1</v>
      </c>
      <c r="BQ80">
        <v>2</v>
      </c>
      <c r="BR80">
        <v>0</v>
      </c>
      <c r="BS80">
        <v>36.03</v>
      </c>
      <c r="BT80">
        <v>1</v>
      </c>
      <c r="BU80">
        <v>1</v>
      </c>
      <c r="BV80">
        <v>1</v>
      </c>
      <c r="BW80">
        <v>1</v>
      </c>
      <c r="BX80">
        <v>1</v>
      </c>
      <c r="BZ80">
        <v>109</v>
      </c>
      <c r="CA80">
        <v>57</v>
      </c>
      <c r="CE80">
        <v>0</v>
      </c>
      <c r="CF80">
        <v>0</v>
      </c>
      <c r="CG80">
        <v>0</v>
      </c>
      <c r="CM80">
        <v>0</v>
      </c>
      <c r="CN80" t="s">
        <v>379</v>
      </c>
      <c r="CO80">
        <v>0</v>
      </c>
      <c r="CP80">
        <f t="shared" si="78"/>
        <v>48003</v>
      </c>
      <c r="CQ80">
        <f t="shared" si="79"/>
        <v>1211.4</v>
      </c>
      <c r="CR80">
        <f t="shared" si="80"/>
        <v>38.9865</v>
      </c>
      <c r="CS80">
        <f t="shared" si="81"/>
        <v>20.897399999999998</v>
      </c>
      <c r="CT80">
        <f t="shared" si="82"/>
        <v>1013.8842000000001</v>
      </c>
      <c r="CU80">
        <f t="shared" si="83"/>
        <v>0</v>
      </c>
      <c r="CV80">
        <f t="shared" si="84"/>
        <v>3.2199999999999998</v>
      </c>
      <c r="CW80">
        <f t="shared" si="85"/>
        <v>0.05</v>
      </c>
      <c r="CX80">
        <f t="shared" si="86"/>
        <v>0</v>
      </c>
      <c r="CY80">
        <f t="shared" si="87"/>
        <v>21520.196999999996</v>
      </c>
      <c r="CZ80">
        <f t="shared" si="88"/>
        <v>10628.4765</v>
      </c>
      <c r="DE80" t="s">
        <v>115</v>
      </c>
      <c r="DF80" t="s">
        <v>115</v>
      </c>
      <c r="DG80" t="s">
        <v>116</v>
      </c>
      <c r="DI80" t="s">
        <v>116</v>
      </c>
      <c r="DJ80" t="s">
        <v>115</v>
      </c>
      <c r="DL80" t="s">
        <v>139</v>
      </c>
      <c r="DM80" t="s">
        <v>140</v>
      </c>
      <c r="DN80">
        <v>0</v>
      </c>
      <c r="DO80">
        <v>0</v>
      </c>
      <c r="DP80">
        <v>1</v>
      </c>
      <c r="DQ80">
        <v>1</v>
      </c>
      <c r="DU80">
        <v>1005</v>
      </c>
      <c r="DV80" t="s">
        <v>24</v>
      </c>
      <c r="DW80" t="s">
        <v>24</v>
      </c>
      <c r="DX80">
        <v>100</v>
      </c>
      <c r="EE80">
        <v>53507574</v>
      </c>
      <c r="EF80">
        <v>2</v>
      </c>
      <c r="EG80" t="s">
        <v>26</v>
      </c>
      <c r="EH80">
        <v>12</v>
      </c>
      <c r="EI80" t="s">
        <v>117</v>
      </c>
      <c r="EJ80">
        <v>1</v>
      </c>
      <c r="EK80">
        <v>12001</v>
      </c>
      <c r="EL80" t="s">
        <v>117</v>
      </c>
      <c r="EM80" t="s">
        <v>118</v>
      </c>
      <c r="EO80" t="s">
        <v>141</v>
      </c>
      <c r="EQ80">
        <v>0</v>
      </c>
      <c r="ER80">
        <v>117.1</v>
      </c>
      <c r="ES80">
        <v>90</v>
      </c>
      <c r="ET80">
        <v>2.63</v>
      </c>
      <c r="EU80">
        <v>0.46</v>
      </c>
      <c r="EV80">
        <v>24.47</v>
      </c>
      <c r="EW80">
        <v>2.8</v>
      </c>
      <c r="EX80">
        <v>0.04</v>
      </c>
      <c r="EY80">
        <v>0</v>
      </c>
      <c r="FQ80">
        <v>0</v>
      </c>
      <c r="FR80">
        <f t="shared" si="89"/>
        <v>0</v>
      </c>
      <c r="FS80">
        <v>0</v>
      </c>
      <c r="FX80">
        <v>98.1</v>
      </c>
      <c r="FY80">
        <v>48.45</v>
      </c>
      <c r="GD80">
        <v>1</v>
      </c>
      <c r="GF80">
        <v>-1376981920</v>
      </c>
      <c r="GG80">
        <v>2</v>
      </c>
      <c r="GH80">
        <v>1</v>
      </c>
      <c r="GI80">
        <v>2</v>
      </c>
      <c r="GJ80">
        <v>0</v>
      </c>
      <c r="GK80">
        <v>0</v>
      </c>
      <c r="GL80">
        <f t="shared" si="90"/>
        <v>0</v>
      </c>
      <c r="GM80">
        <f t="shared" si="91"/>
        <v>80151</v>
      </c>
      <c r="GN80">
        <f t="shared" si="92"/>
        <v>80151</v>
      </c>
      <c r="GO80">
        <f t="shared" si="93"/>
        <v>0</v>
      </c>
      <c r="GP80">
        <f t="shared" si="94"/>
        <v>0</v>
      </c>
      <c r="GR80">
        <v>0</v>
      </c>
      <c r="GS80">
        <v>0</v>
      </c>
      <c r="GT80">
        <v>0</v>
      </c>
      <c r="GV80">
        <f t="shared" si="95"/>
        <v>0</v>
      </c>
      <c r="GW80">
        <v>1</v>
      </c>
      <c r="GX80">
        <f t="shared" si="96"/>
        <v>0</v>
      </c>
      <c r="HA80">
        <v>0</v>
      </c>
      <c r="HB80">
        <v>0</v>
      </c>
      <c r="HC80">
        <f t="shared" si="97"/>
        <v>0</v>
      </c>
      <c r="HN80" t="s">
        <v>120</v>
      </c>
      <c r="HO80" t="s">
        <v>121</v>
      </c>
      <c r="HP80" t="s">
        <v>117</v>
      </c>
      <c r="HQ80" t="s">
        <v>117</v>
      </c>
      <c r="IK80">
        <v>0</v>
      </c>
    </row>
    <row r="81" spans="1:255" ht="12.75">
      <c r="A81" s="2">
        <v>18</v>
      </c>
      <c r="B81" s="2">
        <v>1</v>
      </c>
      <c r="C81" s="2">
        <v>49</v>
      </c>
      <c r="D81" s="2"/>
      <c r="E81" s="2" t="s">
        <v>142</v>
      </c>
      <c r="F81" s="2" t="s">
        <v>143</v>
      </c>
      <c r="G81" s="2" t="s">
        <v>144</v>
      </c>
      <c r="H81" s="2" t="s">
        <v>125</v>
      </c>
      <c r="I81" s="2">
        <f>I79*J81</f>
        <v>-0.954</v>
      </c>
      <c r="J81" s="2">
        <v>-0.045</v>
      </c>
      <c r="K81" s="2">
        <v>-0.045</v>
      </c>
      <c r="L81" s="2"/>
      <c r="M81" s="2"/>
      <c r="N81" s="2"/>
      <c r="O81" s="2">
        <f t="shared" si="64"/>
        <v>-1908</v>
      </c>
      <c r="P81" s="2">
        <f t="shared" si="65"/>
        <v>-1908</v>
      </c>
      <c r="Q81" s="2">
        <f t="shared" si="66"/>
        <v>0</v>
      </c>
      <c r="R81" s="2">
        <f t="shared" si="67"/>
        <v>0</v>
      </c>
      <c r="S81" s="2">
        <f t="shared" si="68"/>
        <v>0</v>
      </c>
      <c r="T81" s="2">
        <f t="shared" si="69"/>
        <v>0</v>
      </c>
      <c r="U81" s="2">
        <f t="shared" si="70"/>
        <v>0</v>
      </c>
      <c r="V81" s="2">
        <f t="shared" si="71"/>
        <v>0</v>
      </c>
      <c r="W81" s="2">
        <f t="shared" si="72"/>
        <v>0</v>
      </c>
      <c r="X81" s="2">
        <f t="shared" si="73"/>
        <v>0</v>
      </c>
      <c r="Y81" s="2">
        <f t="shared" si="74"/>
        <v>0</v>
      </c>
      <c r="Z81" s="2"/>
      <c r="AA81" s="2">
        <v>55110074</v>
      </c>
      <c r="AB81" s="2">
        <f t="shared" si="75"/>
        <v>2000</v>
      </c>
      <c r="AC81" s="2">
        <f t="shared" si="98"/>
        <v>2000</v>
      </c>
      <c r="AD81" s="2">
        <f>ROUND((((ET81)-(EU81))+AE81),2)</f>
        <v>0</v>
      </c>
      <c r="AE81" s="2">
        <f aca="true" t="shared" si="99" ref="AE81:AF84">ROUND((EU81),2)</f>
        <v>0</v>
      </c>
      <c r="AF81" s="2">
        <f t="shared" si="99"/>
        <v>0</v>
      </c>
      <c r="AG81" s="2">
        <f t="shared" si="76"/>
        <v>0</v>
      </c>
      <c r="AH81" s="2">
        <f aca="true" t="shared" si="100" ref="AH81:AI84">(EW81)</f>
        <v>0</v>
      </c>
      <c r="AI81" s="2">
        <f t="shared" si="100"/>
        <v>0</v>
      </c>
      <c r="AJ81" s="2">
        <f t="shared" si="77"/>
        <v>0</v>
      </c>
      <c r="AK81" s="2">
        <v>2000</v>
      </c>
      <c r="AL81" s="2">
        <v>2000</v>
      </c>
      <c r="AM81" s="2">
        <v>0</v>
      </c>
      <c r="AN81" s="2">
        <v>0</v>
      </c>
      <c r="AO81" s="2">
        <v>0</v>
      </c>
      <c r="AP81" s="2">
        <v>0</v>
      </c>
      <c r="AQ81" s="2">
        <v>0</v>
      </c>
      <c r="AR81" s="2">
        <v>0</v>
      </c>
      <c r="AS81" s="2">
        <v>0</v>
      </c>
      <c r="AT81" s="2">
        <v>109</v>
      </c>
      <c r="AU81" s="2">
        <v>57</v>
      </c>
      <c r="AV81" s="2">
        <v>1</v>
      </c>
      <c r="AW81" s="2">
        <v>1</v>
      </c>
      <c r="AX81" s="2"/>
      <c r="AY81" s="2"/>
      <c r="AZ81" s="2">
        <v>1</v>
      </c>
      <c r="BA81" s="2">
        <v>1</v>
      </c>
      <c r="BB81" s="2">
        <v>1</v>
      </c>
      <c r="BC81" s="2">
        <v>1</v>
      </c>
      <c r="BD81" s="2" t="s">
        <v>3</v>
      </c>
      <c r="BE81" s="2" t="s">
        <v>3</v>
      </c>
      <c r="BF81" s="2" t="s">
        <v>3</v>
      </c>
      <c r="BG81" s="2" t="s">
        <v>3</v>
      </c>
      <c r="BH81" s="2">
        <v>3</v>
      </c>
      <c r="BI81" s="2">
        <v>1</v>
      </c>
      <c r="BJ81" s="2" t="s">
        <v>145</v>
      </c>
      <c r="BK81" s="2"/>
      <c r="BL81" s="2"/>
      <c r="BM81" s="2">
        <v>12001</v>
      </c>
      <c r="BN81" s="2">
        <v>0</v>
      </c>
      <c r="BO81" s="2" t="s">
        <v>3</v>
      </c>
      <c r="BP81" s="2">
        <v>0</v>
      </c>
      <c r="BQ81" s="2">
        <v>2</v>
      </c>
      <c r="BR81" s="2">
        <v>1</v>
      </c>
      <c r="BS81" s="2">
        <v>1</v>
      </c>
      <c r="BT81" s="2">
        <v>1</v>
      </c>
      <c r="BU81" s="2">
        <v>1</v>
      </c>
      <c r="BV81" s="2">
        <v>1</v>
      </c>
      <c r="BW81" s="2">
        <v>1</v>
      </c>
      <c r="BX81" s="2">
        <v>1</v>
      </c>
      <c r="BY81" s="2" t="s">
        <v>3</v>
      </c>
      <c r="BZ81" s="2">
        <v>109</v>
      </c>
      <c r="CA81" s="2">
        <v>57</v>
      </c>
      <c r="CB81" s="2" t="s">
        <v>3</v>
      </c>
      <c r="CC81" s="2"/>
      <c r="CD81" s="2"/>
      <c r="CE81" s="2">
        <v>0</v>
      </c>
      <c r="CF81" s="2">
        <v>0</v>
      </c>
      <c r="CG81" s="2">
        <v>0</v>
      </c>
      <c r="CH81" s="2"/>
      <c r="CI81" s="2"/>
      <c r="CJ81" s="2"/>
      <c r="CK81" s="2"/>
      <c r="CL81" s="2"/>
      <c r="CM81" s="2">
        <v>0</v>
      </c>
      <c r="CN81" s="2" t="s">
        <v>3</v>
      </c>
      <c r="CO81" s="2">
        <v>0</v>
      </c>
      <c r="CP81" s="2">
        <f t="shared" si="78"/>
        <v>-1908</v>
      </c>
      <c r="CQ81" s="2">
        <f t="shared" si="79"/>
        <v>2000</v>
      </c>
      <c r="CR81" s="2">
        <f t="shared" si="80"/>
        <v>0</v>
      </c>
      <c r="CS81" s="2">
        <f t="shared" si="81"/>
        <v>0</v>
      </c>
      <c r="CT81" s="2">
        <f t="shared" si="82"/>
        <v>0</v>
      </c>
      <c r="CU81" s="2">
        <f t="shared" si="83"/>
        <v>0</v>
      </c>
      <c r="CV81" s="2">
        <f t="shared" si="84"/>
        <v>0</v>
      </c>
      <c r="CW81" s="2">
        <f t="shared" si="85"/>
        <v>0</v>
      </c>
      <c r="CX81" s="2">
        <f t="shared" si="86"/>
        <v>0</v>
      </c>
      <c r="CY81" s="2">
        <f t="shared" si="87"/>
        <v>0</v>
      </c>
      <c r="CZ81" s="2">
        <f t="shared" si="88"/>
        <v>0</v>
      </c>
      <c r="DA81" s="2"/>
      <c r="DB81" s="2"/>
      <c r="DC81" s="2" t="s">
        <v>3</v>
      </c>
      <c r="DD81" s="2" t="s">
        <v>3</v>
      </c>
      <c r="DE81" s="2" t="s">
        <v>3</v>
      </c>
      <c r="DF81" s="2" t="s">
        <v>3</v>
      </c>
      <c r="DG81" s="2" t="s">
        <v>3</v>
      </c>
      <c r="DH81" s="2" t="s">
        <v>3</v>
      </c>
      <c r="DI81" s="2" t="s">
        <v>3</v>
      </c>
      <c r="DJ81" s="2" t="s">
        <v>3</v>
      </c>
      <c r="DK81" s="2" t="s">
        <v>3</v>
      </c>
      <c r="DL81" s="2" t="s">
        <v>3</v>
      </c>
      <c r="DM81" s="2" t="s">
        <v>3</v>
      </c>
      <c r="DN81" s="2">
        <v>0</v>
      </c>
      <c r="DO81" s="2">
        <v>0</v>
      </c>
      <c r="DP81" s="2">
        <v>1</v>
      </c>
      <c r="DQ81" s="2">
        <v>1</v>
      </c>
      <c r="DR81" s="2"/>
      <c r="DS81" s="2"/>
      <c r="DT81" s="2"/>
      <c r="DU81" s="2">
        <v>1009</v>
      </c>
      <c r="DV81" s="2" t="s">
        <v>125</v>
      </c>
      <c r="DW81" s="2" t="s">
        <v>125</v>
      </c>
      <c r="DX81" s="2">
        <v>1000</v>
      </c>
      <c r="DY81" s="2"/>
      <c r="DZ81" s="2" t="s">
        <v>3</v>
      </c>
      <c r="EA81" s="2" t="s">
        <v>3</v>
      </c>
      <c r="EB81" s="2" t="s">
        <v>3</v>
      </c>
      <c r="EC81" s="2" t="s">
        <v>3</v>
      </c>
      <c r="ED81" s="2"/>
      <c r="EE81" s="2">
        <v>53507574</v>
      </c>
      <c r="EF81" s="2">
        <v>2</v>
      </c>
      <c r="EG81" s="2" t="s">
        <v>26</v>
      </c>
      <c r="EH81" s="2">
        <v>12</v>
      </c>
      <c r="EI81" s="2" t="s">
        <v>117</v>
      </c>
      <c r="EJ81" s="2">
        <v>1</v>
      </c>
      <c r="EK81" s="2">
        <v>12001</v>
      </c>
      <c r="EL81" s="2" t="s">
        <v>117</v>
      </c>
      <c r="EM81" s="2" t="s">
        <v>118</v>
      </c>
      <c r="EN81" s="2"/>
      <c r="EO81" s="2" t="s">
        <v>3</v>
      </c>
      <c r="EP81" s="2"/>
      <c r="EQ81" s="2">
        <v>0</v>
      </c>
      <c r="ER81" s="2">
        <v>2000</v>
      </c>
      <c r="ES81" s="2">
        <v>2000</v>
      </c>
      <c r="ET81" s="2">
        <v>0</v>
      </c>
      <c r="EU81" s="2">
        <v>0</v>
      </c>
      <c r="EV81" s="2">
        <v>0</v>
      </c>
      <c r="EW81" s="2">
        <v>0</v>
      </c>
      <c r="EX81" s="2">
        <v>0</v>
      </c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>
        <v>0</v>
      </c>
      <c r="FR81" s="2">
        <f t="shared" si="89"/>
        <v>0</v>
      </c>
      <c r="FS81" s="2">
        <v>0</v>
      </c>
      <c r="FT81" s="2"/>
      <c r="FU81" s="2"/>
      <c r="FV81" s="2"/>
      <c r="FW81" s="2"/>
      <c r="FX81" s="2">
        <v>109</v>
      </c>
      <c r="FY81" s="2">
        <v>57</v>
      </c>
      <c r="FZ81" s="2"/>
      <c r="GA81" s="2" t="s">
        <v>3</v>
      </c>
      <c r="GB81" s="2"/>
      <c r="GC81" s="2"/>
      <c r="GD81" s="2">
        <v>1</v>
      </c>
      <c r="GE81" s="2"/>
      <c r="GF81" s="2">
        <v>-1214354032</v>
      </c>
      <c r="GG81" s="2">
        <v>2</v>
      </c>
      <c r="GH81" s="2">
        <v>1</v>
      </c>
      <c r="GI81" s="2">
        <v>-2</v>
      </c>
      <c r="GJ81" s="2">
        <v>0</v>
      </c>
      <c r="GK81" s="2">
        <v>0</v>
      </c>
      <c r="GL81" s="2">
        <f t="shared" si="90"/>
        <v>0</v>
      </c>
      <c r="GM81" s="2">
        <f t="shared" si="91"/>
        <v>-1908</v>
      </c>
      <c r="GN81" s="2">
        <f t="shared" si="92"/>
        <v>-1908</v>
      </c>
      <c r="GO81" s="2">
        <f t="shared" si="93"/>
        <v>0</v>
      </c>
      <c r="GP81" s="2">
        <f t="shared" si="94"/>
        <v>0</v>
      </c>
      <c r="GQ81" s="2"/>
      <c r="GR81" s="2">
        <v>0</v>
      </c>
      <c r="GS81" s="2">
        <v>0</v>
      </c>
      <c r="GT81" s="2">
        <v>0</v>
      </c>
      <c r="GU81" s="2" t="s">
        <v>3</v>
      </c>
      <c r="GV81" s="2">
        <f t="shared" si="95"/>
        <v>0</v>
      </c>
      <c r="GW81" s="2">
        <v>1</v>
      </c>
      <c r="GX81" s="2">
        <f t="shared" si="96"/>
        <v>0</v>
      </c>
      <c r="GY81" s="2"/>
      <c r="GZ81" s="2"/>
      <c r="HA81" s="2">
        <v>0</v>
      </c>
      <c r="HB81" s="2">
        <v>0</v>
      </c>
      <c r="HC81" s="2">
        <f t="shared" si="97"/>
        <v>0</v>
      </c>
      <c r="HD81" s="2"/>
      <c r="HE81" s="2" t="s">
        <v>3</v>
      </c>
      <c r="HF81" s="2" t="s">
        <v>3</v>
      </c>
      <c r="HG81" s="2"/>
      <c r="HH81" s="2"/>
      <c r="HI81" s="2"/>
      <c r="HJ81" s="2"/>
      <c r="HK81" s="2"/>
      <c r="HL81" s="2"/>
      <c r="HM81" s="2" t="s">
        <v>3</v>
      </c>
      <c r="HN81" s="2" t="s">
        <v>120</v>
      </c>
      <c r="HO81" s="2" t="s">
        <v>121</v>
      </c>
      <c r="HP81" s="2" t="s">
        <v>117</v>
      </c>
      <c r="HQ81" s="2" t="s">
        <v>117</v>
      </c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>
        <v>0</v>
      </c>
      <c r="IL81" s="2"/>
      <c r="IM81" s="2"/>
      <c r="IN81" s="2"/>
      <c r="IO81" s="2"/>
      <c r="IP81" s="2"/>
      <c r="IQ81" s="2"/>
      <c r="IR81" s="2"/>
      <c r="IS81" s="2"/>
      <c r="IT81" s="2"/>
      <c r="IU81" s="2"/>
    </row>
    <row r="82" spans="1:245" ht="12.75">
      <c r="A82">
        <v>18</v>
      </c>
      <c r="B82">
        <v>1</v>
      </c>
      <c r="C82">
        <v>54</v>
      </c>
      <c r="E82" t="s">
        <v>142</v>
      </c>
      <c r="F82" t="s">
        <v>143</v>
      </c>
      <c r="G82" t="s">
        <v>144</v>
      </c>
      <c r="H82" t="s">
        <v>125</v>
      </c>
      <c r="I82">
        <f>I80*J82</f>
        <v>-0.954</v>
      </c>
      <c r="J82">
        <v>-0.045</v>
      </c>
      <c r="K82">
        <v>-0.045</v>
      </c>
      <c r="O82">
        <f t="shared" si="64"/>
        <v>-25682</v>
      </c>
      <c r="P82">
        <f t="shared" si="65"/>
        <v>-25682</v>
      </c>
      <c r="Q82">
        <f t="shared" si="66"/>
        <v>0</v>
      </c>
      <c r="R82">
        <f t="shared" si="67"/>
        <v>0</v>
      </c>
      <c r="S82">
        <f t="shared" si="68"/>
        <v>0</v>
      </c>
      <c r="T82">
        <f t="shared" si="69"/>
        <v>0</v>
      </c>
      <c r="U82">
        <f t="shared" si="70"/>
        <v>0</v>
      </c>
      <c r="V82">
        <f t="shared" si="71"/>
        <v>0</v>
      </c>
      <c r="W82">
        <f t="shared" si="72"/>
        <v>0</v>
      </c>
      <c r="X82">
        <f t="shared" si="73"/>
        <v>0</v>
      </c>
      <c r="Y82">
        <f t="shared" si="74"/>
        <v>0</v>
      </c>
      <c r="AA82">
        <v>55110083</v>
      </c>
      <c r="AB82">
        <f t="shared" si="75"/>
        <v>2000</v>
      </c>
      <c r="AC82">
        <f t="shared" si="98"/>
        <v>2000</v>
      </c>
      <c r="AD82">
        <f>ROUND((((ET82)-(EU82))+AE82),2)</f>
        <v>0</v>
      </c>
      <c r="AE82">
        <f t="shared" si="99"/>
        <v>0</v>
      </c>
      <c r="AF82">
        <f t="shared" si="99"/>
        <v>0</v>
      </c>
      <c r="AG82">
        <f t="shared" si="76"/>
        <v>0</v>
      </c>
      <c r="AH82">
        <f t="shared" si="100"/>
        <v>0</v>
      </c>
      <c r="AI82">
        <f t="shared" si="100"/>
        <v>0</v>
      </c>
      <c r="AJ82">
        <f t="shared" si="77"/>
        <v>0</v>
      </c>
      <c r="AK82">
        <v>2000</v>
      </c>
      <c r="AL82">
        <v>2000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109</v>
      </c>
      <c r="AU82">
        <v>57</v>
      </c>
      <c r="AV82">
        <v>1</v>
      </c>
      <c r="AW82">
        <v>1</v>
      </c>
      <c r="AZ82">
        <v>1</v>
      </c>
      <c r="BA82">
        <v>1</v>
      </c>
      <c r="BB82">
        <v>1</v>
      </c>
      <c r="BC82">
        <v>13.46</v>
      </c>
      <c r="BH82">
        <v>3</v>
      </c>
      <c r="BI82">
        <v>1</v>
      </c>
      <c r="BJ82" t="s">
        <v>145</v>
      </c>
      <c r="BM82">
        <v>12001</v>
      </c>
      <c r="BN82">
        <v>0</v>
      </c>
      <c r="BO82" t="s">
        <v>143</v>
      </c>
      <c r="BP82">
        <v>1</v>
      </c>
      <c r="BQ82">
        <v>2</v>
      </c>
      <c r="BR82">
        <v>1</v>
      </c>
      <c r="BS82">
        <v>1</v>
      </c>
      <c r="BT82">
        <v>1</v>
      </c>
      <c r="BU82">
        <v>1</v>
      </c>
      <c r="BV82">
        <v>1</v>
      </c>
      <c r="BW82">
        <v>1</v>
      </c>
      <c r="BX82">
        <v>1</v>
      </c>
      <c r="BZ82">
        <v>109</v>
      </c>
      <c r="CA82">
        <v>57</v>
      </c>
      <c r="CE82">
        <v>0</v>
      </c>
      <c r="CF82">
        <v>0</v>
      </c>
      <c r="CG82">
        <v>0</v>
      </c>
      <c r="CM82">
        <v>0</v>
      </c>
      <c r="CO82">
        <v>0</v>
      </c>
      <c r="CP82">
        <f t="shared" si="78"/>
        <v>-25682</v>
      </c>
      <c r="CQ82">
        <f t="shared" si="79"/>
        <v>26920</v>
      </c>
      <c r="CR82">
        <f t="shared" si="80"/>
        <v>0</v>
      </c>
      <c r="CS82">
        <f t="shared" si="81"/>
        <v>0</v>
      </c>
      <c r="CT82">
        <f t="shared" si="82"/>
        <v>0</v>
      </c>
      <c r="CU82">
        <f t="shared" si="83"/>
        <v>0</v>
      </c>
      <c r="CV82">
        <f t="shared" si="84"/>
        <v>0</v>
      </c>
      <c r="CW82">
        <f t="shared" si="85"/>
        <v>0</v>
      </c>
      <c r="CX82">
        <f t="shared" si="86"/>
        <v>0</v>
      </c>
      <c r="CY82">
        <f t="shared" si="87"/>
        <v>0</v>
      </c>
      <c r="CZ82">
        <f t="shared" si="88"/>
        <v>0</v>
      </c>
      <c r="DN82">
        <v>0</v>
      </c>
      <c r="DO82">
        <v>0</v>
      </c>
      <c r="DP82">
        <v>1</v>
      </c>
      <c r="DQ82">
        <v>1</v>
      </c>
      <c r="DU82">
        <v>1009</v>
      </c>
      <c r="DV82" t="s">
        <v>125</v>
      </c>
      <c r="DW82" t="s">
        <v>125</v>
      </c>
      <c r="DX82">
        <v>1000</v>
      </c>
      <c r="EE82">
        <v>53507574</v>
      </c>
      <c r="EF82">
        <v>2</v>
      </c>
      <c r="EG82" t="s">
        <v>26</v>
      </c>
      <c r="EH82">
        <v>12</v>
      </c>
      <c r="EI82" t="s">
        <v>117</v>
      </c>
      <c r="EJ82">
        <v>1</v>
      </c>
      <c r="EK82">
        <v>12001</v>
      </c>
      <c r="EL82" t="s">
        <v>117</v>
      </c>
      <c r="EM82" t="s">
        <v>118</v>
      </c>
      <c r="EQ82">
        <v>0</v>
      </c>
      <c r="ER82">
        <v>2000</v>
      </c>
      <c r="ES82">
        <v>2000</v>
      </c>
      <c r="ET82">
        <v>0</v>
      </c>
      <c r="EU82">
        <v>0</v>
      </c>
      <c r="EV82">
        <v>0</v>
      </c>
      <c r="EW82">
        <v>0</v>
      </c>
      <c r="EX82">
        <v>0</v>
      </c>
      <c r="FQ82">
        <v>0</v>
      </c>
      <c r="FR82">
        <f t="shared" si="89"/>
        <v>0</v>
      </c>
      <c r="FS82">
        <v>0</v>
      </c>
      <c r="FX82">
        <v>109</v>
      </c>
      <c r="FY82">
        <v>57</v>
      </c>
      <c r="GD82">
        <v>1</v>
      </c>
      <c r="GF82">
        <v>-1214354032</v>
      </c>
      <c r="GG82">
        <v>2</v>
      </c>
      <c r="GH82">
        <v>1</v>
      </c>
      <c r="GI82">
        <v>2</v>
      </c>
      <c r="GJ82">
        <v>0</v>
      </c>
      <c r="GK82">
        <v>0</v>
      </c>
      <c r="GL82">
        <f t="shared" si="90"/>
        <v>0</v>
      </c>
      <c r="GM82">
        <f t="shared" si="91"/>
        <v>-25682</v>
      </c>
      <c r="GN82">
        <f t="shared" si="92"/>
        <v>-25682</v>
      </c>
      <c r="GO82">
        <f t="shared" si="93"/>
        <v>0</v>
      </c>
      <c r="GP82">
        <f t="shared" si="94"/>
        <v>0</v>
      </c>
      <c r="GR82">
        <v>0</v>
      </c>
      <c r="GS82">
        <v>0</v>
      </c>
      <c r="GT82">
        <v>0</v>
      </c>
      <c r="GV82">
        <f t="shared" si="95"/>
        <v>0</v>
      </c>
      <c r="GW82">
        <v>1</v>
      </c>
      <c r="GX82">
        <f t="shared" si="96"/>
        <v>0</v>
      </c>
      <c r="HA82">
        <v>0</v>
      </c>
      <c r="HB82">
        <v>0</v>
      </c>
      <c r="HC82">
        <f t="shared" si="97"/>
        <v>0</v>
      </c>
      <c r="HN82" t="s">
        <v>120</v>
      </c>
      <c r="HO82" t="s">
        <v>121</v>
      </c>
      <c r="HP82" t="s">
        <v>117</v>
      </c>
      <c r="HQ82" t="s">
        <v>117</v>
      </c>
      <c r="IK82">
        <v>0</v>
      </c>
    </row>
    <row r="83" spans="1:255" ht="12.75">
      <c r="A83" s="2">
        <v>18</v>
      </c>
      <c r="B83" s="2">
        <v>1</v>
      </c>
      <c r="C83" s="2">
        <v>48</v>
      </c>
      <c r="D83" s="2"/>
      <c r="E83" s="2" t="s">
        <v>146</v>
      </c>
      <c r="F83" s="2" t="s">
        <v>147</v>
      </c>
      <c r="G83" s="2" t="s">
        <v>148</v>
      </c>
      <c r="H83" s="2" t="s">
        <v>125</v>
      </c>
      <c r="I83" s="2">
        <f>I79*J83</f>
        <v>0.954</v>
      </c>
      <c r="J83" s="2">
        <v>0.045</v>
      </c>
      <c r="K83" s="2">
        <v>0.045</v>
      </c>
      <c r="L83" s="2"/>
      <c r="M83" s="2"/>
      <c r="N83" s="2"/>
      <c r="O83" s="2">
        <f t="shared" si="64"/>
        <v>11339</v>
      </c>
      <c r="P83" s="2">
        <f t="shared" si="65"/>
        <v>11339</v>
      </c>
      <c r="Q83" s="2">
        <f t="shared" si="66"/>
        <v>0</v>
      </c>
      <c r="R83" s="2">
        <f t="shared" si="67"/>
        <v>0</v>
      </c>
      <c r="S83" s="2">
        <f t="shared" si="68"/>
        <v>0</v>
      </c>
      <c r="T83" s="2">
        <f t="shared" si="69"/>
        <v>0</v>
      </c>
      <c r="U83" s="2">
        <f t="shared" si="70"/>
        <v>0</v>
      </c>
      <c r="V83" s="2">
        <f t="shared" si="71"/>
        <v>0</v>
      </c>
      <c r="W83" s="2">
        <f t="shared" si="72"/>
        <v>0</v>
      </c>
      <c r="X83" s="2">
        <f t="shared" si="73"/>
        <v>0</v>
      </c>
      <c r="Y83" s="2">
        <f t="shared" si="74"/>
        <v>0</v>
      </c>
      <c r="Z83" s="2"/>
      <c r="AA83" s="2">
        <v>55110074</v>
      </c>
      <c r="AB83" s="2">
        <f t="shared" si="75"/>
        <v>11885.47</v>
      </c>
      <c r="AC83" s="2">
        <f t="shared" si="98"/>
        <v>11885.47</v>
      </c>
      <c r="AD83" s="2">
        <f>ROUND((((ET83)-(EU83))+AE83),2)</f>
        <v>0</v>
      </c>
      <c r="AE83" s="2">
        <f t="shared" si="99"/>
        <v>0</v>
      </c>
      <c r="AF83" s="2">
        <f t="shared" si="99"/>
        <v>0</v>
      </c>
      <c r="AG83" s="2">
        <f t="shared" si="76"/>
        <v>0</v>
      </c>
      <c r="AH83" s="2">
        <f t="shared" si="100"/>
        <v>0</v>
      </c>
      <c r="AI83" s="2">
        <f t="shared" si="100"/>
        <v>0</v>
      </c>
      <c r="AJ83" s="2">
        <f t="shared" si="77"/>
        <v>0</v>
      </c>
      <c r="AK83" s="2">
        <v>11885.47</v>
      </c>
      <c r="AL83" s="2">
        <v>11885.47</v>
      </c>
      <c r="AM83" s="2">
        <v>0</v>
      </c>
      <c r="AN83" s="2">
        <v>0</v>
      </c>
      <c r="AO83" s="2">
        <v>0</v>
      </c>
      <c r="AP83" s="2">
        <v>0</v>
      </c>
      <c r="AQ83" s="2">
        <v>0</v>
      </c>
      <c r="AR83" s="2">
        <v>0</v>
      </c>
      <c r="AS83" s="2">
        <v>0</v>
      </c>
      <c r="AT83" s="2">
        <v>109</v>
      </c>
      <c r="AU83" s="2">
        <v>57</v>
      </c>
      <c r="AV83" s="2">
        <v>1</v>
      </c>
      <c r="AW83" s="2">
        <v>1</v>
      </c>
      <c r="AX83" s="2"/>
      <c r="AY83" s="2"/>
      <c r="AZ83" s="2">
        <v>1</v>
      </c>
      <c r="BA83" s="2">
        <v>1</v>
      </c>
      <c r="BB83" s="2">
        <v>1</v>
      </c>
      <c r="BC83" s="2">
        <v>1</v>
      </c>
      <c r="BD83" s="2" t="s">
        <v>3</v>
      </c>
      <c r="BE83" s="2" t="s">
        <v>3</v>
      </c>
      <c r="BF83" s="2" t="s">
        <v>3</v>
      </c>
      <c r="BG83" s="2" t="s">
        <v>3</v>
      </c>
      <c r="BH83" s="2">
        <v>3</v>
      </c>
      <c r="BI83" s="2">
        <v>1</v>
      </c>
      <c r="BJ83" s="2" t="s">
        <v>149</v>
      </c>
      <c r="BK83" s="2"/>
      <c r="BL83" s="2"/>
      <c r="BM83" s="2">
        <v>12001</v>
      </c>
      <c r="BN83" s="2">
        <v>0</v>
      </c>
      <c r="BO83" s="2" t="s">
        <v>3</v>
      </c>
      <c r="BP83" s="2">
        <v>0</v>
      </c>
      <c r="BQ83" s="2">
        <v>2</v>
      </c>
      <c r="BR83" s="2">
        <v>0</v>
      </c>
      <c r="BS83" s="2">
        <v>1</v>
      </c>
      <c r="BT83" s="2">
        <v>1</v>
      </c>
      <c r="BU83" s="2">
        <v>1</v>
      </c>
      <c r="BV83" s="2">
        <v>1</v>
      </c>
      <c r="BW83" s="2">
        <v>1</v>
      </c>
      <c r="BX83" s="2">
        <v>1</v>
      </c>
      <c r="BY83" s="2" t="s">
        <v>3</v>
      </c>
      <c r="BZ83" s="2">
        <v>109</v>
      </c>
      <c r="CA83" s="2">
        <v>57</v>
      </c>
      <c r="CB83" s="2" t="s">
        <v>3</v>
      </c>
      <c r="CC83" s="2"/>
      <c r="CD83" s="2"/>
      <c r="CE83" s="2">
        <v>0</v>
      </c>
      <c r="CF83" s="2">
        <v>0</v>
      </c>
      <c r="CG83" s="2">
        <v>0</v>
      </c>
      <c r="CH83" s="2"/>
      <c r="CI83" s="2"/>
      <c r="CJ83" s="2"/>
      <c r="CK83" s="2"/>
      <c r="CL83" s="2"/>
      <c r="CM83" s="2">
        <v>0</v>
      </c>
      <c r="CN83" s="2" t="s">
        <v>3</v>
      </c>
      <c r="CO83" s="2">
        <v>0</v>
      </c>
      <c r="CP83" s="2">
        <f t="shared" si="78"/>
        <v>11339</v>
      </c>
      <c r="CQ83" s="2">
        <f t="shared" si="79"/>
        <v>11885.47</v>
      </c>
      <c r="CR83" s="2">
        <f t="shared" si="80"/>
        <v>0</v>
      </c>
      <c r="CS83" s="2">
        <f t="shared" si="81"/>
        <v>0</v>
      </c>
      <c r="CT83" s="2">
        <f t="shared" si="82"/>
        <v>0</v>
      </c>
      <c r="CU83" s="2">
        <f t="shared" si="83"/>
        <v>0</v>
      </c>
      <c r="CV83" s="2">
        <f t="shared" si="84"/>
        <v>0</v>
      </c>
      <c r="CW83" s="2">
        <f t="shared" si="85"/>
        <v>0</v>
      </c>
      <c r="CX83" s="2">
        <f t="shared" si="86"/>
        <v>0</v>
      </c>
      <c r="CY83" s="2">
        <f t="shared" si="87"/>
        <v>0</v>
      </c>
      <c r="CZ83" s="2">
        <f t="shared" si="88"/>
        <v>0</v>
      </c>
      <c r="DA83" s="2"/>
      <c r="DB83" s="2"/>
      <c r="DC83" s="2" t="s">
        <v>3</v>
      </c>
      <c r="DD83" s="2" t="s">
        <v>3</v>
      </c>
      <c r="DE83" s="2" t="s">
        <v>3</v>
      </c>
      <c r="DF83" s="2" t="s">
        <v>3</v>
      </c>
      <c r="DG83" s="2" t="s">
        <v>3</v>
      </c>
      <c r="DH83" s="2" t="s">
        <v>3</v>
      </c>
      <c r="DI83" s="2" t="s">
        <v>3</v>
      </c>
      <c r="DJ83" s="2" t="s">
        <v>3</v>
      </c>
      <c r="DK83" s="2" t="s">
        <v>3</v>
      </c>
      <c r="DL83" s="2" t="s">
        <v>3</v>
      </c>
      <c r="DM83" s="2" t="s">
        <v>3</v>
      </c>
      <c r="DN83" s="2">
        <v>0</v>
      </c>
      <c r="DO83" s="2">
        <v>0</v>
      </c>
      <c r="DP83" s="2">
        <v>1</v>
      </c>
      <c r="DQ83" s="2">
        <v>1</v>
      </c>
      <c r="DR83" s="2"/>
      <c r="DS83" s="2"/>
      <c r="DT83" s="2"/>
      <c r="DU83" s="2">
        <v>1009</v>
      </c>
      <c r="DV83" s="2" t="s">
        <v>125</v>
      </c>
      <c r="DW83" s="2" t="s">
        <v>125</v>
      </c>
      <c r="DX83" s="2">
        <v>1000</v>
      </c>
      <c r="DY83" s="2"/>
      <c r="DZ83" s="2" t="s">
        <v>3</v>
      </c>
      <c r="EA83" s="2" t="s">
        <v>3</v>
      </c>
      <c r="EB83" s="2" t="s">
        <v>3</v>
      </c>
      <c r="EC83" s="2" t="s">
        <v>3</v>
      </c>
      <c r="ED83" s="2"/>
      <c r="EE83" s="2">
        <v>53507574</v>
      </c>
      <c r="EF83" s="2">
        <v>2</v>
      </c>
      <c r="EG83" s="2" t="s">
        <v>26</v>
      </c>
      <c r="EH83" s="2">
        <v>12</v>
      </c>
      <c r="EI83" s="2" t="s">
        <v>117</v>
      </c>
      <c r="EJ83" s="2">
        <v>1</v>
      </c>
      <c r="EK83" s="2">
        <v>12001</v>
      </c>
      <c r="EL83" s="2" t="s">
        <v>117</v>
      </c>
      <c r="EM83" s="2" t="s">
        <v>118</v>
      </c>
      <c r="EN83" s="2"/>
      <c r="EO83" s="2" t="s">
        <v>3</v>
      </c>
      <c r="EP83" s="2"/>
      <c r="EQ83" s="2">
        <v>0</v>
      </c>
      <c r="ER83" s="2">
        <v>11885.47</v>
      </c>
      <c r="ES83" s="2">
        <v>11885.47</v>
      </c>
      <c r="ET83" s="2">
        <v>0</v>
      </c>
      <c r="EU83" s="2">
        <v>0</v>
      </c>
      <c r="EV83" s="2">
        <v>0</v>
      </c>
      <c r="EW83" s="2">
        <v>0</v>
      </c>
      <c r="EX83" s="2">
        <v>0</v>
      </c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>
        <v>0</v>
      </c>
      <c r="FR83" s="2">
        <f t="shared" si="89"/>
        <v>0</v>
      </c>
      <c r="FS83" s="2">
        <v>0</v>
      </c>
      <c r="FT83" s="2"/>
      <c r="FU83" s="2"/>
      <c r="FV83" s="2"/>
      <c r="FW83" s="2"/>
      <c r="FX83" s="2">
        <v>109</v>
      </c>
      <c r="FY83" s="2">
        <v>57</v>
      </c>
      <c r="FZ83" s="2"/>
      <c r="GA83" s="2" t="s">
        <v>3</v>
      </c>
      <c r="GB83" s="2"/>
      <c r="GC83" s="2"/>
      <c r="GD83" s="2">
        <v>1</v>
      </c>
      <c r="GE83" s="2"/>
      <c r="GF83" s="2">
        <v>-793660939</v>
      </c>
      <c r="GG83" s="2">
        <v>2</v>
      </c>
      <c r="GH83" s="2">
        <v>1</v>
      </c>
      <c r="GI83" s="2">
        <v>-2</v>
      </c>
      <c r="GJ83" s="2">
        <v>0</v>
      </c>
      <c r="GK83" s="2">
        <v>0</v>
      </c>
      <c r="GL83" s="2">
        <f t="shared" si="90"/>
        <v>0</v>
      </c>
      <c r="GM83" s="2">
        <f t="shared" si="91"/>
        <v>11339</v>
      </c>
      <c r="GN83" s="2">
        <f t="shared" si="92"/>
        <v>11339</v>
      </c>
      <c r="GO83" s="2">
        <f t="shared" si="93"/>
        <v>0</v>
      </c>
      <c r="GP83" s="2">
        <f t="shared" si="94"/>
        <v>0</v>
      </c>
      <c r="GQ83" s="2"/>
      <c r="GR83" s="2">
        <v>0</v>
      </c>
      <c r="GS83" s="2">
        <v>0</v>
      </c>
      <c r="GT83" s="2">
        <v>0</v>
      </c>
      <c r="GU83" s="2" t="s">
        <v>3</v>
      </c>
      <c r="GV83" s="2">
        <f t="shared" si="95"/>
        <v>0</v>
      </c>
      <c r="GW83" s="2">
        <v>1</v>
      </c>
      <c r="GX83" s="2">
        <f t="shared" si="96"/>
        <v>0</v>
      </c>
      <c r="GY83" s="2"/>
      <c r="GZ83" s="2"/>
      <c r="HA83" s="2">
        <v>0</v>
      </c>
      <c r="HB83" s="2">
        <v>0</v>
      </c>
      <c r="HC83" s="2">
        <f t="shared" si="97"/>
        <v>0</v>
      </c>
      <c r="HD83" s="2"/>
      <c r="HE83" s="2" t="s">
        <v>3</v>
      </c>
      <c r="HF83" s="2" t="s">
        <v>3</v>
      </c>
      <c r="HG83" s="2"/>
      <c r="HH83" s="2"/>
      <c r="HI83" s="2"/>
      <c r="HJ83" s="2"/>
      <c r="HK83" s="2"/>
      <c r="HL83" s="2"/>
      <c r="HM83" s="2" t="s">
        <v>3</v>
      </c>
      <c r="HN83" s="2" t="s">
        <v>120</v>
      </c>
      <c r="HO83" s="2" t="s">
        <v>121</v>
      </c>
      <c r="HP83" s="2" t="s">
        <v>117</v>
      </c>
      <c r="HQ83" s="2" t="s">
        <v>117</v>
      </c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>
        <v>0</v>
      </c>
      <c r="IL83" s="2"/>
      <c r="IM83" s="2"/>
      <c r="IN83" s="2"/>
      <c r="IO83" s="2"/>
      <c r="IP83" s="2"/>
      <c r="IQ83" s="2"/>
      <c r="IR83" s="2"/>
      <c r="IS83" s="2"/>
      <c r="IT83" s="2"/>
      <c r="IU83" s="2"/>
    </row>
    <row r="84" spans="1:245" ht="12.75">
      <c r="A84">
        <v>18</v>
      </c>
      <c r="B84">
        <v>1</v>
      </c>
      <c r="C84">
        <v>53</v>
      </c>
      <c r="E84" t="s">
        <v>146</v>
      </c>
      <c r="F84" t="s">
        <v>147</v>
      </c>
      <c r="G84" t="s">
        <v>148</v>
      </c>
      <c r="H84" t="s">
        <v>125</v>
      </c>
      <c r="I84">
        <f>I80*J84</f>
        <v>0.954</v>
      </c>
      <c r="J84">
        <v>0.045</v>
      </c>
      <c r="K84">
        <v>0.045</v>
      </c>
      <c r="O84">
        <f t="shared" si="64"/>
        <v>133457</v>
      </c>
      <c r="P84">
        <f t="shared" si="65"/>
        <v>133457</v>
      </c>
      <c r="Q84">
        <f t="shared" si="66"/>
        <v>0</v>
      </c>
      <c r="R84">
        <f t="shared" si="67"/>
        <v>0</v>
      </c>
      <c r="S84">
        <f t="shared" si="68"/>
        <v>0</v>
      </c>
      <c r="T84">
        <f t="shared" si="69"/>
        <v>0</v>
      </c>
      <c r="U84">
        <f t="shared" si="70"/>
        <v>0</v>
      </c>
      <c r="V84">
        <f t="shared" si="71"/>
        <v>0</v>
      </c>
      <c r="W84">
        <f t="shared" si="72"/>
        <v>0</v>
      </c>
      <c r="X84">
        <f t="shared" si="73"/>
        <v>0</v>
      </c>
      <c r="Y84">
        <f t="shared" si="74"/>
        <v>0</v>
      </c>
      <c r="AA84">
        <v>55110083</v>
      </c>
      <c r="AB84">
        <f t="shared" si="75"/>
        <v>11885.47</v>
      </c>
      <c r="AC84">
        <f t="shared" si="98"/>
        <v>11885.47</v>
      </c>
      <c r="AD84">
        <f>ROUND((((ET84)-(EU84))+AE84),2)</f>
        <v>0</v>
      </c>
      <c r="AE84">
        <f t="shared" si="99"/>
        <v>0</v>
      </c>
      <c r="AF84">
        <f t="shared" si="99"/>
        <v>0</v>
      </c>
      <c r="AG84">
        <f t="shared" si="76"/>
        <v>0</v>
      </c>
      <c r="AH84">
        <f t="shared" si="100"/>
        <v>0</v>
      </c>
      <c r="AI84">
        <f t="shared" si="100"/>
        <v>0</v>
      </c>
      <c r="AJ84">
        <f t="shared" si="77"/>
        <v>0</v>
      </c>
      <c r="AK84">
        <v>11885.47</v>
      </c>
      <c r="AL84">
        <v>11885.47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109</v>
      </c>
      <c r="AU84">
        <v>57</v>
      </c>
      <c r="AV84">
        <v>1</v>
      </c>
      <c r="AW84">
        <v>1</v>
      </c>
      <c r="AZ84">
        <v>1</v>
      </c>
      <c r="BA84">
        <v>1</v>
      </c>
      <c r="BB84">
        <v>1</v>
      </c>
      <c r="BC84">
        <v>11.77</v>
      </c>
      <c r="BH84">
        <v>3</v>
      </c>
      <c r="BI84">
        <v>1</v>
      </c>
      <c r="BJ84" t="s">
        <v>149</v>
      </c>
      <c r="BM84">
        <v>12001</v>
      </c>
      <c r="BN84">
        <v>0</v>
      </c>
      <c r="BO84" t="s">
        <v>147</v>
      </c>
      <c r="BP84">
        <v>1</v>
      </c>
      <c r="BQ84">
        <v>2</v>
      </c>
      <c r="BR84">
        <v>0</v>
      </c>
      <c r="BS84">
        <v>1</v>
      </c>
      <c r="BT84">
        <v>1</v>
      </c>
      <c r="BU84">
        <v>1</v>
      </c>
      <c r="BV84">
        <v>1</v>
      </c>
      <c r="BW84">
        <v>1</v>
      </c>
      <c r="BX84">
        <v>1</v>
      </c>
      <c r="BZ84">
        <v>109</v>
      </c>
      <c r="CA84">
        <v>57</v>
      </c>
      <c r="CE84">
        <v>0</v>
      </c>
      <c r="CF84">
        <v>0</v>
      </c>
      <c r="CG84">
        <v>0</v>
      </c>
      <c r="CM84">
        <v>0</v>
      </c>
      <c r="CO84">
        <v>0</v>
      </c>
      <c r="CP84">
        <f t="shared" si="78"/>
        <v>133457</v>
      </c>
      <c r="CQ84">
        <f t="shared" si="79"/>
        <v>139891.98189999998</v>
      </c>
      <c r="CR84">
        <f t="shared" si="80"/>
        <v>0</v>
      </c>
      <c r="CS84">
        <f t="shared" si="81"/>
        <v>0</v>
      </c>
      <c r="CT84">
        <f t="shared" si="82"/>
        <v>0</v>
      </c>
      <c r="CU84">
        <f t="shared" si="83"/>
        <v>0</v>
      </c>
      <c r="CV84">
        <f t="shared" si="84"/>
        <v>0</v>
      </c>
      <c r="CW84">
        <f t="shared" si="85"/>
        <v>0</v>
      </c>
      <c r="CX84">
        <f t="shared" si="86"/>
        <v>0</v>
      </c>
      <c r="CY84">
        <f t="shared" si="87"/>
        <v>0</v>
      </c>
      <c r="CZ84">
        <f t="shared" si="88"/>
        <v>0</v>
      </c>
      <c r="DN84">
        <v>0</v>
      </c>
      <c r="DO84">
        <v>0</v>
      </c>
      <c r="DP84">
        <v>1</v>
      </c>
      <c r="DQ84">
        <v>1</v>
      </c>
      <c r="DU84">
        <v>1009</v>
      </c>
      <c r="DV84" t="s">
        <v>125</v>
      </c>
      <c r="DW84" t="s">
        <v>125</v>
      </c>
      <c r="DX84">
        <v>1000</v>
      </c>
      <c r="EE84">
        <v>53507574</v>
      </c>
      <c r="EF84">
        <v>2</v>
      </c>
      <c r="EG84" t="s">
        <v>26</v>
      </c>
      <c r="EH84">
        <v>12</v>
      </c>
      <c r="EI84" t="s">
        <v>117</v>
      </c>
      <c r="EJ84">
        <v>1</v>
      </c>
      <c r="EK84">
        <v>12001</v>
      </c>
      <c r="EL84" t="s">
        <v>117</v>
      </c>
      <c r="EM84" t="s">
        <v>118</v>
      </c>
      <c r="EQ84">
        <v>0</v>
      </c>
      <c r="ER84">
        <v>11885.47</v>
      </c>
      <c r="ES84">
        <v>11885.47</v>
      </c>
      <c r="ET84">
        <v>0</v>
      </c>
      <c r="EU84">
        <v>0</v>
      </c>
      <c r="EV84">
        <v>0</v>
      </c>
      <c r="EW84">
        <v>0</v>
      </c>
      <c r="EX84">
        <v>0</v>
      </c>
      <c r="FQ84">
        <v>0</v>
      </c>
      <c r="FR84">
        <f t="shared" si="89"/>
        <v>0</v>
      </c>
      <c r="FS84">
        <v>0</v>
      </c>
      <c r="FX84">
        <v>109</v>
      </c>
      <c r="FY84">
        <v>57</v>
      </c>
      <c r="GD84">
        <v>1</v>
      </c>
      <c r="GF84">
        <v>-793660939</v>
      </c>
      <c r="GG84">
        <v>2</v>
      </c>
      <c r="GH84">
        <v>1</v>
      </c>
      <c r="GI84">
        <v>2</v>
      </c>
      <c r="GJ84">
        <v>0</v>
      </c>
      <c r="GK84">
        <v>0</v>
      </c>
      <c r="GL84">
        <f t="shared" si="90"/>
        <v>0</v>
      </c>
      <c r="GM84">
        <f t="shared" si="91"/>
        <v>133457</v>
      </c>
      <c r="GN84">
        <f t="shared" si="92"/>
        <v>133457</v>
      </c>
      <c r="GO84">
        <f t="shared" si="93"/>
        <v>0</v>
      </c>
      <c r="GP84">
        <f t="shared" si="94"/>
        <v>0</v>
      </c>
      <c r="GR84">
        <v>0</v>
      </c>
      <c r="GS84">
        <v>0</v>
      </c>
      <c r="GT84">
        <v>0</v>
      </c>
      <c r="GV84">
        <f t="shared" si="95"/>
        <v>0</v>
      </c>
      <c r="GW84">
        <v>1</v>
      </c>
      <c r="GX84">
        <f t="shared" si="96"/>
        <v>0</v>
      </c>
      <c r="HA84">
        <v>0</v>
      </c>
      <c r="HB84">
        <v>0</v>
      </c>
      <c r="HC84">
        <f t="shared" si="97"/>
        <v>0</v>
      </c>
      <c r="HN84" t="s">
        <v>120</v>
      </c>
      <c r="HO84" t="s">
        <v>121</v>
      </c>
      <c r="HP84" t="s">
        <v>117</v>
      </c>
      <c r="HQ84" t="s">
        <v>117</v>
      </c>
      <c r="IK84">
        <v>0</v>
      </c>
    </row>
    <row r="85" spans="1:255" ht="12.75">
      <c r="A85" s="2">
        <v>17</v>
      </c>
      <c r="B85" s="2">
        <v>1</v>
      </c>
      <c r="C85" s="2">
        <f>ROW(SmtRes!A61)</f>
        <v>61</v>
      </c>
      <c r="D85" s="2">
        <f>ROW(EtalonRes!A61)</f>
        <v>61</v>
      </c>
      <c r="E85" s="2" t="s">
        <v>150</v>
      </c>
      <c r="F85" s="2" t="s">
        <v>151</v>
      </c>
      <c r="G85" s="2" t="s">
        <v>152</v>
      </c>
      <c r="H85" s="2" t="s">
        <v>24</v>
      </c>
      <c r="I85" s="2">
        <f>ROUND(135/100,7)</f>
        <v>1.35</v>
      </c>
      <c r="J85" s="2">
        <v>0</v>
      </c>
      <c r="K85" s="2">
        <f>ROUND(135/100,7)</f>
        <v>1.35</v>
      </c>
      <c r="L85" s="2"/>
      <c r="M85" s="2"/>
      <c r="N85" s="2"/>
      <c r="O85" s="2">
        <f t="shared" si="64"/>
        <v>10121</v>
      </c>
      <c r="P85" s="2">
        <f t="shared" si="65"/>
        <v>8797</v>
      </c>
      <c r="Q85" s="2">
        <f t="shared" si="66"/>
        <v>37</v>
      </c>
      <c r="R85" s="2">
        <f t="shared" si="67"/>
        <v>6</v>
      </c>
      <c r="S85" s="2">
        <f t="shared" si="68"/>
        <v>1287</v>
      </c>
      <c r="T85" s="2">
        <f t="shared" si="69"/>
        <v>0</v>
      </c>
      <c r="U85" s="2">
        <f t="shared" si="70"/>
        <v>150.90300000000002</v>
      </c>
      <c r="V85" s="2">
        <f t="shared" si="71"/>
        <v>0.45562500000000006</v>
      </c>
      <c r="W85" s="2">
        <f t="shared" si="72"/>
        <v>0</v>
      </c>
      <c r="X85" s="2">
        <f t="shared" si="73"/>
        <v>1409</v>
      </c>
      <c r="Y85" s="2">
        <f t="shared" si="74"/>
        <v>737</v>
      </c>
      <c r="Z85" s="2"/>
      <c r="AA85" s="2">
        <v>55110074</v>
      </c>
      <c r="AB85" s="2">
        <f t="shared" si="75"/>
        <v>7497.02</v>
      </c>
      <c r="AC85" s="2">
        <f t="shared" si="98"/>
        <v>6516.18</v>
      </c>
      <c r="AD85" s="2">
        <f>ROUND(((((ET85*ROUND(1.25,7)))-((EU85*ROUND(1.25,7))))+AE85),2)</f>
        <v>27.35</v>
      </c>
      <c r="AE85" s="2">
        <f>ROUND(((EU85*ROUND(1.25,7))),2)</f>
        <v>4.39</v>
      </c>
      <c r="AF85" s="2">
        <f>ROUND(((EV85*ROUND(1.15,7))),2)</f>
        <v>953.49</v>
      </c>
      <c r="AG85" s="2">
        <f t="shared" si="76"/>
        <v>0</v>
      </c>
      <c r="AH85" s="2">
        <f>((EW85*ROUND(1.15,7)))</f>
        <v>111.78</v>
      </c>
      <c r="AI85" s="2">
        <f>((EX85*ROUND(1.25,7)))</f>
        <v>0.3375</v>
      </c>
      <c r="AJ85" s="2">
        <f t="shared" si="77"/>
        <v>0</v>
      </c>
      <c r="AK85" s="2">
        <v>7367.18</v>
      </c>
      <c r="AL85" s="2">
        <v>6516.18</v>
      </c>
      <c r="AM85" s="2">
        <v>21.88</v>
      </c>
      <c r="AN85" s="2">
        <v>3.51</v>
      </c>
      <c r="AO85" s="2">
        <v>829.12</v>
      </c>
      <c r="AP85" s="2">
        <v>0</v>
      </c>
      <c r="AQ85" s="2">
        <v>97.2</v>
      </c>
      <c r="AR85" s="2">
        <v>0.27</v>
      </c>
      <c r="AS85" s="2">
        <v>0</v>
      </c>
      <c r="AT85" s="2">
        <v>109</v>
      </c>
      <c r="AU85" s="2">
        <v>57</v>
      </c>
      <c r="AV85" s="2">
        <v>1</v>
      </c>
      <c r="AW85" s="2">
        <v>1</v>
      </c>
      <c r="AX85" s="2"/>
      <c r="AY85" s="2"/>
      <c r="AZ85" s="2">
        <v>1</v>
      </c>
      <c r="BA85" s="2">
        <v>1</v>
      </c>
      <c r="BB85" s="2">
        <v>1</v>
      </c>
      <c r="BC85" s="2">
        <v>1</v>
      </c>
      <c r="BD85" s="2" t="s">
        <v>3</v>
      </c>
      <c r="BE85" s="2" t="s">
        <v>3</v>
      </c>
      <c r="BF85" s="2" t="s">
        <v>3</v>
      </c>
      <c r="BG85" s="2" t="s">
        <v>3</v>
      </c>
      <c r="BH85" s="2">
        <v>0</v>
      </c>
      <c r="BI85" s="2">
        <v>1</v>
      </c>
      <c r="BJ85" s="2" t="s">
        <v>153</v>
      </c>
      <c r="BK85" s="2"/>
      <c r="BL85" s="2"/>
      <c r="BM85" s="2">
        <v>12001</v>
      </c>
      <c r="BN85" s="2">
        <v>0</v>
      </c>
      <c r="BO85" s="2" t="s">
        <v>3</v>
      </c>
      <c r="BP85" s="2">
        <v>0</v>
      </c>
      <c r="BQ85" s="2">
        <v>2</v>
      </c>
      <c r="BR85" s="2">
        <v>0</v>
      </c>
      <c r="BS85" s="2">
        <v>1</v>
      </c>
      <c r="BT85" s="2">
        <v>1</v>
      </c>
      <c r="BU85" s="2">
        <v>1</v>
      </c>
      <c r="BV85" s="2">
        <v>1</v>
      </c>
      <c r="BW85" s="2">
        <v>1</v>
      </c>
      <c r="BX85" s="2">
        <v>1</v>
      </c>
      <c r="BY85" s="2" t="s">
        <v>3</v>
      </c>
      <c r="BZ85" s="2">
        <v>109</v>
      </c>
      <c r="CA85" s="2">
        <v>57</v>
      </c>
      <c r="CB85" s="2" t="s">
        <v>3</v>
      </c>
      <c r="CC85" s="2"/>
      <c r="CD85" s="2"/>
      <c r="CE85" s="2">
        <v>0</v>
      </c>
      <c r="CF85" s="2">
        <v>0</v>
      </c>
      <c r="CG85" s="2">
        <v>0</v>
      </c>
      <c r="CH85" s="2"/>
      <c r="CI85" s="2"/>
      <c r="CJ85" s="2"/>
      <c r="CK85" s="2"/>
      <c r="CL85" s="2"/>
      <c r="CM85" s="2">
        <v>0</v>
      </c>
      <c r="CN85" s="2" t="s">
        <v>114</v>
      </c>
      <c r="CO85" s="2">
        <v>0</v>
      </c>
      <c r="CP85" s="2">
        <f t="shared" si="78"/>
        <v>10121</v>
      </c>
      <c r="CQ85" s="2">
        <f t="shared" si="79"/>
        <v>6516.18</v>
      </c>
      <c r="CR85" s="2">
        <f t="shared" si="80"/>
        <v>27.35</v>
      </c>
      <c r="CS85" s="2">
        <f t="shared" si="81"/>
        <v>4.39</v>
      </c>
      <c r="CT85" s="2">
        <f t="shared" si="82"/>
        <v>953.49</v>
      </c>
      <c r="CU85" s="2">
        <f t="shared" si="83"/>
        <v>0</v>
      </c>
      <c r="CV85" s="2">
        <f t="shared" si="84"/>
        <v>111.78</v>
      </c>
      <c r="CW85" s="2">
        <f t="shared" si="85"/>
        <v>0.3375</v>
      </c>
      <c r="CX85" s="2">
        <f t="shared" si="86"/>
        <v>0</v>
      </c>
      <c r="CY85" s="2">
        <f t="shared" si="87"/>
        <v>1409.37</v>
      </c>
      <c r="CZ85" s="2">
        <f t="shared" si="88"/>
        <v>737.01</v>
      </c>
      <c r="DA85" s="2"/>
      <c r="DB85" s="2"/>
      <c r="DC85" s="2" t="s">
        <v>3</v>
      </c>
      <c r="DD85" s="2" t="s">
        <v>3</v>
      </c>
      <c r="DE85" s="2" t="s">
        <v>115</v>
      </c>
      <c r="DF85" s="2" t="s">
        <v>115</v>
      </c>
      <c r="DG85" s="2" t="s">
        <v>116</v>
      </c>
      <c r="DH85" s="2" t="s">
        <v>3</v>
      </c>
      <c r="DI85" s="2" t="s">
        <v>116</v>
      </c>
      <c r="DJ85" s="2" t="s">
        <v>115</v>
      </c>
      <c r="DK85" s="2" t="s">
        <v>3</v>
      </c>
      <c r="DL85" s="2" t="s">
        <v>3</v>
      </c>
      <c r="DM85" s="2" t="s">
        <v>3</v>
      </c>
      <c r="DN85" s="2">
        <v>0</v>
      </c>
      <c r="DO85" s="2">
        <v>0</v>
      </c>
      <c r="DP85" s="2">
        <v>1</v>
      </c>
      <c r="DQ85" s="2">
        <v>1</v>
      </c>
      <c r="DR85" s="2"/>
      <c r="DS85" s="2"/>
      <c r="DT85" s="2"/>
      <c r="DU85" s="2">
        <v>1005</v>
      </c>
      <c r="DV85" s="2" t="s">
        <v>24</v>
      </c>
      <c r="DW85" s="2" t="s">
        <v>24</v>
      </c>
      <c r="DX85" s="2">
        <v>100</v>
      </c>
      <c r="DY85" s="2"/>
      <c r="DZ85" s="2" t="s">
        <v>3</v>
      </c>
      <c r="EA85" s="2" t="s">
        <v>3</v>
      </c>
      <c r="EB85" s="2" t="s">
        <v>3</v>
      </c>
      <c r="EC85" s="2" t="s">
        <v>3</v>
      </c>
      <c r="ED85" s="2"/>
      <c r="EE85" s="2">
        <v>53507574</v>
      </c>
      <c r="EF85" s="2">
        <v>2</v>
      </c>
      <c r="EG85" s="2" t="s">
        <v>26</v>
      </c>
      <c r="EH85" s="2">
        <v>12</v>
      </c>
      <c r="EI85" s="2" t="s">
        <v>117</v>
      </c>
      <c r="EJ85" s="2">
        <v>1</v>
      </c>
      <c r="EK85" s="2">
        <v>12001</v>
      </c>
      <c r="EL85" s="2" t="s">
        <v>117</v>
      </c>
      <c r="EM85" s="2" t="s">
        <v>118</v>
      </c>
      <c r="EN85" s="2"/>
      <c r="EO85" s="2" t="s">
        <v>119</v>
      </c>
      <c r="EP85" s="2"/>
      <c r="EQ85" s="2">
        <v>0</v>
      </c>
      <c r="ER85" s="2">
        <v>7367.18</v>
      </c>
      <c r="ES85" s="2">
        <v>6516.18</v>
      </c>
      <c r="ET85" s="2">
        <v>21.88</v>
      </c>
      <c r="EU85" s="2">
        <v>3.51</v>
      </c>
      <c r="EV85" s="2">
        <v>829.12</v>
      </c>
      <c r="EW85" s="2">
        <v>97.2</v>
      </c>
      <c r="EX85" s="2">
        <v>0.27</v>
      </c>
      <c r="EY85" s="2">
        <v>0</v>
      </c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>
        <v>0</v>
      </c>
      <c r="FR85" s="2">
        <f t="shared" si="89"/>
        <v>0</v>
      </c>
      <c r="FS85" s="2">
        <v>0</v>
      </c>
      <c r="FT85" s="2"/>
      <c r="FU85" s="2"/>
      <c r="FV85" s="2"/>
      <c r="FW85" s="2"/>
      <c r="FX85" s="2">
        <v>109</v>
      </c>
      <c r="FY85" s="2">
        <v>57</v>
      </c>
      <c r="FZ85" s="2"/>
      <c r="GA85" s="2" t="s">
        <v>3</v>
      </c>
      <c r="GB85" s="2"/>
      <c r="GC85" s="2"/>
      <c r="GD85" s="2">
        <v>1</v>
      </c>
      <c r="GE85" s="2"/>
      <c r="GF85" s="2">
        <v>-601591418</v>
      </c>
      <c r="GG85" s="2">
        <v>2</v>
      </c>
      <c r="GH85" s="2">
        <v>1</v>
      </c>
      <c r="GI85" s="2">
        <v>-2</v>
      </c>
      <c r="GJ85" s="2">
        <v>0</v>
      </c>
      <c r="GK85" s="2">
        <v>0</v>
      </c>
      <c r="GL85" s="2">
        <f t="shared" si="90"/>
        <v>0</v>
      </c>
      <c r="GM85" s="2">
        <f t="shared" si="91"/>
        <v>12267</v>
      </c>
      <c r="GN85" s="2">
        <f t="shared" si="92"/>
        <v>12267</v>
      </c>
      <c r="GO85" s="2">
        <f t="shared" si="93"/>
        <v>0</v>
      </c>
      <c r="GP85" s="2">
        <f t="shared" si="94"/>
        <v>0</v>
      </c>
      <c r="GQ85" s="2"/>
      <c r="GR85" s="2">
        <v>0</v>
      </c>
      <c r="GS85" s="2">
        <v>0</v>
      </c>
      <c r="GT85" s="2">
        <v>0</v>
      </c>
      <c r="GU85" s="2" t="s">
        <v>3</v>
      </c>
      <c r="GV85" s="2">
        <f t="shared" si="95"/>
        <v>0</v>
      </c>
      <c r="GW85" s="2">
        <v>1</v>
      </c>
      <c r="GX85" s="2">
        <f t="shared" si="96"/>
        <v>0</v>
      </c>
      <c r="GY85" s="2"/>
      <c r="GZ85" s="2"/>
      <c r="HA85" s="2">
        <v>0</v>
      </c>
      <c r="HB85" s="2">
        <v>0</v>
      </c>
      <c r="HC85" s="2">
        <f t="shared" si="97"/>
        <v>0</v>
      </c>
      <c r="HD85" s="2"/>
      <c r="HE85" s="2" t="s">
        <v>3</v>
      </c>
      <c r="HF85" s="2" t="s">
        <v>3</v>
      </c>
      <c r="HG85" s="2"/>
      <c r="HH85" s="2"/>
      <c r="HI85" s="2"/>
      <c r="HJ85" s="2"/>
      <c r="HK85" s="2"/>
      <c r="HL85" s="2"/>
      <c r="HM85" s="2" t="s">
        <v>3</v>
      </c>
      <c r="HN85" s="2" t="s">
        <v>120</v>
      </c>
      <c r="HO85" s="2" t="s">
        <v>121</v>
      </c>
      <c r="HP85" s="2" t="s">
        <v>117</v>
      </c>
      <c r="HQ85" s="2" t="s">
        <v>117</v>
      </c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>
        <v>0</v>
      </c>
      <c r="IL85" s="2"/>
      <c r="IM85" s="2"/>
      <c r="IN85" s="2"/>
      <c r="IO85" s="2"/>
      <c r="IP85" s="2"/>
      <c r="IQ85" s="2"/>
      <c r="IR85" s="2"/>
      <c r="IS85" s="2"/>
      <c r="IT85" s="2"/>
      <c r="IU85" s="2"/>
    </row>
    <row r="86" spans="1:245" ht="12.75">
      <c r="A86">
        <v>17</v>
      </c>
      <c r="B86">
        <v>1</v>
      </c>
      <c r="C86">
        <f>ROW(SmtRes!A68)</f>
        <v>68</v>
      </c>
      <c r="D86">
        <f>ROW(EtalonRes!A68)</f>
        <v>68</v>
      </c>
      <c r="E86" t="s">
        <v>150</v>
      </c>
      <c r="F86" t="s">
        <v>151</v>
      </c>
      <c r="G86" t="s">
        <v>152</v>
      </c>
      <c r="H86" t="s">
        <v>24</v>
      </c>
      <c r="I86">
        <f>ROUND(135/100,7)</f>
        <v>1.35</v>
      </c>
      <c r="J86">
        <v>0</v>
      </c>
      <c r="K86">
        <f>ROUND(135/100,7)</f>
        <v>1.35</v>
      </c>
      <c r="O86">
        <f t="shared" si="64"/>
        <v>122247</v>
      </c>
      <c r="P86">
        <f t="shared" si="65"/>
        <v>75477</v>
      </c>
      <c r="Q86">
        <f t="shared" si="66"/>
        <v>392</v>
      </c>
      <c r="R86">
        <f t="shared" si="67"/>
        <v>214</v>
      </c>
      <c r="S86">
        <f t="shared" si="68"/>
        <v>46378</v>
      </c>
      <c r="T86">
        <f t="shared" si="69"/>
        <v>0</v>
      </c>
      <c r="U86">
        <f t="shared" si="70"/>
        <v>150.90300000000002</v>
      </c>
      <c r="V86">
        <f t="shared" si="71"/>
        <v>0.45562500000000006</v>
      </c>
      <c r="W86">
        <f t="shared" si="72"/>
        <v>0</v>
      </c>
      <c r="X86">
        <f t="shared" si="73"/>
        <v>50785</v>
      </c>
      <c r="Y86">
        <f t="shared" si="74"/>
        <v>26557</v>
      </c>
      <c r="AA86">
        <v>55110083</v>
      </c>
      <c r="AB86">
        <f t="shared" si="75"/>
        <v>7497.02</v>
      </c>
      <c r="AC86">
        <f t="shared" si="98"/>
        <v>6516.18</v>
      </c>
      <c r="AD86">
        <f>ROUND(((((ET86*ROUND(1.25,7)))-((EU86*ROUND(1.25,7))))+AE86),2)</f>
        <v>27.35</v>
      </c>
      <c r="AE86">
        <f>ROUND(((EU86*ROUND(1.25,7))),2)</f>
        <v>4.39</v>
      </c>
      <c r="AF86">
        <f>ROUND(((EV86*ROUND(1.15,7))),2)</f>
        <v>953.49</v>
      </c>
      <c r="AG86">
        <f t="shared" si="76"/>
        <v>0</v>
      </c>
      <c r="AH86">
        <f>((EW86*ROUND(1.15,7)))</f>
        <v>111.78</v>
      </c>
      <c r="AI86">
        <f>((EX86*ROUND(1.25,7)))</f>
        <v>0.3375</v>
      </c>
      <c r="AJ86">
        <f t="shared" si="77"/>
        <v>0</v>
      </c>
      <c r="AK86">
        <v>7367.18</v>
      </c>
      <c r="AL86">
        <v>6516.18</v>
      </c>
      <c r="AM86">
        <v>21.88</v>
      </c>
      <c r="AN86">
        <v>3.51</v>
      </c>
      <c r="AO86">
        <v>829.12</v>
      </c>
      <c r="AP86">
        <v>0</v>
      </c>
      <c r="AQ86">
        <v>97.2</v>
      </c>
      <c r="AR86">
        <v>0.27</v>
      </c>
      <c r="AS86">
        <v>0</v>
      </c>
      <c r="AT86">
        <v>109</v>
      </c>
      <c r="AU86">
        <v>57</v>
      </c>
      <c r="AV86">
        <v>1</v>
      </c>
      <c r="AW86">
        <v>1</v>
      </c>
      <c r="AZ86">
        <v>1</v>
      </c>
      <c r="BA86">
        <v>36.03</v>
      </c>
      <c r="BB86">
        <v>10.61</v>
      </c>
      <c r="BC86">
        <v>8.58</v>
      </c>
      <c r="BH86">
        <v>0</v>
      </c>
      <c r="BI86">
        <v>1</v>
      </c>
      <c r="BJ86" t="s">
        <v>153</v>
      </c>
      <c r="BM86">
        <v>12001</v>
      </c>
      <c r="BN86">
        <v>0</v>
      </c>
      <c r="BO86" t="s">
        <v>151</v>
      </c>
      <c r="BP86">
        <v>1</v>
      </c>
      <c r="BQ86">
        <v>2</v>
      </c>
      <c r="BR86">
        <v>0</v>
      </c>
      <c r="BS86">
        <v>36.03</v>
      </c>
      <c r="BT86">
        <v>1</v>
      </c>
      <c r="BU86">
        <v>1</v>
      </c>
      <c r="BV86">
        <v>1</v>
      </c>
      <c r="BW86">
        <v>1</v>
      </c>
      <c r="BX86">
        <v>1</v>
      </c>
      <c r="BZ86">
        <v>109</v>
      </c>
      <c r="CA86">
        <v>57</v>
      </c>
      <c r="CE86">
        <v>0</v>
      </c>
      <c r="CF86">
        <v>0</v>
      </c>
      <c r="CG86">
        <v>0</v>
      </c>
      <c r="CM86">
        <v>0</v>
      </c>
      <c r="CN86" t="s">
        <v>114</v>
      </c>
      <c r="CO86">
        <v>0</v>
      </c>
      <c r="CP86">
        <f t="shared" si="78"/>
        <v>122247</v>
      </c>
      <c r="CQ86">
        <f t="shared" si="79"/>
        <v>55908.824400000005</v>
      </c>
      <c r="CR86">
        <f t="shared" si="80"/>
        <v>290.1835</v>
      </c>
      <c r="CS86">
        <f t="shared" si="81"/>
        <v>158.1717</v>
      </c>
      <c r="CT86">
        <f t="shared" si="82"/>
        <v>34354.2447</v>
      </c>
      <c r="CU86">
        <f t="shared" si="83"/>
        <v>0</v>
      </c>
      <c r="CV86">
        <f t="shared" si="84"/>
        <v>111.78</v>
      </c>
      <c r="CW86">
        <f t="shared" si="85"/>
        <v>0.3375</v>
      </c>
      <c r="CX86">
        <f t="shared" si="86"/>
        <v>0</v>
      </c>
      <c r="CY86">
        <f t="shared" si="87"/>
        <v>50785.28</v>
      </c>
      <c r="CZ86">
        <f t="shared" si="88"/>
        <v>26557.44</v>
      </c>
      <c r="DE86" t="s">
        <v>115</v>
      </c>
      <c r="DF86" t="s">
        <v>115</v>
      </c>
      <c r="DG86" t="s">
        <v>116</v>
      </c>
      <c r="DI86" t="s">
        <v>116</v>
      </c>
      <c r="DJ86" t="s">
        <v>115</v>
      </c>
      <c r="DN86">
        <v>0</v>
      </c>
      <c r="DO86">
        <v>0</v>
      </c>
      <c r="DP86">
        <v>1</v>
      </c>
      <c r="DQ86">
        <v>1</v>
      </c>
      <c r="DU86">
        <v>1005</v>
      </c>
      <c r="DV86" t="s">
        <v>24</v>
      </c>
      <c r="DW86" t="s">
        <v>24</v>
      </c>
      <c r="DX86">
        <v>100</v>
      </c>
      <c r="EE86">
        <v>53507574</v>
      </c>
      <c r="EF86">
        <v>2</v>
      </c>
      <c r="EG86" t="s">
        <v>26</v>
      </c>
      <c r="EH86">
        <v>12</v>
      </c>
      <c r="EI86" t="s">
        <v>117</v>
      </c>
      <c r="EJ86">
        <v>1</v>
      </c>
      <c r="EK86">
        <v>12001</v>
      </c>
      <c r="EL86" t="s">
        <v>117</v>
      </c>
      <c r="EM86" t="s">
        <v>118</v>
      </c>
      <c r="EO86" t="s">
        <v>119</v>
      </c>
      <c r="EQ86">
        <v>0</v>
      </c>
      <c r="ER86">
        <v>7367.18</v>
      </c>
      <c r="ES86">
        <v>6516.18</v>
      </c>
      <c r="ET86">
        <v>21.88</v>
      </c>
      <c r="EU86">
        <v>3.51</v>
      </c>
      <c r="EV86">
        <v>829.12</v>
      </c>
      <c r="EW86">
        <v>97.2</v>
      </c>
      <c r="EX86">
        <v>0.27</v>
      </c>
      <c r="EY86">
        <v>0</v>
      </c>
      <c r="FQ86">
        <v>0</v>
      </c>
      <c r="FR86">
        <f t="shared" si="89"/>
        <v>0</v>
      </c>
      <c r="FS86">
        <v>0</v>
      </c>
      <c r="FX86">
        <v>109</v>
      </c>
      <c r="FY86">
        <v>57</v>
      </c>
      <c r="GD86">
        <v>1</v>
      </c>
      <c r="GF86">
        <v>-601591418</v>
      </c>
      <c r="GG86">
        <v>2</v>
      </c>
      <c r="GH86">
        <v>1</v>
      </c>
      <c r="GI86">
        <v>2</v>
      </c>
      <c r="GJ86">
        <v>0</v>
      </c>
      <c r="GK86">
        <v>0</v>
      </c>
      <c r="GL86">
        <f t="shared" si="90"/>
        <v>0</v>
      </c>
      <c r="GM86">
        <f t="shared" si="91"/>
        <v>199589</v>
      </c>
      <c r="GN86">
        <f t="shared" si="92"/>
        <v>199589</v>
      </c>
      <c r="GO86">
        <f t="shared" si="93"/>
        <v>0</v>
      </c>
      <c r="GP86">
        <f t="shared" si="94"/>
        <v>0</v>
      </c>
      <c r="GR86">
        <v>0</v>
      </c>
      <c r="GS86">
        <v>0</v>
      </c>
      <c r="GT86">
        <v>0</v>
      </c>
      <c r="GV86">
        <f t="shared" si="95"/>
        <v>0</v>
      </c>
      <c r="GW86">
        <v>1</v>
      </c>
      <c r="GX86">
        <f t="shared" si="96"/>
        <v>0</v>
      </c>
      <c r="HA86">
        <v>0</v>
      </c>
      <c r="HB86">
        <v>0</v>
      </c>
      <c r="HC86">
        <f t="shared" si="97"/>
        <v>0</v>
      </c>
      <c r="HN86" t="s">
        <v>120</v>
      </c>
      <c r="HO86" t="s">
        <v>121</v>
      </c>
      <c r="HP86" t="s">
        <v>117</v>
      </c>
      <c r="HQ86" t="s">
        <v>117</v>
      </c>
      <c r="IK86">
        <v>0</v>
      </c>
    </row>
    <row r="87" spans="1:255" ht="12.75">
      <c r="A87" s="2">
        <v>18</v>
      </c>
      <c r="B87" s="2">
        <v>1</v>
      </c>
      <c r="C87" s="2">
        <v>59</v>
      </c>
      <c r="D87" s="2"/>
      <c r="E87" s="2" t="s">
        <v>154</v>
      </c>
      <c r="F87" s="2" t="s">
        <v>155</v>
      </c>
      <c r="G87" s="2" t="s">
        <v>156</v>
      </c>
      <c r="H87" s="2" t="s">
        <v>125</v>
      </c>
      <c r="I87" s="2">
        <f>I85*J87</f>
        <v>-0.0054</v>
      </c>
      <c r="J87" s="2">
        <v>-0.004</v>
      </c>
      <c r="K87" s="2">
        <v>-0.004</v>
      </c>
      <c r="L87" s="2"/>
      <c r="M87" s="2"/>
      <c r="N87" s="2"/>
      <c r="O87" s="2">
        <f t="shared" si="64"/>
        <v>-46</v>
      </c>
      <c r="P87" s="2">
        <f t="shared" si="65"/>
        <v>-46</v>
      </c>
      <c r="Q87" s="2">
        <f t="shared" si="66"/>
        <v>0</v>
      </c>
      <c r="R87" s="2">
        <f t="shared" si="67"/>
        <v>0</v>
      </c>
      <c r="S87" s="2">
        <f t="shared" si="68"/>
        <v>0</v>
      </c>
      <c r="T87" s="2">
        <f t="shared" si="69"/>
        <v>0</v>
      </c>
      <c r="U87" s="2">
        <f t="shared" si="70"/>
        <v>0</v>
      </c>
      <c r="V87" s="2">
        <f t="shared" si="71"/>
        <v>0</v>
      </c>
      <c r="W87" s="2">
        <f t="shared" si="72"/>
        <v>0</v>
      </c>
      <c r="X87" s="2">
        <f t="shared" si="73"/>
        <v>0</v>
      </c>
      <c r="Y87" s="2">
        <f t="shared" si="74"/>
        <v>0</v>
      </c>
      <c r="Z87" s="2"/>
      <c r="AA87" s="2">
        <v>55110074</v>
      </c>
      <c r="AB87" s="2">
        <f t="shared" si="75"/>
        <v>8475</v>
      </c>
      <c r="AC87" s="2">
        <f t="shared" si="98"/>
        <v>8475</v>
      </c>
      <c r="AD87" s="2">
        <f aca="true" t="shared" si="101" ref="AD87:AD92">ROUND((((ET87)-(EU87))+AE87),2)</f>
        <v>0</v>
      </c>
      <c r="AE87" s="2">
        <f aca="true" t="shared" si="102" ref="AE87:AF92">ROUND((EU87),2)</f>
        <v>0</v>
      </c>
      <c r="AF87" s="2">
        <f t="shared" si="102"/>
        <v>0</v>
      </c>
      <c r="AG87" s="2">
        <f t="shared" si="76"/>
        <v>0</v>
      </c>
      <c r="AH87" s="2">
        <f aca="true" t="shared" si="103" ref="AH87:AI92">(EW87)</f>
        <v>0</v>
      </c>
      <c r="AI87" s="2">
        <f t="shared" si="103"/>
        <v>0</v>
      </c>
      <c r="AJ87" s="2">
        <f t="shared" si="77"/>
        <v>0</v>
      </c>
      <c r="AK87" s="2">
        <v>8475</v>
      </c>
      <c r="AL87" s="2">
        <v>8475</v>
      </c>
      <c r="AM87" s="2">
        <v>0</v>
      </c>
      <c r="AN87" s="2">
        <v>0</v>
      </c>
      <c r="AO87" s="2">
        <v>0</v>
      </c>
      <c r="AP87" s="2">
        <v>0</v>
      </c>
      <c r="AQ87" s="2">
        <v>0</v>
      </c>
      <c r="AR87" s="2">
        <v>0</v>
      </c>
      <c r="AS87" s="2">
        <v>0</v>
      </c>
      <c r="AT87" s="2">
        <v>109</v>
      </c>
      <c r="AU87" s="2">
        <v>57</v>
      </c>
      <c r="AV87" s="2">
        <v>1</v>
      </c>
      <c r="AW87" s="2">
        <v>1</v>
      </c>
      <c r="AX87" s="2"/>
      <c r="AY87" s="2"/>
      <c r="AZ87" s="2">
        <v>1</v>
      </c>
      <c r="BA87" s="2">
        <v>1</v>
      </c>
      <c r="BB87" s="2">
        <v>1</v>
      </c>
      <c r="BC87" s="2">
        <v>1</v>
      </c>
      <c r="BD87" s="2" t="s">
        <v>3</v>
      </c>
      <c r="BE87" s="2" t="s">
        <v>3</v>
      </c>
      <c r="BF87" s="2" t="s">
        <v>3</v>
      </c>
      <c r="BG87" s="2" t="s">
        <v>3</v>
      </c>
      <c r="BH87" s="2">
        <v>3</v>
      </c>
      <c r="BI87" s="2">
        <v>1</v>
      </c>
      <c r="BJ87" s="2" t="s">
        <v>157</v>
      </c>
      <c r="BK87" s="2"/>
      <c r="BL87" s="2"/>
      <c r="BM87" s="2">
        <v>12001</v>
      </c>
      <c r="BN87" s="2">
        <v>0</v>
      </c>
      <c r="BO87" s="2" t="s">
        <v>3</v>
      </c>
      <c r="BP87" s="2">
        <v>0</v>
      </c>
      <c r="BQ87" s="2">
        <v>2</v>
      </c>
      <c r="BR87" s="2">
        <v>1</v>
      </c>
      <c r="BS87" s="2">
        <v>1</v>
      </c>
      <c r="BT87" s="2">
        <v>1</v>
      </c>
      <c r="BU87" s="2">
        <v>1</v>
      </c>
      <c r="BV87" s="2">
        <v>1</v>
      </c>
      <c r="BW87" s="2">
        <v>1</v>
      </c>
      <c r="BX87" s="2">
        <v>1</v>
      </c>
      <c r="BY87" s="2" t="s">
        <v>3</v>
      </c>
      <c r="BZ87" s="2">
        <v>109</v>
      </c>
      <c r="CA87" s="2">
        <v>57</v>
      </c>
      <c r="CB87" s="2" t="s">
        <v>3</v>
      </c>
      <c r="CC87" s="2"/>
      <c r="CD87" s="2"/>
      <c r="CE87" s="2">
        <v>0</v>
      </c>
      <c r="CF87" s="2">
        <v>0</v>
      </c>
      <c r="CG87" s="2">
        <v>0</v>
      </c>
      <c r="CH87" s="2"/>
      <c r="CI87" s="2"/>
      <c r="CJ87" s="2"/>
      <c r="CK87" s="2"/>
      <c r="CL87" s="2"/>
      <c r="CM87" s="2">
        <v>0</v>
      </c>
      <c r="CN87" s="2" t="s">
        <v>3</v>
      </c>
      <c r="CO87" s="2">
        <v>0</v>
      </c>
      <c r="CP87" s="2">
        <f t="shared" si="78"/>
        <v>-46</v>
      </c>
      <c r="CQ87" s="2">
        <f t="shared" si="79"/>
        <v>8475</v>
      </c>
      <c r="CR87" s="2">
        <f t="shared" si="80"/>
        <v>0</v>
      </c>
      <c r="CS87" s="2">
        <f t="shared" si="81"/>
        <v>0</v>
      </c>
      <c r="CT87" s="2">
        <f t="shared" si="82"/>
        <v>0</v>
      </c>
      <c r="CU87" s="2">
        <f t="shared" si="83"/>
        <v>0</v>
      </c>
      <c r="CV87" s="2">
        <f t="shared" si="84"/>
        <v>0</v>
      </c>
      <c r="CW87" s="2">
        <f t="shared" si="85"/>
        <v>0</v>
      </c>
      <c r="CX87" s="2">
        <f t="shared" si="86"/>
        <v>0</v>
      </c>
      <c r="CY87" s="2">
        <f t="shared" si="87"/>
        <v>0</v>
      </c>
      <c r="CZ87" s="2">
        <f t="shared" si="88"/>
        <v>0</v>
      </c>
      <c r="DA87" s="2"/>
      <c r="DB87" s="2"/>
      <c r="DC87" s="2" t="s">
        <v>3</v>
      </c>
      <c r="DD87" s="2" t="s">
        <v>3</v>
      </c>
      <c r="DE87" s="2" t="s">
        <v>3</v>
      </c>
      <c r="DF87" s="2" t="s">
        <v>3</v>
      </c>
      <c r="DG87" s="2" t="s">
        <v>3</v>
      </c>
      <c r="DH87" s="2" t="s">
        <v>3</v>
      </c>
      <c r="DI87" s="2" t="s">
        <v>3</v>
      </c>
      <c r="DJ87" s="2" t="s">
        <v>3</v>
      </c>
      <c r="DK87" s="2" t="s">
        <v>3</v>
      </c>
      <c r="DL87" s="2" t="s">
        <v>3</v>
      </c>
      <c r="DM87" s="2" t="s">
        <v>3</v>
      </c>
      <c r="DN87" s="2">
        <v>0</v>
      </c>
      <c r="DO87" s="2">
        <v>0</v>
      </c>
      <c r="DP87" s="2">
        <v>1</v>
      </c>
      <c r="DQ87" s="2">
        <v>1</v>
      </c>
      <c r="DR87" s="2"/>
      <c r="DS87" s="2"/>
      <c r="DT87" s="2"/>
      <c r="DU87" s="2">
        <v>1009</v>
      </c>
      <c r="DV87" s="2" t="s">
        <v>125</v>
      </c>
      <c r="DW87" s="2" t="s">
        <v>125</v>
      </c>
      <c r="DX87" s="2">
        <v>1000</v>
      </c>
      <c r="DY87" s="2"/>
      <c r="DZ87" s="2" t="s">
        <v>3</v>
      </c>
      <c r="EA87" s="2" t="s">
        <v>3</v>
      </c>
      <c r="EB87" s="2" t="s">
        <v>3</v>
      </c>
      <c r="EC87" s="2" t="s">
        <v>3</v>
      </c>
      <c r="ED87" s="2"/>
      <c r="EE87" s="2">
        <v>53507574</v>
      </c>
      <c r="EF87" s="2">
        <v>2</v>
      </c>
      <c r="EG87" s="2" t="s">
        <v>26</v>
      </c>
      <c r="EH87" s="2">
        <v>12</v>
      </c>
      <c r="EI87" s="2" t="s">
        <v>117</v>
      </c>
      <c r="EJ87" s="2">
        <v>1</v>
      </c>
      <c r="EK87" s="2">
        <v>12001</v>
      </c>
      <c r="EL87" s="2" t="s">
        <v>117</v>
      </c>
      <c r="EM87" s="2" t="s">
        <v>118</v>
      </c>
      <c r="EN87" s="2"/>
      <c r="EO87" s="2" t="s">
        <v>3</v>
      </c>
      <c r="EP87" s="2"/>
      <c r="EQ87" s="2">
        <v>0</v>
      </c>
      <c r="ER87" s="2">
        <v>8475</v>
      </c>
      <c r="ES87" s="2">
        <v>8475</v>
      </c>
      <c r="ET87" s="2">
        <v>0</v>
      </c>
      <c r="EU87" s="2">
        <v>0</v>
      </c>
      <c r="EV87" s="2">
        <v>0</v>
      </c>
      <c r="EW87" s="2">
        <v>0</v>
      </c>
      <c r="EX87" s="2">
        <v>0</v>
      </c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>
        <v>0</v>
      </c>
      <c r="FR87" s="2">
        <f t="shared" si="89"/>
        <v>0</v>
      </c>
      <c r="FS87" s="2">
        <v>0</v>
      </c>
      <c r="FT87" s="2"/>
      <c r="FU87" s="2"/>
      <c r="FV87" s="2"/>
      <c r="FW87" s="2"/>
      <c r="FX87" s="2">
        <v>109</v>
      </c>
      <c r="FY87" s="2">
        <v>57</v>
      </c>
      <c r="FZ87" s="2"/>
      <c r="GA87" s="2" t="s">
        <v>3</v>
      </c>
      <c r="GB87" s="2"/>
      <c r="GC87" s="2"/>
      <c r="GD87" s="2">
        <v>1</v>
      </c>
      <c r="GE87" s="2"/>
      <c r="GF87" s="2">
        <v>-384732532</v>
      </c>
      <c r="GG87" s="2">
        <v>2</v>
      </c>
      <c r="GH87" s="2">
        <v>1</v>
      </c>
      <c r="GI87" s="2">
        <v>-2</v>
      </c>
      <c r="GJ87" s="2">
        <v>0</v>
      </c>
      <c r="GK87" s="2">
        <v>0</v>
      </c>
      <c r="GL87" s="2">
        <f t="shared" si="90"/>
        <v>0</v>
      </c>
      <c r="GM87" s="2">
        <f t="shared" si="91"/>
        <v>-46</v>
      </c>
      <c r="GN87" s="2">
        <f t="shared" si="92"/>
        <v>-46</v>
      </c>
      <c r="GO87" s="2">
        <f t="shared" si="93"/>
        <v>0</v>
      </c>
      <c r="GP87" s="2">
        <f t="shared" si="94"/>
        <v>0</v>
      </c>
      <c r="GQ87" s="2"/>
      <c r="GR87" s="2">
        <v>0</v>
      </c>
      <c r="GS87" s="2">
        <v>0</v>
      </c>
      <c r="GT87" s="2">
        <v>0</v>
      </c>
      <c r="GU87" s="2" t="s">
        <v>3</v>
      </c>
      <c r="GV87" s="2">
        <f t="shared" si="95"/>
        <v>0</v>
      </c>
      <c r="GW87" s="2">
        <v>1</v>
      </c>
      <c r="GX87" s="2">
        <f t="shared" si="96"/>
        <v>0</v>
      </c>
      <c r="GY87" s="2"/>
      <c r="GZ87" s="2"/>
      <c r="HA87" s="2">
        <v>0</v>
      </c>
      <c r="HB87" s="2">
        <v>0</v>
      </c>
      <c r="HC87" s="2">
        <f t="shared" si="97"/>
        <v>0</v>
      </c>
      <c r="HD87" s="2"/>
      <c r="HE87" s="2" t="s">
        <v>3</v>
      </c>
      <c r="HF87" s="2" t="s">
        <v>3</v>
      </c>
      <c r="HG87" s="2"/>
      <c r="HH87" s="2"/>
      <c r="HI87" s="2"/>
      <c r="HJ87" s="2"/>
      <c r="HK87" s="2"/>
      <c r="HL87" s="2"/>
      <c r="HM87" s="2" t="s">
        <v>3</v>
      </c>
      <c r="HN87" s="2" t="s">
        <v>120</v>
      </c>
      <c r="HO87" s="2" t="s">
        <v>121</v>
      </c>
      <c r="HP87" s="2" t="s">
        <v>117</v>
      </c>
      <c r="HQ87" s="2" t="s">
        <v>117</v>
      </c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>
        <v>0</v>
      </c>
      <c r="IL87" s="2"/>
      <c r="IM87" s="2"/>
      <c r="IN87" s="2"/>
      <c r="IO87" s="2"/>
      <c r="IP87" s="2"/>
      <c r="IQ87" s="2"/>
      <c r="IR87" s="2"/>
      <c r="IS87" s="2"/>
      <c r="IT87" s="2"/>
      <c r="IU87" s="2"/>
    </row>
    <row r="88" spans="1:245" ht="12.75">
      <c r="A88">
        <v>18</v>
      </c>
      <c r="B88">
        <v>1</v>
      </c>
      <c r="C88">
        <v>66</v>
      </c>
      <c r="E88" t="s">
        <v>154</v>
      </c>
      <c r="F88" t="s">
        <v>155</v>
      </c>
      <c r="G88" t="s">
        <v>156</v>
      </c>
      <c r="H88" t="s">
        <v>125</v>
      </c>
      <c r="I88">
        <f>I86*J88</f>
        <v>-0.0054</v>
      </c>
      <c r="J88">
        <v>-0.004</v>
      </c>
      <c r="K88">
        <v>-0.004</v>
      </c>
      <c r="O88">
        <f t="shared" si="64"/>
        <v>-543</v>
      </c>
      <c r="P88">
        <f t="shared" si="65"/>
        <v>-543</v>
      </c>
      <c r="Q88">
        <f t="shared" si="66"/>
        <v>0</v>
      </c>
      <c r="R88">
        <f t="shared" si="67"/>
        <v>0</v>
      </c>
      <c r="S88">
        <f t="shared" si="68"/>
        <v>0</v>
      </c>
      <c r="T88">
        <f t="shared" si="69"/>
        <v>0</v>
      </c>
      <c r="U88">
        <f t="shared" si="70"/>
        <v>0</v>
      </c>
      <c r="V88">
        <f t="shared" si="71"/>
        <v>0</v>
      </c>
      <c r="W88">
        <f t="shared" si="72"/>
        <v>0</v>
      </c>
      <c r="X88">
        <f t="shared" si="73"/>
        <v>0</v>
      </c>
      <c r="Y88">
        <f t="shared" si="74"/>
        <v>0</v>
      </c>
      <c r="AA88">
        <v>55110083</v>
      </c>
      <c r="AB88">
        <f t="shared" si="75"/>
        <v>8475</v>
      </c>
      <c r="AC88">
        <f t="shared" si="98"/>
        <v>8475</v>
      </c>
      <c r="AD88">
        <f t="shared" si="101"/>
        <v>0</v>
      </c>
      <c r="AE88">
        <f t="shared" si="102"/>
        <v>0</v>
      </c>
      <c r="AF88">
        <f t="shared" si="102"/>
        <v>0</v>
      </c>
      <c r="AG88">
        <f t="shared" si="76"/>
        <v>0</v>
      </c>
      <c r="AH88">
        <f t="shared" si="103"/>
        <v>0</v>
      </c>
      <c r="AI88">
        <f t="shared" si="103"/>
        <v>0</v>
      </c>
      <c r="AJ88">
        <f t="shared" si="77"/>
        <v>0</v>
      </c>
      <c r="AK88">
        <v>8475</v>
      </c>
      <c r="AL88">
        <v>8475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109</v>
      </c>
      <c r="AU88">
        <v>57</v>
      </c>
      <c r="AV88">
        <v>1</v>
      </c>
      <c r="AW88">
        <v>1</v>
      </c>
      <c r="AZ88">
        <v>1</v>
      </c>
      <c r="BA88">
        <v>1</v>
      </c>
      <c r="BB88">
        <v>1</v>
      </c>
      <c r="BC88">
        <v>11.87</v>
      </c>
      <c r="BH88">
        <v>3</v>
      </c>
      <c r="BI88">
        <v>1</v>
      </c>
      <c r="BJ88" t="s">
        <v>157</v>
      </c>
      <c r="BM88">
        <v>12001</v>
      </c>
      <c r="BN88">
        <v>0</v>
      </c>
      <c r="BO88" t="s">
        <v>155</v>
      </c>
      <c r="BP88">
        <v>1</v>
      </c>
      <c r="BQ88">
        <v>2</v>
      </c>
      <c r="BR88">
        <v>1</v>
      </c>
      <c r="BS88">
        <v>1</v>
      </c>
      <c r="BT88">
        <v>1</v>
      </c>
      <c r="BU88">
        <v>1</v>
      </c>
      <c r="BV88">
        <v>1</v>
      </c>
      <c r="BW88">
        <v>1</v>
      </c>
      <c r="BX88">
        <v>1</v>
      </c>
      <c r="BZ88">
        <v>109</v>
      </c>
      <c r="CA88">
        <v>57</v>
      </c>
      <c r="CE88">
        <v>0</v>
      </c>
      <c r="CF88">
        <v>0</v>
      </c>
      <c r="CG88">
        <v>0</v>
      </c>
      <c r="CM88">
        <v>0</v>
      </c>
      <c r="CO88">
        <v>0</v>
      </c>
      <c r="CP88">
        <f t="shared" si="78"/>
        <v>-543</v>
      </c>
      <c r="CQ88">
        <f t="shared" si="79"/>
        <v>100598.25</v>
      </c>
      <c r="CR88">
        <f t="shared" si="80"/>
        <v>0</v>
      </c>
      <c r="CS88">
        <f t="shared" si="81"/>
        <v>0</v>
      </c>
      <c r="CT88">
        <f t="shared" si="82"/>
        <v>0</v>
      </c>
      <c r="CU88">
        <f t="shared" si="83"/>
        <v>0</v>
      </c>
      <c r="CV88">
        <f t="shared" si="84"/>
        <v>0</v>
      </c>
      <c r="CW88">
        <f t="shared" si="85"/>
        <v>0</v>
      </c>
      <c r="CX88">
        <f t="shared" si="86"/>
        <v>0</v>
      </c>
      <c r="CY88">
        <f t="shared" si="87"/>
        <v>0</v>
      </c>
      <c r="CZ88">
        <f t="shared" si="88"/>
        <v>0</v>
      </c>
      <c r="DN88">
        <v>0</v>
      </c>
      <c r="DO88">
        <v>0</v>
      </c>
      <c r="DP88">
        <v>1</v>
      </c>
      <c r="DQ88">
        <v>1</v>
      </c>
      <c r="DU88">
        <v>1009</v>
      </c>
      <c r="DV88" t="s">
        <v>125</v>
      </c>
      <c r="DW88" t="s">
        <v>125</v>
      </c>
      <c r="DX88">
        <v>1000</v>
      </c>
      <c r="EE88">
        <v>53507574</v>
      </c>
      <c r="EF88">
        <v>2</v>
      </c>
      <c r="EG88" t="s">
        <v>26</v>
      </c>
      <c r="EH88">
        <v>12</v>
      </c>
      <c r="EI88" t="s">
        <v>117</v>
      </c>
      <c r="EJ88">
        <v>1</v>
      </c>
      <c r="EK88">
        <v>12001</v>
      </c>
      <c r="EL88" t="s">
        <v>117</v>
      </c>
      <c r="EM88" t="s">
        <v>118</v>
      </c>
      <c r="EQ88">
        <v>0</v>
      </c>
      <c r="ER88">
        <v>8475</v>
      </c>
      <c r="ES88">
        <v>8475</v>
      </c>
      <c r="ET88">
        <v>0</v>
      </c>
      <c r="EU88">
        <v>0</v>
      </c>
      <c r="EV88">
        <v>0</v>
      </c>
      <c r="EW88">
        <v>0</v>
      </c>
      <c r="EX88">
        <v>0</v>
      </c>
      <c r="FQ88">
        <v>0</v>
      </c>
      <c r="FR88">
        <f t="shared" si="89"/>
        <v>0</v>
      </c>
      <c r="FS88">
        <v>0</v>
      </c>
      <c r="FX88">
        <v>109</v>
      </c>
      <c r="FY88">
        <v>57</v>
      </c>
      <c r="GD88">
        <v>1</v>
      </c>
      <c r="GF88">
        <v>-384732532</v>
      </c>
      <c r="GG88">
        <v>2</v>
      </c>
      <c r="GH88">
        <v>1</v>
      </c>
      <c r="GI88">
        <v>2</v>
      </c>
      <c r="GJ88">
        <v>0</v>
      </c>
      <c r="GK88">
        <v>0</v>
      </c>
      <c r="GL88">
        <f t="shared" si="90"/>
        <v>0</v>
      </c>
      <c r="GM88">
        <f t="shared" si="91"/>
        <v>-543</v>
      </c>
      <c r="GN88">
        <f t="shared" si="92"/>
        <v>-543</v>
      </c>
      <c r="GO88">
        <f t="shared" si="93"/>
        <v>0</v>
      </c>
      <c r="GP88">
        <f t="shared" si="94"/>
        <v>0</v>
      </c>
      <c r="GR88">
        <v>0</v>
      </c>
      <c r="GS88">
        <v>0</v>
      </c>
      <c r="GT88">
        <v>0</v>
      </c>
      <c r="GV88">
        <f t="shared" si="95"/>
        <v>0</v>
      </c>
      <c r="GW88">
        <v>1</v>
      </c>
      <c r="GX88">
        <f t="shared" si="96"/>
        <v>0</v>
      </c>
      <c r="HA88">
        <v>0</v>
      </c>
      <c r="HB88">
        <v>0</v>
      </c>
      <c r="HC88">
        <f t="shared" si="97"/>
        <v>0</v>
      </c>
      <c r="HN88" t="s">
        <v>120</v>
      </c>
      <c r="HO88" t="s">
        <v>121</v>
      </c>
      <c r="HP88" t="s">
        <v>117</v>
      </c>
      <c r="HQ88" t="s">
        <v>117</v>
      </c>
      <c r="IK88">
        <v>0</v>
      </c>
    </row>
    <row r="89" spans="1:255" ht="12.75">
      <c r="A89" s="2">
        <v>18</v>
      </c>
      <c r="B89" s="2">
        <v>1</v>
      </c>
      <c r="C89" s="2">
        <v>60</v>
      </c>
      <c r="D89" s="2"/>
      <c r="E89" s="2" t="s">
        <v>158</v>
      </c>
      <c r="F89" s="2" t="s">
        <v>159</v>
      </c>
      <c r="G89" s="2" t="s">
        <v>160</v>
      </c>
      <c r="H89" s="2" t="s">
        <v>125</v>
      </c>
      <c r="I89" s="2">
        <f>I85*J89</f>
        <v>-0.0162</v>
      </c>
      <c r="J89" s="2">
        <v>-0.011999999999999999</v>
      </c>
      <c r="K89" s="2">
        <v>-0.012</v>
      </c>
      <c r="L89" s="2"/>
      <c r="M89" s="2"/>
      <c r="N89" s="2"/>
      <c r="O89" s="2">
        <f t="shared" si="64"/>
        <v>-133</v>
      </c>
      <c r="P89" s="2">
        <f t="shared" si="65"/>
        <v>-133</v>
      </c>
      <c r="Q89" s="2">
        <f t="shared" si="66"/>
        <v>0</v>
      </c>
      <c r="R89" s="2">
        <f t="shared" si="67"/>
        <v>0</v>
      </c>
      <c r="S89" s="2">
        <f t="shared" si="68"/>
        <v>0</v>
      </c>
      <c r="T89" s="2">
        <f t="shared" si="69"/>
        <v>0</v>
      </c>
      <c r="U89" s="2">
        <f t="shared" si="70"/>
        <v>0</v>
      </c>
      <c r="V89" s="2">
        <f t="shared" si="71"/>
        <v>0</v>
      </c>
      <c r="W89" s="2">
        <f t="shared" si="72"/>
        <v>0</v>
      </c>
      <c r="X89" s="2">
        <f t="shared" si="73"/>
        <v>0</v>
      </c>
      <c r="Y89" s="2">
        <f t="shared" si="74"/>
        <v>0</v>
      </c>
      <c r="Z89" s="2"/>
      <c r="AA89" s="2">
        <v>55110074</v>
      </c>
      <c r="AB89" s="2">
        <f t="shared" si="75"/>
        <v>8190</v>
      </c>
      <c r="AC89" s="2">
        <f t="shared" si="98"/>
        <v>8190</v>
      </c>
      <c r="AD89" s="2">
        <f t="shared" si="101"/>
        <v>0</v>
      </c>
      <c r="AE89" s="2">
        <f t="shared" si="102"/>
        <v>0</v>
      </c>
      <c r="AF89" s="2">
        <f t="shared" si="102"/>
        <v>0</v>
      </c>
      <c r="AG89" s="2">
        <f t="shared" si="76"/>
        <v>0</v>
      </c>
      <c r="AH89" s="2">
        <f t="shared" si="103"/>
        <v>0</v>
      </c>
      <c r="AI89" s="2">
        <f t="shared" si="103"/>
        <v>0</v>
      </c>
      <c r="AJ89" s="2">
        <f t="shared" si="77"/>
        <v>0</v>
      </c>
      <c r="AK89" s="2">
        <v>8190</v>
      </c>
      <c r="AL89" s="2">
        <v>8190</v>
      </c>
      <c r="AM89" s="2">
        <v>0</v>
      </c>
      <c r="AN89" s="2">
        <v>0</v>
      </c>
      <c r="AO89" s="2">
        <v>0</v>
      </c>
      <c r="AP89" s="2">
        <v>0</v>
      </c>
      <c r="AQ89" s="2">
        <v>0</v>
      </c>
      <c r="AR89" s="2">
        <v>0</v>
      </c>
      <c r="AS89" s="2">
        <v>0</v>
      </c>
      <c r="AT89" s="2">
        <v>109</v>
      </c>
      <c r="AU89" s="2">
        <v>57</v>
      </c>
      <c r="AV89" s="2">
        <v>1</v>
      </c>
      <c r="AW89" s="2">
        <v>1</v>
      </c>
      <c r="AX89" s="2"/>
      <c r="AY89" s="2"/>
      <c r="AZ89" s="2">
        <v>1</v>
      </c>
      <c r="BA89" s="2">
        <v>1</v>
      </c>
      <c r="BB89" s="2">
        <v>1</v>
      </c>
      <c r="BC89" s="2">
        <v>1</v>
      </c>
      <c r="BD89" s="2" t="s">
        <v>3</v>
      </c>
      <c r="BE89" s="2" t="s">
        <v>3</v>
      </c>
      <c r="BF89" s="2" t="s">
        <v>3</v>
      </c>
      <c r="BG89" s="2" t="s">
        <v>3</v>
      </c>
      <c r="BH89" s="2">
        <v>3</v>
      </c>
      <c r="BI89" s="2">
        <v>1</v>
      </c>
      <c r="BJ89" s="2" t="s">
        <v>161</v>
      </c>
      <c r="BK89" s="2"/>
      <c r="BL89" s="2"/>
      <c r="BM89" s="2">
        <v>12001</v>
      </c>
      <c r="BN89" s="2">
        <v>0</v>
      </c>
      <c r="BO89" s="2" t="s">
        <v>3</v>
      </c>
      <c r="BP89" s="2">
        <v>0</v>
      </c>
      <c r="BQ89" s="2">
        <v>2</v>
      </c>
      <c r="BR89" s="2">
        <v>1</v>
      </c>
      <c r="BS89" s="2">
        <v>1</v>
      </c>
      <c r="BT89" s="2">
        <v>1</v>
      </c>
      <c r="BU89" s="2">
        <v>1</v>
      </c>
      <c r="BV89" s="2">
        <v>1</v>
      </c>
      <c r="BW89" s="2">
        <v>1</v>
      </c>
      <c r="BX89" s="2">
        <v>1</v>
      </c>
      <c r="BY89" s="2" t="s">
        <v>3</v>
      </c>
      <c r="BZ89" s="2">
        <v>109</v>
      </c>
      <c r="CA89" s="2">
        <v>57</v>
      </c>
      <c r="CB89" s="2" t="s">
        <v>3</v>
      </c>
      <c r="CC89" s="2"/>
      <c r="CD89" s="2"/>
      <c r="CE89" s="2">
        <v>0</v>
      </c>
      <c r="CF89" s="2">
        <v>0</v>
      </c>
      <c r="CG89" s="2">
        <v>0</v>
      </c>
      <c r="CH89" s="2"/>
      <c r="CI89" s="2"/>
      <c r="CJ89" s="2"/>
      <c r="CK89" s="2"/>
      <c r="CL89" s="2"/>
      <c r="CM89" s="2">
        <v>0</v>
      </c>
      <c r="CN89" s="2" t="s">
        <v>3</v>
      </c>
      <c r="CO89" s="2">
        <v>0</v>
      </c>
      <c r="CP89" s="2">
        <f t="shared" si="78"/>
        <v>-133</v>
      </c>
      <c r="CQ89" s="2">
        <f t="shared" si="79"/>
        <v>8190</v>
      </c>
      <c r="CR89" s="2">
        <f t="shared" si="80"/>
        <v>0</v>
      </c>
      <c r="CS89" s="2">
        <f t="shared" si="81"/>
        <v>0</v>
      </c>
      <c r="CT89" s="2">
        <f t="shared" si="82"/>
        <v>0</v>
      </c>
      <c r="CU89" s="2">
        <f t="shared" si="83"/>
        <v>0</v>
      </c>
      <c r="CV89" s="2">
        <f t="shared" si="84"/>
        <v>0</v>
      </c>
      <c r="CW89" s="2">
        <f t="shared" si="85"/>
        <v>0</v>
      </c>
      <c r="CX89" s="2">
        <f t="shared" si="86"/>
        <v>0</v>
      </c>
      <c r="CY89" s="2">
        <f t="shared" si="87"/>
        <v>0</v>
      </c>
      <c r="CZ89" s="2">
        <f t="shared" si="88"/>
        <v>0</v>
      </c>
      <c r="DA89" s="2"/>
      <c r="DB89" s="2"/>
      <c r="DC89" s="2" t="s">
        <v>3</v>
      </c>
      <c r="DD89" s="2" t="s">
        <v>3</v>
      </c>
      <c r="DE89" s="2" t="s">
        <v>3</v>
      </c>
      <c r="DF89" s="2" t="s">
        <v>3</v>
      </c>
      <c r="DG89" s="2" t="s">
        <v>3</v>
      </c>
      <c r="DH89" s="2" t="s">
        <v>3</v>
      </c>
      <c r="DI89" s="2" t="s">
        <v>3</v>
      </c>
      <c r="DJ89" s="2" t="s">
        <v>3</v>
      </c>
      <c r="DK89" s="2" t="s">
        <v>3</v>
      </c>
      <c r="DL89" s="2" t="s">
        <v>3</v>
      </c>
      <c r="DM89" s="2" t="s">
        <v>3</v>
      </c>
      <c r="DN89" s="2">
        <v>0</v>
      </c>
      <c r="DO89" s="2">
        <v>0</v>
      </c>
      <c r="DP89" s="2">
        <v>1</v>
      </c>
      <c r="DQ89" s="2">
        <v>1</v>
      </c>
      <c r="DR89" s="2"/>
      <c r="DS89" s="2"/>
      <c r="DT89" s="2"/>
      <c r="DU89" s="2">
        <v>1009</v>
      </c>
      <c r="DV89" s="2" t="s">
        <v>125</v>
      </c>
      <c r="DW89" s="2" t="s">
        <v>125</v>
      </c>
      <c r="DX89" s="2">
        <v>1000</v>
      </c>
      <c r="DY89" s="2"/>
      <c r="DZ89" s="2" t="s">
        <v>3</v>
      </c>
      <c r="EA89" s="2" t="s">
        <v>3</v>
      </c>
      <c r="EB89" s="2" t="s">
        <v>3</v>
      </c>
      <c r="EC89" s="2" t="s">
        <v>3</v>
      </c>
      <c r="ED89" s="2"/>
      <c r="EE89" s="2">
        <v>53507574</v>
      </c>
      <c r="EF89" s="2">
        <v>2</v>
      </c>
      <c r="EG89" s="2" t="s">
        <v>26</v>
      </c>
      <c r="EH89" s="2">
        <v>12</v>
      </c>
      <c r="EI89" s="2" t="s">
        <v>117</v>
      </c>
      <c r="EJ89" s="2">
        <v>1</v>
      </c>
      <c r="EK89" s="2">
        <v>12001</v>
      </c>
      <c r="EL89" s="2" t="s">
        <v>117</v>
      </c>
      <c r="EM89" s="2" t="s">
        <v>118</v>
      </c>
      <c r="EN89" s="2"/>
      <c r="EO89" s="2" t="s">
        <v>3</v>
      </c>
      <c r="EP89" s="2"/>
      <c r="EQ89" s="2">
        <v>0</v>
      </c>
      <c r="ER89" s="2">
        <v>8190</v>
      </c>
      <c r="ES89" s="2">
        <v>8190</v>
      </c>
      <c r="ET89" s="2">
        <v>0</v>
      </c>
      <c r="EU89" s="2">
        <v>0</v>
      </c>
      <c r="EV89" s="2">
        <v>0</v>
      </c>
      <c r="EW89" s="2">
        <v>0</v>
      </c>
      <c r="EX89" s="2">
        <v>0</v>
      </c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>
        <v>0</v>
      </c>
      <c r="FR89" s="2">
        <f t="shared" si="89"/>
        <v>0</v>
      </c>
      <c r="FS89" s="2">
        <v>0</v>
      </c>
      <c r="FT89" s="2"/>
      <c r="FU89" s="2"/>
      <c r="FV89" s="2"/>
      <c r="FW89" s="2"/>
      <c r="FX89" s="2">
        <v>109</v>
      </c>
      <c r="FY89" s="2">
        <v>57</v>
      </c>
      <c r="FZ89" s="2"/>
      <c r="GA89" s="2" t="s">
        <v>3</v>
      </c>
      <c r="GB89" s="2"/>
      <c r="GC89" s="2"/>
      <c r="GD89" s="2">
        <v>1</v>
      </c>
      <c r="GE89" s="2"/>
      <c r="GF89" s="2">
        <v>-581832824</v>
      </c>
      <c r="GG89" s="2">
        <v>2</v>
      </c>
      <c r="GH89" s="2">
        <v>1</v>
      </c>
      <c r="GI89" s="2">
        <v>-2</v>
      </c>
      <c r="GJ89" s="2">
        <v>0</v>
      </c>
      <c r="GK89" s="2">
        <v>0</v>
      </c>
      <c r="GL89" s="2">
        <f t="shared" si="90"/>
        <v>0</v>
      </c>
      <c r="GM89" s="2">
        <f t="shared" si="91"/>
        <v>-133</v>
      </c>
      <c r="GN89" s="2">
        <f t="shared" si="92"/>
        <v>-133</v>
      </c>
      <c r="GO89" s="2">
        <f t="shared" si="93"/>
        <v>0</v>
      </c>
      <c r="GP89" s="2">
        <f t="shared" si="94"/>
        <v>0</v>
      </c>
      <c r="GQ89" s="2"/>
      <c r="GR89" s="2">
        <v>0</v>
      </c>
      <c r="GS89" s="2">
        <v>0</v>
      </c>
      <c r="GT89" s="2">
        <v>0</v>
      </c>
      <c r="GU89" s="2" t="s">
        <v>3</v>
      </c>
      <c r="GV89" s="2">
        <f t="shared" si="95"/>
        <v>0</v>
      </c>
      <c r="GW89" s="2">
        <v>1</v>
      </c>
      <c r="GX89" s="2">
        <f t="shared" si="96"/>
        <v>0</v>
      </c>
      <c r="GY89" s="2"/>
      <c r="GZ89" s="2"/>
      <c r="HA89" s="2">
        <v>0</v>
      </c>
      <c r="HB89" s="2">
        <v>0</v>
      </c>
      <c r="HC89" s="2">
        <f t="shared" si="97"/>
        <v>0</v>
      </c>
      <c r="HD89" s="2"/>
      <c r="HE89" s="2" t="s">
        <v>3</v>
      </c>
      <c r="HF89" s="2" t="s">
        <v>3</v>
      </c>
      <c r="HG89" s="2"/>
      <c r="HH89" s="2"/>
      <c r="HI89" s="2"/>
      <c r="HJ89" s="2"/>
      <c r="HK89" s="2"/>
      <c r="HL89" s="2"/>
      <c r="HM89" s="2" t="s">
        <v>3</v>
      </c>
      <c r="HN89" s="2" t="s">
        <v>120</v>
      </c>
      <c r="HO89" s="2" t="s">
        <v>121</v>
      </c>
      <c r="HP89" s="2" t="s">
        <v>117</v>
      </c>
      <c r="HQ89" s="2" t="s">
        <v>117</v>
      </c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>
        <v>0</v>
      </c>
      <c r="IL89" s="2"/>
      <c r="IM89" s="2"/>
      <c r="IN89" s="2"/>
      <c r="IO89" s="2"/>
      <c r="IP89" s="2"/>
      <c r="IQ89" s="2"/>
      <c r="IR89" s="2"/>
      <c r="IS89" s="2"/>
      <c r="IT89" s="2"/>
      <c r="IU89" s="2"/>
    </row>
    <row r="90" spans="1:245" ht="12.75">
      <c r="A90">
        <v>18</v>
      </c>
      <c r="B90">
        <v>1</v>
      </c>
      <c r="C90">
        <v>67</v>
      </c>
      <c r="E90" t="s">
        <v>158</v>
      </c>
      <c r="F90" t="s">
        <v>159</v>
      </c>
      <c r="G90" t="s">
        <v>160</v>
      </c>
      <c r="H90" t="s">
        <v>125</v>
      </c>
      <c r="I90">
        <f>I86*J90</f>
        <v>-0.0162</v>
      </c>
      <c r="J90">
        <v>-0.011999999999999999</v>
      </c>
      <c r="K90">
        <v>-0.012</v>
      </c>
      <c r="O90">
        <f t="shared" si="64"/>
        <v>-2091</v>
      </c>
      <c r="P90">
        <f t="shared" si="65"/>
        <v>-2091</v>
      </c>
      <c r="Q90">
        <f t="shared" si="66"/>
        <v>0</v>
      </c>
      <c r="R90">
        <f t="shared" si="67"/>
        <v>0</v>
      </c>
      <c r="S90">
        <f t="shared" si="68"/>
        <v>0</v>
      </c>
      <c r="T90">
        <f t="shared" si="69"/>
        <v>0</v>
      </c>
      <c r="U90">
        <f t="shared" si="70"/>
        <v>0</v>
      </c>
      <c r="V90">
        <f t="shared" si="71"/>
        <v>0</v>
      </c>
      <c r="W90">
        <f t="shared" si="72"/>
        <v>0</v>
      </c>
      <c r="X90">
        <f t="shared" si="73"/>
        <v>0</v>
      </c>
      <c r="Y90">
        <f t="shared" si="74"/>
        <v>0</v>
      </c>
      <c r="AA90">
        <v>55110083</v>
      </c>
      <c r="AB90">
        <f t="shared" si="75"/>
        <v>8190</v>
      </c>
      <c r="AC90">
        <f t="shared" si="98"/>
        <v>8190</v>
      </c>
      <c r="AD90">
        <f t="shared" si="101"/>
        <v>0</v>
      </c>
      <c r="AE90">
        <f t="shared" si="102"/>
        <v>0</v>
      </c>
      <c r="AF90">
        <f t="shared" si="102"/>
        <v>0</v>
      </c>
      <c r="AG90">
        <f t="shared" si="76"/>
        <v>0</v>
      </c>
      <c r="AH90">
        <f t="shared" si="103"/>
        <v>0</v>
      </c>
      <c r="AI90">
        <f t="shared" si="103"/>
        <v>0</v>
      </c>
      <c r="AJ90">
        <f t="shared" si="77"/>
        <v>0</v>
      </c>
      <c r="AK90">
        <v>8190</v>
      </c>
      <c r="AL90">
        <v>8190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109</v>
      </c>
      <c r="AU90">
        <v>57</v>
      </c>
      <c r="AV90">
        <v>1</v>
      </c>
      <c r="AW90">
        <v>1</v>
      </c>
      <c r="AZ90">
        <v>1</v>
      </c>
      <c r="BA90">
        <v>1</v>
      </c>
      <c r="BB90">
        <v>1</v>
      </c>
      <c r="BC90">
        <v>15.76</v>
      </c>
      <c r="BH90">
        <v>3</v>
      </c>
      <c r="BI90">
        <v>1</v>
      </c>
      <c r="BJ90" t="s">
        <v>161</v>
      </c>
      <c r="BM90">
        <v>12001</v>
      </c>
      <c r="BN90">
        <v>0</v>
      </c>
      <c r="BO90" t="s">
        <v>159</v>
      </c>
      <c r="BP90">
        <v>1</v>
      </c>
      <c r="BQ90">
        <v>2</v>
      </c>
      <c r="BR90">
        <v>1</v>
      </c>
      <c r="BS90">
        <v>1</v>
      </c>
      <c r="BT90">
        <v>1</v>
      </c>
      <c r="BU90">
        <v>1</v>
      </c>
      <c r="BV90">
        <v>1</v>
      </c>
      <c r="BW90">
        <v>1</v>
      </c>
      <c r="BX90">
        <v>1</v>
      </c>
      <c r="BZ90">
        <v>109</v>
      </c>
      <c r="CA90">
        <v>57</v>
      </c>
      <c r="CE90">
        <v>0</v>
      </c>
      <c r="CF90">
        <v>0</v>
      </c>
      <c r="CG90">
        <v>0</v>
      </c>
      <c r="CM90">
        <v>0</v>
      </c>
      <c r="CO90">
        <v>0</v>
      </c>
      <c r="CP90">
        <f t="shared" si="78"/>
        <v>-2091</v>
      </c>
      <c r="CQ90">
        <f t="shared" si="79"/>
        <v>129074.4</v>
      </c>
      <c r="CR90">
        <f t="shared" si="80"/>
        <v>0</v>
      </c>
      <c r="CS90">
        <f t="shared" si="81"/>
        <v>0</v>
      </c>
      <c r="CT90">
        <f t="shared" si="82"/>
        <v>0</v>
      </c>
      <c r="CU90">
        <f t="shared" si="83"/>
        <v>0</v>
      </c>
      <c r="CV90">
        <f t="shared" si="84"/>
        <v>0</v>
      </c>
      <c r="CW90">
        <f t="shared" si="85"/>
        <v>0</v>
      </c>
      <c r="CX90">
        <f t="shared" si="86"/>
        <v>0</v>
      </c>
      <c r="CY90">
        <f t="shared" si="87"/>
        <v>0</v>
      </c>
      <c r="CZ90">
        <f t="shared" si="88"/>
        <v>0</v>
      </c>
      <c r="DN90">
        <v>0</v>
      </c>
      <c r="DO90">
        <v>0</v>
      </c>
      <c r="DP90">
        <v>1</v>
      </c>
      <c r="DQ90">
        <v>1</v>
      </c>
      <c r="DU90">
        <v>1009</v>
      </c>
      <c r="DV90" t="s">
        <v>125</v>
      </c>
      <c r="DW90" t="s">
        <v>125</v>
      </c>
      <c r="DX90">
        <v>1000</v>
      </c>
      <c r="EE90">
        <v>53507574</v>
      </c>
      <c r="EF90">
        <v>2</v>
      </c>
      <c r="EG90" t="s">
        <v>26</v>
      </c>
      <c r="EH90">
        <v>12</v>
      </c>
      <c r="EI90" t="s">
        <v>117</v>
      </c>
      <c r="EJ90">
        <v>1</v>
      </c>
      <c r="EK90">
        <v>12001</v>
      </c>
      <c r="EL90" t="s">
        <v>117</v>
      </c>
      <c r="EM90" t="s">
        <v>118</v>
      </c>
      <c r="EQ90">
        <v>0</v>
      </c>
      <c r="ER90">
        <v>8190</v>
      </c>
      <c r="ES90">
        <v>8190</v>
      </c>
      <c r="ET90">
        <v>0</v>
      </c>
      <c r="EU90">
        <v>0</v>
      </c>
      <c r="EV90">
        <v>0</v>
      </c>
      <c r="EW90">
        <v>0</v>
      </c>
      <c r="EX90">
        <v>0</v>
      </c>
      <c r="FQ90">
        <v>0</v>
      </c>
      <c r="FR90">
        <f t="shared" si="89"/>
        <v>0</v>
      </c>
      <c r="FS90">
        <v>0</v>
      </c>
      <c r="FX90">
        <v>109</v>
      </c>
      <c r="FY90">
        <v>57</v>
      </c>
      <c r="GD90">
        <v>1</v>
      </c>
      <c r="GF90">
        <v>-581832824</v>
      </c>
      <c r="GG90">
        <v>2</v>
      </c>
      <c r="GH90">
        <v>1</v>
      </c>
      <c r="GI90">
        <v>2</v>
      </c>
      <c r="GJ90">
        <v>0</v>
      </c>
      <c r="GK90">
        <v>0</v>
      </c>
      <c r="GL90">
        <f t="shared" si="90"/>
        <v>0</v>
      </c>
      <c r="GM90">
        <f t="shared" si="91"/>
        <v>-2091</v>
      </c>
      <c r="GN90">
        <f t="shared" si="92"/>
        <v>-2091</v>
      </c>
      <c r="GO90">
        <f t="shared" si="93"/>
        <v>0</v>
      </c>
      <c r="GP90">
        <f t="shared" si="94"/>
        <v>0</v>
      </c>
      <c r="GR90">
        <v>0</v>
      </c>
      <c r="GS90">
        <v>0</v>
      </c>
      <c r="GT90">
        <v>0</v>
      </c>
      <c r="GV90">
        <f t="shared" si="95"/>
        <v>0</v>
      </c>
      <c r="GW90">
        <v>1</v>
      </c>
      <c r="GX90">
        <f t="shared" si="96"/>
        <v>0</v>
      </c>
      <c r="HA90">
        <v>0</v>
      </c>
      <c r="HB90">
        <v>0</v>
      </c>
      <c r="HC90">
        <f t="shared" si="97"/>
        <v>0</v>
      </c>
      <c r="HN90" t="s">
        <v>120</v>
      </c>
      <c r="HO90" t="s">
        <v>121</v>
      </c>
      <c r="HP90" t="s">
        <v>117</v>
      </c>
      <c r="HQ90" t="s">
        <v>117</v>
      </c>
      <c r="IK90">
        <v>0</v>
      </c>
    </row>
    <row r="91" spans="1:255" ht="12.75">
      <c r="A91" s="2">
        <v>18</v>
      </c>
      <c r="B91" s="2">
        <v>1</v>
      </c>
      <c r="C91" s="2">
        <v>61</v>
      </c>
      <c r="D91" s="2"/>
      <c r="E91" s="2" t="s">
        <v>162</v>
      </c>
      <c r="F91" s="2" t="s">
        <v>163</v>
      </c>
      <c r="G91" s="2" t="s">
        <v>164</v>
      </c>
      <c r="H91" s="2" t="s">
        <v>125</v>
      </c>
      <c r="I91" s="2">
        <f>I85*J91</f>
        <v>-0.7695</v>
      </c>
      <c r="J91" s="2">
        <v>-0.57</v>
      </c>
      <c r="K91" s="2">
        <v>-0.57</v>
      </c>
      <c r="L91" s="2"/>
      <c r="M91" s="2"/>
      <c r="N91" s="2"/>
      <c r="O91" s="2">
        <f t="shared" si="64"/>
        <v>-8618</v>
      </c>
      <c r="P91" s="2">
        <f t="shared" si="65"/>
        <v>-8618</v>
      </c>
      <c r="Q91" s="2">
        <f t="shared" si="66"/>
        <v>0</v>
      </c>
      <c r="R91" s="2">
        <f t="shared" si="67"/>
        <v>0</v>
      </c>
      <c r="S91" s="2">
        <f t="shared" si="68"/>
        <v>0</v>
      </c>
      <c r="T91" s="2">
        <f t="shared" si="69"/>
        <v>0</v>
      </c>
      <c r="U91" s="2">
        <f t="shared" si="70"/>
        <v>0</v>
      </c>
      <c r="V91" s="2">
        <f t="shared" si="71"/>
        <v>0</v>
      </c>
      <c r="W91" s="2">
        <f t="shared" si="72"/>
        <v>0</v>
      </c>
      <c r="X91" s="2">
        <f t="shared" si="73"/>
        <v>0</v>
      </c>
      <c r="Y91" s="2">
        <f t="shared" si="74"/>
        <v>0</v>
      </c>
      <c r="Z91" s="2"/>
      <c r="AA91" s="2">
        <v>55110074</v>
      </c>
      <c r="AB91" s="2">
        <f t="shared" si="75"/>
        <v>11200</v>
      </c>
      <c r="AC91" s="2">
        <f t="shared" si="98"/>
        <v>11200</v>
      </c>
      <c r="AD91" s="2">
        <f t="shared" si="101"/>
        <v>0</v>
      </c>
      <c r="AE91" s="2">
        <f t="shared" si="102"/>
        <v>0</v>
      </c>
      <c r="AF91" s="2">
        <f t="shared" si="102"/>
        <v>0</v>
      </c>
      <c r="AG91" s="2">
        <f t="shared" si="76"/>
        <v>0</v>
      </c>
      <c r="AH91" s="2">
        <f t="shared" si="103"/>
        <v>0</v>
      </c>
      <c r="AI91" s="2">
        <f t="shared" si="103"/>
        <v>0</v>
      </c>
      <c r="AJ91" s="2">
        <f t="shared" si="77"/>
        <v>0</v>
      </c>
      <c r="AK91" s="2">
        <v>11200</v>
      </c>
      <c r="AL91" s="2">
        <v>11200</v>
      </c>
      <c r="AM91" s="2">
        <v>0</v>
      </c>
      <c r="AN91" s="2">
        <v>0</v>
      </c>
      <c r="AO91" s="2">
        <v>0</v>
      </c>
      <c r="AP91" s="2">
        <v>0</v>
      </c>
      <c r="AQ91" s="2">
        <v>0</v>
      </c>
      <c r="AR91" s="2">
        <v>0</v>
      </c>
      <c r="AS91" s="2">
        <v>0</v>
      </c>
      <c r="AT91" s="2">
        <v>109</v>
      </c>
      <c r="AU91" s="2">
        <v>57</v>
      </c>
      <c r="AV91" s="2">
        <v>1</v>
      </c>
      <c r="AW91" s="2">
        <v>1</v>
      </c>
      <c r="AX91" s="2"/>
      <c r="AY91" s="2"/>
      <c r="AZ91" s="2">
        <v>1</v>
      </c>
      <c r="BA91" s="2">
        <v>1</v>
      </c>
      <c r="BB91" s="2">
        <v>1</v>
      </c>
      <c r="BC91" s="2">
        <v>1</v>
      </c>
      <c r="BD91" s="2" t="s">
        <v>3</v>
      </c>
      <c r="BE91" s="2" t="s">
        <v>3</v>
      </c>
      <c r="BF91" s="2" t="s">
        <v>3</v>
      </c>
      <c r="BG91" s="2" t="s">
        <v>3</v>
      </c>
      <c r="BH91" s="2">
        <v>3</v>
      </c>
      <c r="BI91" s="2">
        <v>1</v>
      </c>
      <c r="BJ91" s="2" t="s">
        <v>165</v>
      </c>
      <c r="BK91" s="2"/>
      <c r="BL91" s="2"/>
      <c r="BM91" s="2">
        <v>12001</v>
      </c>
      <c r="BN91" s="2">
        <v>0</v>
      </c>
      <c r="BO91" s="2" t="s">
        <v>3</v>
      </c>
      <c r="BP91" s="2">
        <v>0</v>
      </c>
      <c r="BQ91" s="2">
        <v>2</v>
      </c>
      <c r="BR91" s="2">
        <v>1</v>
      </c>
      <c r="BS91" s="2">
        <v>1</v>
      </c>
      <c r="BT91" s="2">
        <v>1</v>
      </c>
      <c r="BU91" s="2">
        <v>1</v>
      </c>
      <c r="BV91" s="2">
        <v>1</v>
      </c>
      <c r="BW91" s="2">
        <v>1</v>
      </c>
      <c r="BX91" s="2">
        <v>1</v>
      </c>
      <c r="BY91" s="2" t="s">
        <v>3</v>
      </c>
      <c r="BZ91" s="2">
        <v>109</v>
      </c>
      <c r="CA91" s="2">
        <v>57</v>
      </c>
      <c r="CB91" s="2" t="s">
        <v>3</v>
      </c>
      <c r="CC91" s="2"/>
      <c r="CD91" s="2"/>
      <c r="CE91" s="2">
        <v>0</v>
      </c>
      <c r="CF91" s="2">
        <v>0</v>
      </c>
      <c r="CG91" s="2">
        <v>0</v>
      </c>
      <c r="CH91" s="2"/>
      <c r="CI91" s="2"/>
      <c r="CJ91" s="2"/>
      <c r="CK91" s="2"/>
      <c r="CL91" s="2"/>
      <c r="CM91" s="2">
        <v>0</v>
      </c>
      <c r="CN91" s="2" t="s">
        <v>3</v>
      </c>
      <c r="CO91" s="2">
        <v>0</v>
      </c>
      <c r="CP91" s="2">
        <f t="shared" si="78"/>
        <v>-8618</v>
      </c>
      <c r="CQ91" s="2">
        <f t="shared" si="79"/>
        <v>11200</v>
      </c>
      <c r="CR91" s="2">
        <f t="shared" si="80"/>
        <v>0</v>
      </c>
      <c r="CS91" s="2">
        <f t="shared" si="81"/>
        <v>0</v>
      </c>
      <c r="CT91" s="2">
        <f t="shared" si="82"/>
        <v>0</v>
      </c>
      <c r="CU91" s="2">
        <f t="shared" si="83"/>
        <v>0</v>
      </c>
      <c r="CV91" s="2">
        <f t="shared" si="84"/>
        <v>0</v>
      </c>
      <c r="CW91" s="2">
        <f t="shared" si="85"/>
        <v>0</v>
      </c>
      <c r="CX91" s="2">
        <f t="shared" si="86"/>
        <v>0</v>
      </c>
      <c r="CY91" s="2">
        <f t="shared" si="87"/>
        <v>0</v>
      </c>
      <c r="CZ91" s="2">
        <f t="shared" si="88"/>
        <v>0</v>
      </c>
      <c r="DA91" s="2"/>
      <c r="DB91" s="2"/>
      <c r="DC91" s="2" t="s">
        <v>3</v>
      </c>
      <c r="DD91" s="2" t="s">
        <v>3</v>
      </c>
      <c r="DE91" s="2" t="s">
        <v>3</v>
      </c>
      <c r="DF91" s="2" t="s">
        <v>3</v>
      </c>
      <c r="DG91" s="2" t="s">
        <v>3</v>
      </c>
      <c r="DH91" s="2" t="s">
        <v>3</v>
      </c>
      <c r="DI91" s="2" t="s">
        <v>3</v>
      </c>
      <c r="DJ91" s="2" t="s">
        <v>3</v>
      </c>
      <c r="DK91" s="2" t="s">
        <v>3</v>
      </c>
      <c r="DL91" s="2" t="s">
        <v>3</v>
      </c>
      <c r="DM91" s="2" t="s">
        <v>3</v>
      </c>
      <c r="DN91" s="2">
        <v>0</v>
      </c>
      <c r="DO91" s="2">
        <v>0</v>
      </c>
      <c r="DP91" s="2">
        <v>1</v>
      </c>
      <c r="DQ91" s="2">
        <v>1</v>
      </c>
      <c r="DR91" s="2"/>
      <c r="DS91" s="2"/>
      <c r="DT91" s="2"/>
      <c r="DU91" s="2">
        <v>1009</v>
      </c>
      <c r="DV91" s="2" t="s">
        <v>125</v>
      </c>
      <c r="DW91" s="2" t="s">
        <v>125</v>
      </c>
      <c r="DX91" s="2">
        <v>1000</v>
      </c>
      <c r="DY91" s="2"/>
      <c r="DZ91" s="2" t="s">
        <v>3</v>
      </c>
      <c r="EA91" s="2" t="s">
        <v>3</v>
      </c>
      <c r="EB91" s="2" t="s">
        <v>3</v>
      </c>
      <c r="EC91" s="2" t="s">
        <v>3</v>
      </c>
      <c r="ED91" s="2"/>
      <c r="EE91" s="2">
        <v>53507574</v>
      </c>
      <c r="EF91" s="2">
        <v>2</v>
      </c>
      <c r="EG91" s="2" t="s">
        <v>26</v>
      </c>
      <c r="EH91" s="2">
        <v>12</v>
      </c>
      <c r="EI91" s="2" t="s">
        <v>117</v>
      </c>
      <c r="EJ91" s="2">
        <v>1</v>
      </c>
      <c r="EK91" s="2">
        <v>12001</v>
      </c>
      <c r="EL91" s="2" t="s">
        <v>117</v>
      </c>
      <c r="EM91" s="2" t="s">
        <v>118</v>
      </c>
      <c r="EN91" s="2"/>
      <c r="EO91" s="2" t="s">
        <v>3</v>
      </c>
      <c r="EP91" s="2"/>
      <c r="EQ91" s="2">
        <v>0</v>
      </c>
      <c r="ER91" s="2">
        <v>11200</v>
      </c>
      <c r="ES91" s="2">
        <v>11200</v>
      </c>
      <c r="ET91" s="2">
        <v>0</v>
      </c>
      <c r="EU91" s="2">
        <v>0</v>
      </c>
      <c r="EV91" s="2">
        <v>0</v>
      </c>
      <c r="EW91" s="2">
        <v>0</v>
      </c>
      <c r="EX91" s="2">
        <v>0</v>
      </c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>
        <v>0</v>
      </c>
      <c r="FR91" s="2">
        <f t="shared" si="89"/>
        <v>0</v>
      </c>
      <c r="FS91" s="2">
        <v>0</v>
      </c>
      <c r="FT91" s="2"/>
      <c r="FU91" s="2"/>
      <c r="FV91" s="2"/>
      <c r="FW91" s="2"/>
      <c r="FX91" s="2">
        <v>109</v>
      </c>
      <c r="FY91" s="2">
        <v>57</v>
      </c>
      <c r="FZ91" s="2"/>
      <c r="GA91" s="2" t="s">
        <v>3</v>
      </c>
      <c r="GB91" s="2"/>
      <c r="GC91" s="2"/>
      <c r="GD91" s="2">
        <v>1</v>
      </c>
      <c r="GE91" s="2"/>
      <c r="GF91" s="2">
        <v>-509681559</v>
      </c>
      <c r="GG91" s="2">
        <v>2</v>
      </c>
      <c r="GH91" s="2">
        <v>1</v>
      </c>
      <c r="GI91" s="2">
        <v>-2</v>
      </c>
      <c r="GJ91" s="2">
        <v>0</v>
      </c>
      <c r="GK91" s="2">
        <v>0</v>
      </c>
      <c r="GL91" s="2">
        <f t="shared" si="90"/>
        <v>0</v>
      </c>
      <c r="GM91" s="2">
        <f t="shared" si="91"/>
        <v>-8618</v>
      </c>
      <c r="GN91" s="2">
        <f t="shared" si="92"/>
        <v>-8618</v>
      </c>
      <c r="GO91" s="2">
        <f t="shared" si="93"/>
        <v>0</v>
      </c>
      <c r="GP91" s="2">
        <f t="shared" si="94"/>
        <v>0</v>
      </c>
      <c r="GQ91" s="2"/>
      <c r="GR91" s="2">
        <v>0</v>
      </c>
      <c r="GS91" s="2">
        <v>0</v>
      </c>
      <c r="GT91" s="2">
        <v>0</v>
      </c>
      <c r="GU91" s="2" t="s">
        <v>3</v>
      </c>
      <c r="GV91" s="2">
        <f t="shared" si="95"/>
        <v>0</v>
      </c>
      <c r="GW91" s="2">
        <v>1</v>
      </c>
      <c r="GX91" s="2">
        <f t="shared" si="96"/>
        <v>0</v>
      </c>
      <c r="GY91" s="2"/>
      <c r="GZ91" s="2"/>
      <c r="HA91" s="2">
        <v>0</v>
      </c>
      <c r="HB91" s="2">
        <v>0</v>
      </c>
      <c r="HC91" s="2">
        <f t="shared" si="97"/>
        <v>0</v>
      </c>
      <c r="HD91" s="2"/>
      <c r="HE91" s="2" t="s">
        <v>3</v>
      </c>
      <c r="HF91" s="2" t="s">
        <v>3</v>
      </c>
      <c r="HG91" s="2"/>
      <c r="HH91" s="2"/>
      <c r="HI91" s="2"/>
      <c r="HJ91" s="2"/>
      <c r="HK91" s="2"/>
      <c r="HL91" s="2"/>
      <c r="HM91" s="2" t="s">
        <v>3</v>
      </c>
      <c r="HN91" s="2" t="s">
        <v>120</v>
      </c>
      <c r="HO91" s="2" t="s">
        <v>121</v>
      </c>
      <c r="HP91" s="2" t="s">
        <v>117</v>
      </c>
      <c r="HQ91" s="2" t="s">
        <v>117</v>
      </c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>
        <v>0</v>
      </c>
      <c r="IL91" s="2"/>
      <c r="IM91" s="2"/>
      <c r="IN91" s="2"/>
      <c r="IO91" s="2"/>
      <c r="IP91" s="2"/>
      <c r="IQ91" s="2"/>
      <c r="IR91" s="2"/>
      <c r="IS91" s="2"/>
      <c r="IT91" s="2"/>
      <c r="IU91" s="2"/>
    </row>
    <row r="92" spans="1:245" ht="12.75">
      <c r="A92">
        <v>18</v>
      </c>
      <c r="B92">
        <v>1</v>
      </c>
      <c r="C92">
        <v>68</v>
      </c>
      <c r="E92" t="s">
        <v>162</v>
      </c>
      <c r="F92" t="s">
        <v>163</v>
      </c>
      <c r="G92" t="s">
        <v>164</v>
      </c>
      <c r="H92" t="s">
        <v>125</v>
      </c>
      <c r="I92">
        <f>I86*J92</f>
        <v>-0.7695</v>
      </c>
      <c r="J92">
        <v>-0.57</v>
      </c>
      <c r="K92">
        <v>-0.57</v>
      </c>
      <c r="O92">
        <f t="shared" si="64"/>
        <v>-72912</v>
      </c>
      <c r="P92">
        <f t="shared" si="65"/>
        <v>-72912</v>
      </c>
      <c r="Q92">
        <f t="shared" si="66"/>
        <v>0</v>
      </c>
      <c r="R92">
        <f t="shared" si="67"/>
        <v>0</v>
      </c>
      <c r="S92">
        <f t="shared" si="68"/>
        <v>0</v>
      </c>
      <c r="T92">
        <f t="shared" si="69"/>
        <v>0</v>
      </c>
      <c r="U92">
        <f t="shared" si="70"/>
        <v>0</v>
      </c>
      <c r="V92">
        <f t="shared" si="71"/>
        <v>0</v>
      </c>
      <c r="W92">
        <f t="shared" si="72"/>
        <v>0</v>
      </c>
      <c r="X92">
        <f t="shared" si="73"/>
        <v>0</v>
      </c>
      <c r="Y92">
        <f t="shared" si="74"/>
        <v>0</v>
      </c>
      <c r="AA92">
        <v>55110083</v>
      </c>
      <c r="AB92">
        <f t="shared" si="75"/>
        <v>11200</v>
      </c>
      <c r="AC92">
        <f t="shared" si="98"/>
        <v>11200</v>
      </c>
      <c r="AD92">
        <f t="shared" si="101"/>
        <v>0</v>
      </c>
      <c r="AE92">
        <f t="shared" si="102"/>
        <v>0</v>
      </c>
      <c r="AF92">
        <f t="shared" si="102"/>
        <v>0</v>
      </c>
      <c r="AG92">
        <f t="shared" si="76"/>
        <v>0</v>
      </c>
      <c r="AH92">
        <f t="shared" si="103"/>
        <v>0</v>
      </c>
      <c r="AI92">
        <f t="shared" si="103"/>
        <v>0</v>
      </c>
      <c r="AJ92">
        <f t="shared" si="77"/>
        <v>0</v>
      </c>
      <c r="AK92">
        <v>11200</v>
      </c>
      <c r="AL92">
        <v>11200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109</v>
      </c>
      <c r="AU92">
        <v>57</v>
      </c>
      <c r="AV92">
        <v>1</v>
      </c>
      <c r="AW92">
        <v>1</v>
      </c>
      <c r="AZ92">
        <v>1</v>
      </c>
      <c r="BA92">
        <v>1</v>
      </c>
      <c r="BB92">
        <v>1</v>
      </c>
      <c r="BC92">
        <v>8.46</v>
      </c>
      <c r="BH92">
        <v>3</v>
      </c>
      <c r="BI92">
        <v>1</v>
      </c>
      <c r="BJ92" t="s">
        <v>165</v>
      </c>
      <c r="BM92">
        <v>12001</v>
      </c>
      <c r="BN92">
        <v>0</v>
      </c>
      <c r="BO92" t="s">
        <v>163</v>
      </c>
      <c r="BP92">
        <v>1</v>
      </c>
      <c r="BQ92">
        <v>2</v>
      </c>
      <c r="BR92">
        <v>1</v>
      </c>
      <c r="BS92">
        <v>1</v>
      </c>
      <c r="BT92">
        <v>1</v>
      </c>
      <c r="BU92">
        <v>1</v>
      </c>
      <c r="BV92">
        <v>1</v>
      </c>
      <c r="BW92">
        <v>1</v>
      </c>
      <c r="BX92">
        <v>1</v>
      </c>
      <c r="BZ92">
        <v>109</v>
      </c>
      <c r="CA92">
        <v>57</v>
      </c>
      <c r="CE92">
        <v>0</v>
      </c>
      <c r="CF92">
        <v>0</v>
      </c>
      <c r="CG92">
        <v>0</v>
      </c>
      <c r="CM92">
        <v>0</v>
      </c>
      <c r="CO92">
        <v>0</v>
      </c>
      <c r="CP92">
        <f t="shared" si="78"/>
        <v>-72912</v>
      </c>
      <c r="CQ92">
        <f t="shared" si="79"/>
        <v>94752.00000000001</v>
      </c>
      <c r="CR92">
        <f t="shared" si="80"/>
        <v>0</v>
      </c>
      <c r="CS92">
        <f t="shared" si="81"/>
        <v>0</v>
      </c>
      <c r="CT92">
        <f t="shared" si="82"/>
        <v>0</v>
      </c>
      <c r="CU92">
        <f t="shared" si="83"/>
        <v>0</v>
      </c>
      <c r="CV92">
        <f t="shared" si="84"/>
        <v>0</v>
      </c>
      <c r="CW92">
        <f t="shared" si="85"/>
        <v>0</v>
      </c>
      <c r="CX92">
        <f t="shared" si="86"/>
        <v>0</v>
      </c>
      <c r="CY92">
        <f t="shared" si="87"/>
        <v>0</v>
      </c>
      <c r="CZ92">
        <f t="shared" si="88"/>
        <v>0</v>
      </c>
      <c r="DN92">
        <v>0</v>
      </c>
      <c r="DO92">
        <v>0</v>
      </c>
      <c r="DP92">
        <v>1</v>
      </c>
      <c r="DQ92">
        <v>1</v>
      </c>
      <c r="DU92">
        <v>1009</v>
      </c>
      <c r="DV92" t="s">
        <v>125</v>
      </c>
      <c r="DW92" t="s">
        <v>125</v>
      </c>
      <c r="DX92">
        <v>1000</v>
      </c>
      <c r="EE92">
        <v>53507574</v>
      </c>
      <c r="EF92">
        <v>2</v>
      </c>
      <c r="EG92" t="s">
        <v>26</v>
      </c>
      <c r="EH92">
        <v>12</v>
      </c>
      <c r="EI92" t="s">
        <v>117</v>
      </c>
      <c r="EJ92">
        <v>1</v>
      </c>
      <c r="EK92">
        <v>12001</v>
      </c>
      <c r="EL92" t="s">
        <v>117</v>
      </c>
      <c r="EM92" t="s">
        <v>118</v>
      </c>
      <c r="EQ92">
        <v>0</v>
      </c>
      <c r="ER92">
        <v>11200</v>
      </c>
      <c r="ES92">
        <v>11200</v>
      </c>
      <c r="ET92">
        <v>0</v>
      </c>
      <c r="EU92">
        <v>0</v>
      </c>
      <c r="EV92">
        <v>0</v>
      </c>
      <c r="EW92">
        <v>0</v>
      </c>
      <c r="EX92">
        <v>0</v>
      </c>
      <c r="FQ92">
        <v>0</v>
      </c>
      <c r="FR92">
        <f t="shared" si="89"/>
        <v>0</v>
      </c>
      <c r="FS92">
        <v>0</v>
      </c>
      <c r="FX92">
        <v>109</v>
      </c>
      <c r="FY92">
        <v>57</v>
      </c>
      <c r="GD92">
        <v>1</v>
      </c>
      <c r="GF92">
        <v>-509681559</v>
      </c>
      <c r="GG92">
        <v>2</v>
      </c>
      <c r="GH92">
        <v>1</v>
      </c>
      <c r="GI92">
        <v>2</v>
      </c>
      <c r="GJ92">
        <v>0</v>
      </c>
      <c r="GK92">
        <v>0</v>
      </c>
      <c r="GL92">
        <f t="shared" si="90"/>
        <v>0</v>
      </c>
      <c r="GM92">
        <f t="shared" si="91"/>
        <v>-72912</v>
      </c>
      <c r="GN92">
        <f t="shared" si="92"/>
        <v>-72912</v>
      </c>
      <c r="GO92">
        <f t="shared" si="93"/>
        <v>0</v>
      </c>
      <c r="GP92">
        <f t="shared" si="94"/>
        <v>0</v>
      </c>
      <c r="GR92">
        <v>0</v>
      </c>
      <c r="GS92">
        <v>0</v>
      </c>
      <c r="GT92">
        <v>0</v>
      </c>
      <c r="GV92">
        <f t="shared" si="95"/>
        <v>0</v>
      </c>
      <c r="GW92">
        <v>1</v>
      </c>
      <c r="GX92">
        <f t="shared" si="96"/>
        <v>0</v>
      </c>
      <c r="HA92">
        <v>0</v>
      </c>
      <c r="HB92">
        <v>0</v>
      </c>
      <c r="HC92">
        <f t="shared" si="97"/>
        <v>0</v>
      </c>
      <c r="HN92" t="s">
        <v>120</v>
      </c>
      <c r="HO92" t="s">
        <v>121</v>
      </c>
      <c r="HP92" t="s">
        <v>117</v>
      </c>
      <c r="HQ92" t="s">
        <v>117</v>
      </c>
      <c r="IK92">
        <v>0</v>
      </c>
    </row>
    <row r="93" spans="1:255" ht="12.75">
      <c r="A93" s="2">
        <v>17</v>
      </c>
      <c r="B93" s="2">
        <v>1</v>
      </c>
      <c r="C93" s="2">
        <f>ROW(SmtRes!A76)</f>
        <v>76</v>
      </c>
      <c r="D93" s="2">
        <f>ROW(EtalonRes!A76)</f>
        <v>76</v>
      </c>
      <c r="E93" s="2" t="s">
        <v>166</v>
      </c>
      <c r="F93" s="2" t="s">
        <v>167</v>
      </c>
      <c r="G93" s="2" t="s">
        <v>168</v>
      </c>
      <c r="H93" s="2" t="s">
        <v>24</v>
      </c>
      <c r="I93" s="2">
        <f>ROUND(2120/100,7)</f>
        <v>21.2</v>
      </c>
      <c r="J93" s="2">
        <v>0</v>
      </c>
      <c r="K93" s="2">
        <f>ROUND(2120/100,7)</f>
        <v>21.2</v>
      </c>
      <c r="L93" s="2"/>
      <c r="M93" s="2"/>
      <c r="N93" s="2"/>
      <c r="O93" s="2">
        <f t="shared" si="64"/>
        <v>7809</v>
      </c>
      <c r="P93" s="2">
        <f t="shared" si="65"/>
        <v>3865</v>
      </c>
      <c r="Q93" s="2">
        <f t="shared" si="66"/>
        <v>653</v>
      </c>
      <c r="R93" s="2">
        <f t="shared" si="67"/>
        <v>99</v>
      </c>
      <c r="S93" s="2">
        <f t="shared" si="68"/>
        <v>3291</v>
      </c>
      <c r="T93" s="2">
        <f t="shared" si="69"/>
        <v>0</v>
      </c>
      <c r="U93" s="2">
        <f t="shared" si="70"/>
        <v>350.0968</v>
      </c>
      <c r="V93" s="2">
        <f t="shared" si="71"/>
        <v>7.685</v>
      </c>
      <c r="W93" s="2">
        <f t="shared" si="72"/>
        <v>0</v>
      </c>
      <c r="X93" s="2">
        <f t="shared" si="73"/>
        <v>3695</v>
      </c>
      <c r="Y93" s="2">
        <f t="shared" si="74"/>
        <v>1932</v>
      </c>
      <c r="Z93" s="2"/>
      <c r="AA93" s="2">
        <v>55110074</v>
      </c>
      <c r="AB93" s="2">
        <f t="shared" si="75"/>
        <v>368.36</v>
      </c>
      <c r="AC93" s="2">
        <f t="shared" si="98"/>
        <v>182.33</v>
      </c>
      <c r="AD93" s="2">
        <f>ROUND(((((ET93*ROUND(1.25,7)))-((EU93*ROUND(1.25,7))))+AE93),2)</f>
        <v>30.8</v>
      </c>
      <c r="AE93" s="2">
        <f>ROUND(((EU93*ROUND(1.25,7))),2)</f>
        <v>4.69</v>
      </c>
      <c r="AF93" s="2">
        <f>ROUND(((EV93*ROUND(1.15,7))),2)</f>
        <v>155.23</v>
      </c>
      <c r="AG93" s="2">
        <f t="shared" si="76"/>
        <v>0</v>
      </c>
      <c r="AH93" s="2">
        <f>((EW93*ROUND(1.15,7)))</f>
        <v>16.514</v>
      </c>
      <c r="AI93" s="2">
        <f>((EX93*ROUND(1.25,7)))</f>
        <v>0.3625</v>
      </c>
      <c r="AJ93" s="2">
        <f t="shared" si="77"/>
        <v>0</v>
      </c>
      <c r="AK93" s="2">
        <v>341.95</v>
      </c>
      <c r="AL93" s="2">
        <v>182.33</v>
      </c>
      <c r="AM93" s="2">
        <v>24.64</v>
      </c>
      <c r="AN93" s="2">
        <v>3.75</v>
      </c>
      <c r="AO93" s="2">
        <v>134.98</v>
      </c>
      <c r="AP93" s="2">
        <v>0</v>
      </c>
      <c r="AQ93" s="2">
        <v>14.36</v>
      </c>
      <c r="AR93" s="2">
        <v>0.29</v>
      </c>
      <c r="AS93" s="2">
        <v>0</v>
      </c>
      <c r="AT93" s="2">
        <v>109</v>
      </c>
      <c r="AU93" s="2">
        <v>57</v>
      </c>
      <c r="AV93" s="2">
        <v>1</v>
      </c>
      <c r="AW93" s="2">
        <v>1</v>
      </c>
      <c r="AX93" s="2"/>
      <c r="AY93" s="2"/>
      <c r="AZ93" s="2">
        <v>1</v>
      </c>
      <c r="BA93" s="2">
        <v>1</v>
      </c>
      <c r="BB93" s="2">
        <v>1</v>
      </c>
      <c r="BC93" s="2">
        <v>1</v>
      </c>
      <c r="BD93" s="2" t="s">
        <v>3</v>
      </c>
      <c r="BE93" s="2" t="s">
        <v>3</v>
      </c>
      <c r="BF93" s="2" t="s">
        <v>3</v>
      </c>
      <c r="BG93" s="2" t="s">
        <v>3</v>
      </c>
      <c r="BH93" s="2">
        <v>0</v>
      </c>
      <c r="BI93" s="2">
        <v>1</v>
      </c>
      <c r="BJ93" s="2" t="s">
        <v>169</v>
      </c>
      <c r="BK93" s="2"/>
      <c r="BL93" s="2"/>
      <c r="BM93" s="2">
        <v>12001</v>
      </c>
      <c r="BN93" s="2">
        <v>0</v>
      </c>
      <c r="BO93" s="2" t="s">
        <v>3</v>
      </c>
      <c r="BP93" s="2">
        <v>0</v>
      </c>
      <c r="BQ93" s="2">
        <v>2</v>
      </c>
      <c r="BR93" s="2">
        <v>0</v>
      </c>
      <c r="BS93" s="2">
        <v>1</v>
      </c>
      <c r="BT93" s="2">
        <v>1</v>
      </c>
      <c r="BU93" s="2">
        <v>1</v>
      </c>
      <c r="BV93" s="2">
        <v>1</v>
      </c>
      <c r="BW93" s="2">
        <v>1</v>
      </c>
      <c r="BX93" s="2">
        <v>1</v>
      </c>
      <c r="BY93" s="2" t="s">
        <v>3</v>
      </c>
      <c r="BZ93" s="2">
        <v>109</v>
      </c>
      <c r="CA93" s="2">
        <v>57</v>
      </c>
      <c r="CB93" s="2" t="s">
        <v>3</v>
      </c>
      <c r="CC93" s="2"/>
      <c r="CD93" s="2"/>
      <c r="CE93" s="2">
        <v>0</v>
      </c>
      <c r="CF93" s="2">
        <v>0</v>
      </c>
      <c r="CG93" s="2">
        <v>0</v>
      </c>
      <c r="CH93" s="2"/>
      <c r="CI93" s="2"/>
      <c r="CJ93" s="2"/>
      <c r="CK93" s="2"/>
      <c r="CL93" s="2"/>
      <c r="CM93" s="2">
        <v>0</v>
      </c>
      <c r="CN93" s="2" t="s">
        <v>114</v>
      </c>
      <c r="CO93" s="2">
        <v>0</v>
      </c>
      <c r="CP93" s="2">
        <f t="shared" si="78"/>
        <v>7809</v>
      </c>
      <c r="CQ93" s="2">
        <f t="shared" si="79"/>
        <v>182.33</v>
      </c>
      <c r="CR93" s="2">
        <f t="shared" si="80"/>
        <v>30.8</v>
      </c>
      <c r="CS93" s="2">
        <f t="shared" si="81"/>
        <v>4.69</v>
      </c>
      <c r="CT93" s="2">
        <f t="shared" si="82"/>
        <v>155.23</v>
      </c>
      <c r="CU93" s="2">
        <f t="shared" si="83"/>
        <v>0</v>
      </c>
      <c r="CV93" s="2">
        <f t="shared" si="84"/>
        <v>16.514</v>
      </c>
      <c r="CW93" s="2">
        <f t="shared" si="85"/>
        <v>0.3625</v>
      </c>
      <c r="CX93" s="2">
        <f t="shared" si="86"/>
        <v>0</v>
      </c>
      <c r="CY93" s="2">
        <f t="shared" si="87"/>
        <v>3695.1</v>
      </c>
      <c r="CZ93" s="2">
        <f t="shared" si="88"/>
        <v>1932.3</v>
      </c>
      <c r="DA93" s="2"/>
      <c r="DB93" s="2"/>
      <c r="DC93" s="2" t="s">
        <v>3</v>
      </c>
      <c r="DD93" s="2" t="s">
        <v>3</v>
      </c>
      <c r="DE93" s="2" t="s">
        <v>115</v>
      </c>
      <c r="DF93" s="2" t="s">
        <v>115</v>
      </c>
      <c r="DG93" s="2" t="s">
        <v>116</v>
      </c>
      <c r="DH93" s="2" t="s">
        <v>3</v>
      </c>
      <c r="DI93" s="2" t="s">
        <v>116</v>
      </c>
      <c r="DJ93" s="2" t="s">
        <v>115</v>
      </c>
      <c r="DK93" s="2" t="s">
        <v>3</v>
      </c>
      <c r="DL93" s="2" t="s">
        <v>3</v>
      </c>
      <c r="DM93" s="2" t="s">
        <v>3</v>
      </c>
      <c r="DN93" s="2">
        <v>0</v>
      </c>
      <c r="DO93" s="2">
        <v>0</v>
      </c>
      <c r="DP93" s="2">
        <v>1</v>
      </c>
      <c r="DQ93" s="2">
        <v>1</v>
      </c>
      <c r="DR93" s="2"/>
      <c r="DS93" s="2"/>
      <c r="DT93" s="2"/>
      <c r="DU93" s="2">
        <v>1005</v>
      </c>
      <c r="DV93" s="2" t="s">
        <v>24</v>
      </c>
      <c r="DW93" s="2" t="s">
        <v>24</v>
      </c>
      <c r="DX93" s="2">
        <v>100</v>
      </c>
      <c r="DY93" s="2"/>
      <c r="DZ93" s="2" t="s">
        <v>3</v>
      </c>
      <c r="EA93" s="2" t="s">
        <v>3</v>
      </c>
      <c r="EB93" s="2" t="s">
        <v>3</v>
      </c>
      <c r="EC93" s="2" t="s">
        <v>3</v>
      </c>
      <c r="ED93" s="2"/>
      <c r="EE93" s="2">
        <v>53507574</v>
      </c>
      <c r="EF93" s="2">
        <v>2</v>
      </c>
      <c r="EG93" s="2" t="s">
        <v>26</v>
      </c>
      <c r="EH93" s="2">
        <v>12</v>
      </c>
      <c r="EI93" s="2" t="s">
        <v>117</v>
      </c>
      <c r="EJ93" s="2">
        <v>1</v>
      </c>
      <c r="EK93" s="2">
        <v>12001</v>
      </c>
      <c r="EL93" s="2" t="s">
        <v>117</v>
      </c>
      <c r="EM93" s="2" t="s">
        <v>118</v>
      </c>
      <c r="EN93" s="2"/>
      <c r="EO93" s="2" t="s">
        <v>119</v>
      </c>
      <c r="EP93" s="2"/>
      <c r="EQ93" s="2">
        <v>0</v>
      </c>
      <c r="ER93" s="2">
        <v>341.95</v>
      </c>
      <c r="ES93" s="2">
        <v>182.33</v>
      </c>
      <c r="ET93" s="2">
        <v>24.64</v>
      </c>
      <c r="EU93" s="2">
        <v>3.75</v>
      </c>
      <c r="EV93" s="2">
        <v>134.98</v>
      </c>
      <c r="EW93" s="2">
        <v>14.36</v>
      </c>
      <c r="EX93" s="2">
        <v>0.29</v>
      </c>
      <c r="EY93" s="2">
        <v>0</v>
      </c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>
        <v>0</v>
      </c>
      <c r="FR93" s="2">
        <f t="shared" si="89"/>
        <v>0</v>
      </c>
      <c r="FS93" s="2">
        <v>0</v>
      </c>
      <c r="FT93" s="2"/>
      <c r="FU93" s="2"/>
      <c r="FV93" s="2"/>
      <c r="FW93" s="2"/>
      <c r="FX93" s="2">
        <v>109</v>
      </c>
      <c r="FY93" s="2">
        <v>57</v>
      </c>
      <c r="FZ93" s="2"/>
      <c r="GA93" s="2" t="s">
        <v>3</v>
      </c>
      <c r="GB93" s="2"/>
      <c r="GC93" s="2"/>
      <c r="GD93" s="2">
        <v>1</v>
      </c>
      <c r="GE93" s="2"/>
      <c r="GF93" s="2">
        <v>-541611451</v>
      </c>
      <c r="GG93" s="2">
        <v>2</v>
      </c>
      <c r="GH93" s="2">
        <v>1</v>
      </c>
      <c r="GI93" s="2">
        <v>-2</v>
      </c>
      <c r="GJ93" s="2">
        <v>0</v>
      </c>
      <c r="GK93" s="2">
        <v>0</v>
      </c>
      <c r="GL93" s="2">
        <f t="shared" si="90"/>
        <v>0</v>
      </c>
      <c r="GM93" s="2">
        <f t="shared" si="91"/>
        <v>13436</v>
      </c>
      <c r="GN93" s="2">
        <f t="shared" si="92"/>
        <v>13436</v>
      </c>
      <c r="GO93" s="2">
        <f t="shared" si="93"/>
        <v>0</v>
      </c>
      <c r="GP93" s="2">
        <f t="shared" si="94"/>
        <v>0</v>
      </c>
      <c r="GQ93" s="2"/>
      <c r="GR93" s="2">
        <v>0</v>
      </c>
      <c r="GS93" s="2">
        <v>0</v>
      </c>
      <c r="GT93" s="2">
        <v>0</v>
      </c>
      <c r="GU93" s="2" t="s">
        <v>3</v>
      </c>
      <c r="GV93" s="2">
        <f t="shared" si="95"/>
        <v>0</v>
      </c>
      <c r="GW93" s="2">
        <v>1</v>
      </c>
      <c r="GX93" s="2">
        <f t="shared" si="96"/>
        <v>0</v>
      </c>
      <c r="GY93" s="2"/>
      <c r="GZ93" s="2"/>
      <c r="HA93" s="2">
        <v>0</v>
      </c>
      <c r="HB93" s="2">
        <v>0</v>
      </c>
      <c r="HC93" s="2">
        <f t="shared" si="97"/>
        <v>0</v>
      </c>
      <c r="HD93" s="2"/>
      <c r="HE93" s="2" t="s">
        <v>3</v>
      </c>
      <c r="HF93" s="2" t="s">
        <v>3</v>
      </c>
      <c r="HG93" s="2"/>
      <c r="HH93" s="2"/>
      <c r="HI93" s="2"/>
      <c r="HJ93" s="2"/>
      <c r="HK93" s="2"/>
      <c r="HL93" s="2"/>
      <c r="HM93" s="2" t="s">
        <v>3</v>
      </c>
      <c r="HN93" s="2" t="s">
        <v>120</v>
      </c>
      <c r="HO93" s="2" t="s">
        <v>121</v>
      </c>
      <c r="HP93" s="2" t="s">
        <v>117</v>
      </c>
      <c r="HQ93" s="2" t="s">
        <v>117</v>
      </c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>
        <v>0</v>
      </c>
      <c r="IL93" s="2"/>
      <c r="IM93" s="2"/>
      <c r="IN93" s="2"/>
      <c r="IO93" s="2"/>
      <c r="IP93" s="2"/>
      <c r="IQ93" s="2"/>
      <c r="IR93" s="2"/>
      <c r="IS93" s="2"/>
      <c r="IT93" s="2"/>
      <c r="IU93" s="2"/>
    </row>
    <row r="94" spans="1:245" ht="12.75">
      <c r="A94">
        <v>17</v>
      </c>
      <c r="B94">
        <v>1</v>
      </c>
      <c r="C94">
        <f>ROW(SmtRes!A84)</f>
        <v>84</v>
      </c>
      <c r="D94">
        <f>ROW(EtalonRes!A84)</f>
        <v>84</v>
      </c>
      <c r="E94" t="s">
        <v>166</v>
      </c>
      <c r="F94" t="s">
        <v>167</v>
      </c>
      <c r="G94" t="s">
        <v>168</v>
      </c>
      <c r="H94" t="s">
        <v>24</v>
      </c>
      <c r="I94">
        <f>ROUND(2120/100,7)</f>
        <v>21.2</v>
      </c>
      <c r="J94">
        <v>0</v>
      </c>
      <c r="K94">
        <f>ROUND(2120/100,7)</f>
        <v>21.2</v>
      </c>
      <c r="O94">
        <f t="shared" si="64"/>
        <v>158375</v>
      </c>
      <c r="P94">
        <f t="shared" si="65"/>
        <v>32779</v>
      </c>
      <c r="Q94">
        <f t="shared" si="66"/>
        <v>7026</v>
      </c>
      <c r="R94">
        <f t="shared" si="67"/>
        <v>3582</v>
      </c>
      <c r="S94">
        <f t="shared" si="68"/>
        <v>118570</v>
      </c>
      <c r="T94">
        <f t="shared" si="69"/>
        <v>0</v>
      </c>
      <c r="U94">
        <f t="shared" si="70"/>
        <v>350.0968</v>
      </c>
      <c r="V94">
        <f t="shared" si="71"/>
        <v>7.685</v>
      </c>
      <c r="W94">
        <f t="shared" si="72"/>
        <v>0</v>
      </c>
      <c r="X94">
        <f t="shared" si="73"/>
        <v>133146</v>
      </c>
      <c r="Y94">
        <f t="shared" si="74"/>
        <v>69627</v>
      </c>
      <c r="AA94">
        <v>55110083</v>
      </c>
      <c r="AB94">
        <f t="shared" si="75"/>
        <v>368.36</v>
      </c>
      <c r="AC94">
        <f t="shared" si="98"/>
        <v>182.33</v>
      </c>
      <c r="AD94">
        <f>ROUND(((((ET94*ROUND(1.25,7)))-((EU94*ROUND(1.25,7))))+AE94),2)</f>
        <v>30.8</v>
      </c>
      <c r="AE94">
        <f>ROUND(((EU94*ROUND(1.25,7))),2)</f>
        <v>4.69</v>
      </c>
      <c r="AF94">
        <f>ROUND(((EV94*ROUND(1.15,7))),2)</f>
        <v>155.23</v>
      </c>
      <c r="AG94">
        <f t="shared" si="76"/>
        <v>0</v>
      </c>
      <c r="AH94">
        <f>((EW94*ROUND(1.15,7)))</f>
        <v>16.514</v>
      </c>
      <c r="AI94">
        <f>((EX94*ROUND(1.25,7)))</f>
        <v>0.3625</v>
      </c>
      <c r="AJ94">
        <f t="shared" si="77"/>
        <v>0</v>
      </c>
      <c r="AK94">
        <v>341.95</v>
      </c>
      <c r="AL94">
        <v>182.33</v>
      </c>
      <c r="AM94">
        <v>24.64</v>
      </c>
      <c r="AN94">
        <v>3.75</v>
      </c>
      <c r="AO94">
        <v>134.98</v>
      </c>
      <c r="AP94">
        <v>0</v>
      </c>
      <c r="AQ94">
        <v>14.36</v>
      </c>
      <c r="AR94">
        <v>0.29</v>
      </c>
      <c r="AS94">
        <v>0</v>
      </c>
      <c r="AT94">
        <v>109</v>
      </c>
      <c r="AU94">
        <v>57</v>
      </c>
      <c r="AV94">
        <v>1</v>
      </c>
      <c r="AW94">
        <v>1</v>
      </c>
      <c r="AZ94">
        <v>1</v>
      </c>
      <c r="BA94">
        <v>36.03</v>
      </c>
      <c r="BB94">
        <v>10.76</v>
      </c>
      <c r="BC94">
        <v>8.48</v>
      </c>
      <c r="BH94">
        <v>0</v>
      </c>
      <c r="BI94">
        <v>1</v>
      </c>
      <c r="BJ94" t="s">
        <v>169</v>
      </c>
      <c r="BM94">
        <v>12001</v>
      </c>
      <c r="BN94">
        <v>0</v>
      </c>
      <c r="BO94" t="s">
        <v>167</v>
      </c>
      <c r="BP94">
        <v>1</v>
      </c>
      <c r="BQ94">
        <v>2</v>
      </c>
      <c r="BR94">
        <v>0</v>
      </c>
      <c r="BS94">
        <v>36.03</v>
      </c>
      <c r="BT94">
        <v>1</v>
      </c>
      <c r="BU94">
        <v>1</v>
      </c>
      <c r="BV94">
        <v>1</v>
      </c>
      <c r="BW94">
        <v>1</v>
      </c>
      <c r="BX94">
        <v>1</v>
      </c>
      <c r="BZ94">
        <v>109</v>
      </c>
      <c r="CA94">
        <v>57</v>
      </c>
      <c r="CE94">
        <v>0</v>
      </c>
      <c r="CF94">
        <v>0</v>
      </c>
      <c r="CG94">
        <v>0</v>
      </c>
      <c r="CM94">
        <v>0</v>
      </c>
      <c r="CN94" t="s">
        <v>114</v>
      </c>
      <c r="CO94">
        <v>0</v>
      </c>
      <c r="CP94">
        <f t="shared" si="78"/>
        <v>158375</v>
      </c>
      <c r="CQ94">
        <f t="shared" si="79"/>
        <v>1546.1584000000003</v>
      </c>
      <c r="CR94">
        <f t="shared" si="80"/>
        <v>331.408</v>
      </c>
      <c r="CS94">
        <f t="shared" si="81"/>
        <v>168.9807</v>
      </c>
      <c r="CT94">
        <f t="shared" si="82"/>
        <v>5592.9369</v>
      </c>
      <c r="CU94">
        <f t="shared" si="83"/>
        <v>0</v>
      </c>
      <c r="CV94">
        <f t="shared" si="84"/>
        <v>16.514</v>
      </c>
      <c r="CW94">
        <f t="shared" si="85"/>
        <v>0.3625</v>
      </c>
      <c r="CX94">
        <f t="shared" si="86"/>
        <v>0</v>
      </c>
      <c r="CY94">
        <f t="shared" si="87"/>
        <v>133145.68</v>
      </c>
      <c r="CZ94">
        <f t="shared" si="88"/>
        <v>69626.64</v>
      </c>
      <c r="DE94" t="s">
        <v>115</v>
      </c>
      <c r="DF94" t="s">
        <v>115</v>
      </c>
      <c r="DG94" t="s">
        <v>116</v>
      </c>
      <c r="DI94" t="s">
        <v>116</v>
      </c>
      <c r="DJ94" t="s">
        <v>115</v>
      </c>
      <c r="DN94">
        <v>0</v>
      </c>
      <c r="DO94">
        <v>0</v>
      </c>
      <c r="DP94">
        <v>1</v>
      </c>
      <c r="DQ94">
        <v>1</v>
      </c>
      <c r="DU94">
        <v>1005</v>
      </c>
      <c r="DV94" t="s">
        <v>24</v>
      </c>
      <c r="DW94" t="s">
        <v>24</v>
      </c>
      <c r="DX94">
        <v>100</v>
      </c>
      <c r="EE94">
        <v>53507574</v>
      </c>
      <c r="EF94">
        <v>2</v>
      </c>
      <c r="EG94" t="s">
        <v>26</v>
      </c>
      <c r="EH94">
        <v>12</v>
      </c>
      <c r="EI94" t="s">
        <v>117</v>
      </c>
      <c r="EJ94">
        <v>1</v>
      </c>
      <c r="EK94">
        <v>12001</v>
      </c>
      <c r="EL94" t="s">
        <v>117</v>
      </c>
      <c r="EM94" t="s">
        <v>118</v>
      </c>
      <c r="EO94" t="s">
        <v>119</v>
      </c>
      <c r="EQ94">
        <v>0</v>
      </c>
      <c r="ER94">
        <v>341.95</v>
      </c>
      <c r="ES94">
        <v>182.33</v>
      </c>
      <c r="ET94">
        <v>24.64</v>
      </c>
      <c r="EU94">
        <v>3.75</v>
      </c>
      <c r="EV94">
        <v>134.98</v>
      </c>
      <c r="EW94">
        <v>14.36</v>
      </c>
      <c r="EX94">
        <v>0.29</v>
      </c>
      <c r="EY94">
        <v>0</v>
      </c>
      <c r="FQ94">
        <v>0</v>
      </c>
      <c r="FR94">
        <f t="shared" si="89"/>
        <v>0</v>
      </c>
      <c r="FS94">
        <v>0</v>
      </c>
      <c r="FX94">
        <v>109</v>
      </c>
      <c r="FY94">
        <v>57</v>
      </c>
      <c r="GD94">
        <v>1</v>
      </c>
      <c r="GF94">
        <v>-541611451</v>
      </c>
      <c r="GG94">
        <v>2</v>
      </c>
      <c r="GH94">
        <v>1</v>
      </c>
      <c r="GI94">
        <v>2</v>
      </c>
      <c r="GJ94">
        <v>0</v>
      </c>
      <c r="GK94">
        <v>0</v>
      </c>
      <c r="GL94">
        <f t="shared" si="90"/>
        <v>0</v>
      </c>
      <c r="GM94">
        <f t="shared" si="91"/>
        <v>361148</v>
      </c>
      <c r="GN94">
        <f t="shared" si="92"/>
        <v>361148</v>
      </c>
      <c r="GO94">
        <f t="shared" si="93"/>
        <v>0</v>
      </c>
      <c r="GP94">
        <f t="shared" si="94"/>
        <v>0</v>
      </c>
      <c r="GR94">
        <v>0</v>
      </c>
      <c r="GS94">
        <v>0</v>
      </c>
      <c r="GT94">
        <v>0</v>
      </c>
      <c r="GV94">
        <f t="shared" si="95"/>
        <v>0</v>
      </c>
      <c r="GW94">
        <v>1</v>
      </c>
      <c r="GX94">
        <f t="shared" si="96"/>
        <v>0</v>
      </c>
      <c r="HA94">
        <v>0</v>
      </c>
      <c r="HB94">
        <v>0</v>
      </c>
      <c r="HC94">
        <f t="shared" si="97"/>
        <v>0</v>
      </c>
      <c r="HN94" t="s">
        <v>120</v>
      </c>
      <c r="HO94" t="s">
        <v>121</v>
      </c>
      <c r="HP94" t="s">
        <v>117</v>
      </c>
      <c r="HQ94" t="s">
        <v>117</v>
      </c>
      <c r="IK94">
        <v>0</v>
      </c>
    </row>
    <row r="95" spans="1:255" ht="12.75">
      <c r="A95" s="2">
        <v>18</v>
      </c>
      <c r="B95" s="2">
        <v>1</v>
      </c>
      <c r="C95" s="2">
        <v>75</v>
      </c>
      <c r="D95" s="2"/>
      <c r="E95" s="2" t="s">
        <v>170</v>
      </c>
      <c r="F95" s="2" t="s">
        <v>171</v>
      </c>
      <c r="G95" s="2" t="s">
        <v>172</v>
      </c>
      <c r="H95" s="2" t="s">
        <v>173</v>
      </c>
      <c r="I95" s="2">
        <f>I93*J95</f>
        <v>2416.8</v>
      </c>
      <c r="J95" s="2">
        <v>114.00000000000001</v>
      </c>
      <c r="K95" s="2">
        <v>114</v>
      </c>
      <c r="L95" s="2"/>
      <c r="M95" s="2"/>
      <c r="N95" s="2"/>
      <c r="O95" s="2">
        <f t="shared" si="64"/>
        <v>67018</v>
      </c>
      <c r="P95" s="2">
        <f t="shared" si="65"/>
        <v>67018</v>
      </c>
      <c r="Q95" s="2">
        <f t="shared" si="66"/>
        <v>0</v>
      </c>
      <c r="R95" s="2">
        <f t="shared" si="67"/>
        <v>0</v>
      </c>
      <c r="S95" s="2">
        <f t="shared" si="68"/>
        <v>0</v>
      </c>
      <c r="T95" s="2">
        <f t="shared" si="69"/>
        <v>0</v>
      </c>
      <c r="U95" s="2">
        <f t="shared" si="70"/>
        <v>0</v>
      </c>
      <c r="V95" s="2">
        <f t="shared" si="71"/>
        <v>0</v>
      </c>
      <c r="W95" s="2">
        <f t="shared" si="72"/>
        <v>0</v>
      </c>
      <c r="X95" s="2">
        <f t="shared" si="73"/>
        <v>0</v>
      </c>
      <c r="Y95" s="2">
        <f t="shared" si="74"/>
        <v>0</v>
      </c>
      <c r="Z95" s="2"/>
      <c r="AA95" s="2">
        <v>55110074</v>
      </c>
      <c r="AB95" s="2">
        <f t="shared" si="75"/>
        <v>27.73</v>
      </c>
      <c r="AC95" s="2">
        <f t="shared" si="98"/>
        <v>27.73</v>
      </c>
      <c r="AD95" s="2">
        <f>ROUND((((ET95)-(EU95))+AE95),2)</f>
        <v>0</v>
      </c>
      <c r="AE95" s="2">
        <f aca="true" t="shared" si="104" ref="AE95:AF98">ROUND((EU95),2)</f>
        <v>0</v>
      </c>
      <c r="AF95" s="2">
        <f t="shared" si="104"/>
        <v>0</v>
      </c>
      <c r="AG95" s="2">
        <f t="shared" si="76"/>
        <v>0</v>
      </c>
      <c r="AH95" s="2">
        <f aca="true" t="shared" si="105" ref="AH95:AI98">(EW95)</f>
        <v>0</v>
      </c>
      <c r="AI95" s="2">
        <f t="shared" si="105"/>
        <v>0</v>
      </c>
      <c r="AJ95" s="2">
        <f t="shared" si="77"/>
        <v>0</v>
      </c>
      <c r="AK95" s="2">
        <v>27.73</v>
      </c>
      <c r="AL95" s="2">
        <v>27.73</v>
      </c>
      <c r="AM95" s="2">
        <v>0</v>
      </c>
      <c r="AN95" s="2">
        <v>0</v>
      </c>
      <c r="AO95" s="2">
        <v>0</v>
      </c>
      <c r="AP95" s="2">
        <v>0</v>
      </c>
      <c r="AQ95" s="2">
        <v>0</v>
      </c>
      <c r="AR95" s="2">
        <v>0</v>
      </c>
      <c r="AS95" s="2">
        <v>0</v>
      </c>
      <c r="AT95" s="2">
        <v>109</v>
      </c>
      <c r="AU95" s="2">
        <v>57</v>
      </c>
      <c r="AV95" s="2">
        <v>1</v>
      </c>
      <c r="AW95" s="2">
        <v>1</v>
      </c>
      <c r="AX95" s="2"/>
      <c r="AY95" s="2"/>
      <c r="AZ95" s="2">
        <v>1</v>
      </c>
      <c r="BA95" s="2">
        <v>1</v>
      </c>
      <c r="BB95" s="2">
        <v>1</v>
      </c>
      <c r="BC95" s="2">
        <v>1</v>
      </c>
      <c r="BD95" s="2" t="s">
        <v>3</v>
      </c>
      <c r="BE95" s="2" t="s">
        <v>3</v>
      </c>
      <c r="BF95" s="2" t="s">
        <v>3</v>
      </c>
      <c r="BG95" s="2" t="s">
        <v>3</v>
      </c>
      <c r="BH95" s="2">
        <v>3</v>
      </c>
      <c r="BI95" s="2">
        <v>1</v>
      </c>
      <c r="BJ95" s="2" t="s">
        <v>174</v>
      </c>
      <c r="BK95" s="2"/>
      <c r="BL95" s="2"/>
      <c r="BM95" s="2">
        <v>12001</v>
      </c>
      <c r="BN95" s="2">
        <v>0</v>
      </c>
      <c r="BO95" s="2" t="s">
        <v>3</v>
      </c>
      <c r="BP95" s="2">
        <v>0</v>
      </c>
      <c r="BQ95" s="2">
        <v>2</v>
      </c>
      <c r="BR95" s="2">
        <v>0</v>
      </c>
      <c r="BS95" s="2">
        <v>1</v>
      </c>
      <c r="BT95" s="2">
        <v>1</v>
      </c>
      <c r="BU95" s="2">
        <v>1</v>
      </c>
      <c r="BV95" s="2">
        <v>1</v>
      </c>
      <c r="BW95" s="2">
        <v>1</v>
      </c>
      <c r="BX95" s="2">
        <v>1</v>
      </c>
      <c r="BY95" s="2" t="s">
        <v>3</v>
      </c>
      <c r="BZ95" s="2">
        <v>109</v>
      </c>
      <c r="CA95" s="2">
        <v>57</v>
      </c>
      <c r="CB95" s="2" t="s">
        <v>3</v>
      </c>
      <c r="CC95" s="2"/>
      <c r="CD95" s="2"/>
      <c r="CE95" s="2">
        <v>0</v>
      </c>
      <c r="CF95" s="2">
        <v>0</v>
      </c>
      <c r="CG95" s="2">
        <v>0</v>
      </c>
      <c r="CH95" s="2"/>
      <c r="CI95" s="2"/>
      <c r="CJ95" s="2"/>
      <c r="CK95" s="2"/>
      <c r="CL95" s="2"/>
      <c r="CM95" s="2">
        <v>0</v>
      </c>
      <c r="CN95" s="2" t="s">
        <v>3</v>
      </c>
      <c r="CO95" s="2">
        <v>0</v>
      </c>
      <c r="CP95" s="2">
        <f t="shared" si="78"/>
        <v>67018</v>
      </c>
      <c r="CQ95" s="2">
        <f t="shared" si="79"/>
        <v>27.73</v>
      </c>
      <c r="CR95" s="2">
        <f t="shared" si="80"/>
        <v>0</v>
      </c>
      <c r="CS95" s="2">
        <f t="shared" si="81"/>
        <v>0</v>
      </c>
      <c r="CT95" s="2">
        <f t="shared" si="82"/>
        <v>0</v>
      </c>
      <c r="CU95" s="2">
        <f t="shared" si="83"/>
        <v>0</v>
      </c>
      <c r="CV95" s="2">
        <f t="shared" si="84"/>
        <v>0</v>
      </c>
      <c r="CW95" s="2">
        <f t="shared" si="85"/>
        <v>0</v>
      </c>
      <c r="CX95" s="2">
        <f t="shared" si="86"/>
        <v>0</v>
      </c>
      <c r="CY95" s="2">
        <f t="shared" si="87"/>
        <v>0</v>
      </c>
      <c r="CZ95" s="2">
        <f t="shared" si="88"/>
        <v>0</v>
      </c>
      <c r="DA95" s="2"/>
      <c r="DB95" s="2"/>
      <c r="DC95" s="2" t="s">
        <v>3</v>
      </c>
      <c r="DD95" s="2" t="s">
        <v>3</v>
      </c>
      <c r="DE95" s="2" t="s">
        <v>3</v>
      </c>
      <c r="DF95" s="2" t="s">
        <v>3</v>
      </c>
      <c r="DG95" s="2" t="s">
        <v>3</v>
      </c>
      <c r="DH95" s="2" t="s">
        <v>3</v>
      </c>
      <c r="DI95" s="2" t="s">
        <v>3</v>
      </c>
      <c r="DJ95" s="2" t="s">
        <v>3</v>
      </c>
      <c r="DK95" s="2" t="s">
        <v>3</v>
      </c>
      <c r="DL95" s="2" t="s">
        <v>3</v>
      </c>
      <c r="DM95" s="2" t="s">
        <v>3</v>
      </c>
      <c r="DN95" s="2">
        <v>0</v>
      </c>
      <c r="DO95" s="2">
        <v>0</v>
      </c>
      <c r="DP95" s="2">
        <v>1</v>
      </c>
      <c r="DQ95" s="2">
        <v>1</v>
      </c>
      <c r="DR95" s="2"/>
      <c r="DS95" s="2"/>
      <c r="DT95" s="2"/>
      <c r="DU95" s="2">
        <v>1005</v>
      </c>
      <c r="DV95" s="2" t="s">
        <v>173</v>
      </c>
      <c r="DW95" s="2" t="s">
        <v>173</v>
      </c>
      <c r="DX95" s="2">
        <v>1</v>
      </c>
      <c r="DY95" s="2"/>
      <c r="DZ95" s="2" t="s">
        <v>3</v>
      </c>
      <c r="EA95" s="2" t="s">
        <v>3</v>
      </c>
      <c r="EB95" s="2" t="s">
        <v>3</v>
      </c>
      <c r="EC95" s="2" t="s">
        <v>3</v>
      </c>
      <c r="ED95" s="2"/>
      <c r="EE95" s="2">
        <v>53507574</v>
      </c>
      <c r="EF95" s="2">
        <v>2</v>
      </c>
      <c r="EG95" s="2" t="s">
        <v>26</v>
      </c>
      <c r="EH95" s="2">
        <v>12</v>
      </c>
      <c r="EI95" s="2" t="s">
        <v>117</v>
      </c>
      <c r="EJ95" s="2">
        <v>1</v>
      </c>
      <c r="EK95" s="2">
        <v>12001</v>
      </c>
      <c r="EL95" s="2" t="s">
        <v>117</v>
      </c>
      <c r="EM95" s="2" t="s">
        <v>118</v>
      </c>
      <c r="EN95" s="2"/>
      <c r="EO95" s="2" t="s">
        <v>3</v>
      </c>
      <c r="EP95" s="2"/>
      <c r="EQ95" s="2">
        <v>0</v>
      </c>
      <c r="ER95" s="2">
        <v>27.73</v>
      </c>
      <c r="ES95" s="2">
        <v>27.73</v>
      </c>
      <c r="ET95" s="2">
        <v>0</v>
      </c>
      <c r="EU95" s="2">
        <v>0</v>
      </c>
      <c r="EV95" s="2">
        <v>0</v>
      </c>
      <c r="EW95" s="2">
        <v>0</v>
      </c>
      <c r="EX95" s="2">
        <v>0</v>
      </c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>
        <v>0</v>
      </c>
      <c r="FR95" s="2">
        <f t="shared" si="89"/>
        <v>0</v>
      </c>
      <c r="FS95" s="2">
        <v>0</v>
      </c>
      <c r="FT95" s="2"/>
      <c r="FU95" s="2"/>
      <c r="FV95" s="2"/>
      <c r="FW95" s="2"/>
      <c r="FX95" s="2">
        <v>109</v>
      </c>
      <c r="FY95" s="2">
        <v>57</v>
      </c>
      <c r="FZ95" s="2"/>
      <c r="GA95" s="2" t="s">
        <v>3</v>
      </c>
      <c r="GB95" s="2"/>
      <c r="GC95" s="2"/>
      <c r="GD95" s="2">
        <v>1</v>
      </c>
      <c r="GE95" s="2"/>
      <c r="GF95" s="2">
        <v>1276428827</v>
      </c>
      <c r="GG95" s="2">
        <v>2</v>
      </c>
      <c r="GH95" s="2">
        <v>1</v>
      </c>
      <c r="GI95" s="2">
        <v>-2</v>
      </c>
      <c r="GJ95" s="2">
        <v>0</v>
      </c>
      <c r="GK95" s="2">
        <v>0</v>
      </c>
      <c r="GL95" s="2">
        <f t="shared" si="90"/>
        <v>0</v>
      </c>
      <c r="GM95" s="2">
        <f t="shared" si="91"/>
        <v>67018</v>
      </c>
      <c r="GN95" s="2">
        <f t="shared" si="92"/>
        <v>67018</v>
      </c>
      <c r="GO95" s="2">
        <f t="shared" si="93"/>
        <v>0</v>
      </c>
      <c r="GP95" s="2">
        <f t="shared" si="94"/>
        <v>0</v>
      </c>
      <c r="GQ95" s="2"/>
      <c r="GR95" s="2">
        <v>0</v>
      </c>
      <c r="GS95" s="2">
        <v>0</v>
      </c>
      <c r="GT95" s="2">
        <v>0</v>
      </c>
      <c r="GU95" s="2" t="s">
        <v>3</v>
      </c>
      <c r="GV95" s="2">
        <f t="shared" si="95"/>
        <v>0</v>
      </c>
      <c r="GW95" s="2">
        <v>1</v>
      </c>
      <c r="GX95" s="2">
        <f t="shared" si="96"/>
        <v>0</v>
      </c>
      <c r="GY95" s="2"/>
      <c r="GZ95" s="2"/>
      <c r="HA95" s="2">
        <v>0</v>
      </c>
      <c r="HB95" s="2">
        <v>0</v>
      </c>
      <c r="HC95" s="2">
        <f t="shared" si="97"/>
        <v>0</v>
      </c>
      <c r="HD95" s="2"/>
      <c r="HE95" s="2" t="s">
        <v>3</v>
      </c>
      <c r="HF95" s="2" t="s">
        <v>3</v>
      </c>
      <c r="HG95" s="2"/>
      <c r="HH95" s="2"/>
      <c r="HI95" s="2"/>
      <c r="HJ95" s="2"/>
      <c r="HK95" s="2"/>
      <c r="HL95" s="2"/>
      <c r="HM95" s="2" t="s">
        <v>3</v>
      </c>
      <c r="HN95" s="2" t="s">
        <v>120</v>
      </c>
      <c r="HO95" s="2" t="s">
        <v>121</v>
      </c>
      <c r="HP95" s="2" t="s">
        <v>117</v>
      </c>
      <c r="HQ95" s="2" t="s">
        <v>117</v>
      </c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>
        <v>0</v>
      </c>
      <c r="IL95" s="2"/>
      <c r="IM95" s="2"/>
      <c r="IN95" s="2"/>
      <c r="IO95" s="2"/>
      <c r="IP95" s="2"/>
      <c r="IQ95" s="2"/>
      <c r="IR95" s="2"/>
      <c r="IS95" s="2"/>
      <c r="IT95" s="2"/>
      <c r="IU95" s="2"/>
    </row>
    <row r="96" spans="1:245" ht="12.75">
      <c r="A96">
        <v>18</v>
      </c>
      <c r="B96">
        <v>1</v>
      </c>
      <c r="C96">
        <v>83</v>
      </c>
      <c r="E96" t="s">
        <v>170</v>
      </c>
      <c r="F96" t="s">
        <v>171</v>
      </c>
      <c r="G96" t="s">
        <v>172</v>
      </c>
      <c r="H96" t="s">
        <v>173</v>
      </c>
      <c r="I96">
        <f>I94*J96</f>
        <v>2416.8</v>
      </c>
      <c r="J96">
        <v>114.00000000000001</v>
      </c>
      <c r="K96">
        <v>114</v>
      </c>
      <c r="O96">
        <f t="shared" si="64"/>
        <v>270752</v>
      </c>
      <c r="P96">
        <f t="shared" si="65"/>
        <v>270752</v>
      </c>
      <c r="Q96">
        <f t="shared" si="66"/>
        <v>0</v>
      </c>
      <c r="R96">
        <f t="shared" si="67"/>
        <v>0</v>
      </c>
      <c r="S96">
        <f t="shared" si="68"/>
        <v>0</v>
      </c>
      <c r="T96">
        <f t="shared" si="69"/>
        <v>0</v>
      </c>
      <c r="U96">
        <f t="shared" si="70"/>
        <v>0</v>
      </c>
      <c r="V96">
        <f t="shared" si="71"/>
        <v>0</v>
      </c>
      <c r="W96">
        <f t="shared" si="72"/>
        <v>0</v>
      </c>
      <c r="X96">
        <f t="shared" si="73"/>
        <v>0</v>
      </c>
      <c r="Y96">
        <f t="shared" si="74"/>
        <v>0</v>
      </c>
      <c r="AA96">
        <v>55110083</v>
      </c>
      <c r="AB96">
        <f t="shared" si="75"/>
        <v>27.73</v>
      </c>
      <c r="AC96">
        <f t="shared" si="98"/>
        <v>27.73</v>
      </c>
      <c r="AD96">
        <f>ROUND((((ET96)-(EU96))+AE96),2)</f>
        <v>0</v>
      </c>
      <c r="AE96">
        <f t="shared" si="104"/>
        <v>0</v>
      </c>
      <c r="AF96">
        <f t="shared" si="104"/>
        <v>0</v>
      </c>
      <c r="AG96">
        <f t="shared" si="76"/>
        <v>0</v>
      </c>
      <c r="AH96">
        <f t="shared" si="105"/>
        <v>0</v>
      </c>
      <c r="AI96">
        <f t="shared" si="105"/>
        <v>0</v>
      </c>
      <c r="AJ96">
        <f t="shared" si="77"/>
        <v>0</v>
      </c>
      <c r="AK96">
        <v>27.73</v>
      </c>
      <c r="AL96">
        <v>27.73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109</v>
      </c>
      <c r="AU96">
        <v>57</v>
      </c>
      <c r="AV96">
        <v>1</v>
      </c>
      <c r="AW96">
        <v>1</v>
      </c>
      <c r="AZ96">
        <v>1</v>
      </c>
      <c r="BA96">
        <v>1</v>
      </c>
      <c r="BB96">
        <v>1</v>
      </c>
      <c r="BC96">
        <v>4.04</v>
      </c>
      <c r="BH96">
        <v>3</v>
      </c>
      <c r="BI96">
        <v>1</v>
      </c>
      <c r="BJ96" t="s">
        <v>174</v>
      </c>
      <c r="BM96">
        <v>12001</v>
      </c>
      <c r="BN96">
        <v>0</v>
      </c>
      <c r="BO96" t="s">
        <v>171</v>
      </c>
      <c r="BP96">
        <v>1</v>
      </c>
      <c r="BQ96">
        <v>2</v>
      </c>
      <c r="BR96">
        <v>0</v>
      </c>
      <c r="BS96">
        <v>1</v>
      </c>
      <c r="BT96">
        <v>1</v>
      </c>
      <c r="BU96">
        <v>1</v>
      </c>
      <c r="BV96">
        <v>1</v>
      </c>
      <c r="BW96">
        <v>1</v>
      </c>
      <c r="BX96">
        <v>1</v>
      </c>
      <c r="BZ96">
        <v>109</v>
      </c>
      <c r="CA96">
        <v>57</v>
      </c>
      <c r="CE96">
        <v>0</v>
      </c>
      <c r="CF96">
        <v>0</v>
      </c>
      <c r="CG96">
        <v>0</v>
      </c>
      <c r="CM96">
        <v>0</v>
      </c>
      <c r="CO96">
        <v>0</v>
      </c>
      <c r="CP96">
        <f t="shared" si="78"/>
        <v>270752</v>
      </c>
      <c r="CQ96">
        <f t="shared" si="79"/>
        <v>112.0292</v>
      </c>
      <c r="CR96">
        <f t="shared" si="80"/>
        <v>0</v>
      </c>
      <c r="CS96">
        <f t="shared" si="81"/>
        <v>0</v>
      </c>
      <c r="CT96">
        <f t="shared" si="82"/>
        <v>0</v>
      </c>
      <c r="CU96">
        <f t="shared" si="83"/>
        <v>0</v>
      </c>
      <c r="CV96">
        <f t="shared" si="84"/>
        <v>0</v>
      </c>
      <c r="CW96">
        <f t="shared" si="85"/>
        <v>0</v>
      </c>
      <c r="CX96">
        <f t="shared" si="86"/>
        <v>0</v>
      </c>
      <c r="CY96">
        <f t="shared" si="87"/>
        <v>0</v>
      </c>
      <c r="CZ96">
        <f t="shared" si="88"/>
        <v>0</v>
      </c>
      <c r="DN96">
        <v>0</v>
      </c>
      <c r="DO96">
        <v>0</v>
      </c>
      <c r="DP96">
        <v>1</v>
      </c>
      <c r="DQ96">
        <v>1</v>
      </c>
      <c r="DU96">
        <v>1005</v>
      </c>
      <c r="DV96" t="s">
        <v>173</v>
      </c>
      <c r="DW96" t="s">
        <v>173</v>
      </c>
      <c r="DX96">
        <v>1</v>
      </c>
      <c r="EE96">
        <v>53507574</v>
      </c>
      <c r="EF96">
        <v>2</v>
      </c>
      <c r="EG96" t="s">
        <v>26</v>
      </c>
      <c r="EH96">
        <v>12</v>
      </c>
      <c r="EI96" t="s">
        <v>117</v>
      </c>
      <c r="EJ96">
        <v>1</v>
      </c>
      <c r="EK96">
        <v>12001</v>
      </c>
      <c r="EL96" t="s">
        <v>117</v>
      </c>
      <c r="EM96" t="s">
        <v>118</v>
      </c>
      <c r="EQ96">
        <v>0</v>
      </c>
      <c r="ER96">
        <v>27.73</v>
      </c>
      <c r="ES96">
        <v>27.73</v>
      </c>
      <c r="ET96">
        <v>0</v>
      </c>
      <c r="EU96">
        <v>0</v>
      </c>
      <c r="EV96">
        <v>0</v>
      </c>
      <c r="EW96">
        <v>0</v>
      </c>
      <c r="EX96">
        <v>0</v>
      </c>
      <c r="FQ96">
        <v>0</v>
      </c>
      <c r="FR96">
        <f t="shared" si="89"/>
        <v>0</v>
      </c>
      <c r="FS96">
        <v>0</v>
      </c>
      <c r="FX96">
        <v>109</v>
      </c>
      <c r="FY96">
        <v>57</v>
      </c>
      <c r="GD96">
        <v>1</v>
      </c>
      <c r="GF96">
        <v>1276428827</v>
      </c>
      <c r="GG96">
        <v>2</v>
      </c>
      <c r="GH96">
        <v>1</v>
      </c>
      <c r="GI96">
        <v>2</v>
      </c>
      <c r="GJ96">
        <v>0</v>
      </c>
      <c r="GK96">
        <v>0</v>
      </c>
      <c r="GL96">
        <f t="shared" si="90"/>
        <v>0</v>
      </c>
      <c r="GM96">
        <f t="shared" si="91"/>
        <v>270752</v>
      </c>
      <c r="GN96">
        <f t="shared" si="92"/>
        <v>270752</v>
      </c>
      <c r="GO96">
        <f t="shared" si="93"/>
        <v>0</v>
      </c>
      <c r="GP96">
        <f t="shared" si="94"/>
        <v>0</v>
      </c>
      <c r="GR96">
        <v>0</v>
      </c>
      <c r="GS96">
        <v>0</v>
      </c>
      <c r="GT96">
        <v>0</v>
      </c>
      <c r="GV96">
        <f t="shared" si="95"/>
        <v>0</v>
      </c>
      <c r="GW96">
        <v>1</v>
      </c>
      <c r="GX96">
        <f t="shared" si="96"/>
        <v>0</v>
      </c>
      <c r="HA96">
        <v>0</v>
      </c>
      <c r="HB96">
        <v>0</v>
      </c>
      <c r="HC96">
        <f t="shared" si="97"/>
        <v>0</v>
      </c>
      <c r="HN96" t="s">
        <v>120</v>
      </c>
      <c r="HO96" t="s">
        <v>121</v>
      </c>
      <c r="HP96" t="s">
        <v>117</v>
      </c>
      <c r="HQ96" t="s">
        <v>117</v>
      </c>
      <c r="IK96">
        <v>0</v>
      </c>
    </row>
    <row r="97" spans="1:255" ht="12.75">
      <c r="A97" s="2">
        <v>18</v>
      </c>
      <c r="B97" s="2">
        <v>1</v>
      </c>
      <c r="C97" s="2">
        <v>76</v>
      </c>
      <c r="D97" s="2"/>
      <c r="E97" s="2" t="s">
        <v>175</v>
      </c>
      <c r="F97" s="2" t="s">
        <v>176</v>
      </c>
      <c r="G97" s="2" t="s">
        <v>177</v>
      </c>
      <c r="H97" s="2" t="s">
        <v>173</v>
      </c>
      <c r="I97" s="2">
        <f>I93*J97</f>
        <v>2459.2</v>
      </c>
      <c r="J97" s="2">
        <v>116</v>
      </c>
      <c r="K97" s="2">
        <v>116</v>
      </c>
      <c r="L97" s="2"/>
      <c r="M97" s="2"/>
      <c r="N97" s="2"/>
      <c r="O97" s="2">
        <f t="shared" si="64"/>
        <v>48569</v>
      </c>
      <c r="P97" s="2">
        <f t="shared" si="65"/>
        <v>48569</v>
      </c>
      <c r="Q97" s="2">
        <f t="shared" si="66"/>
        <v>0</v>
      </c>
      <c r="R97" s="2">
        <f t="shared" si="67"/>
        <v>0</v>
      </c>
      <c r="S97" s="2">
        <f t="shared" si="68"/>
        <v>0</v>
      </c>
      <c r="T97" s="2">
        <f t="shared" si="69"/>
        <v>0</v>
      </c>
      <c r="U97" s="2">
        <f t="shared" si="70"/>
        <v>0</v>
      </c>
      <c r="V97" s="2">
        <f t="shared" si="71"/>
        <v>0</v>
      </c>
      <c r="W97" s="2">
        <f t="shared" si="72"/>
        <v>0</v>
      </c>
      <c r="X97" s="2">
        <f t="shared" si="73"/>
        <v>0</v>
      </c>
      <c r="Y97" s="2">
        <f t="shared" si="74"/>
        <v>0</v>
      </c>
      <c r="Z97" s="2"/>
      <c r="AA97" s="2">
        <v>55110074</v>
      </c>
      <c r="AB97" s="2">
        <f t="shared" si="75"/>
        <v>19.75</v>
      </c>
      <c r="AC97" s="2">
        <f t="shared" si="98"/>
        <v>19.75</v>
      </c>
      <c r="AD97" s="2">
        <f>ROUND((((ET97)-(EU97))+AE97),2)</f>
        <v>0</v>
      </c>
      <c r="AE97" s="2">
        <f t="shared" si="104"/>
        <v>0</v>
      </c>
      <c r="AF97" s="2">
        <f t="shared" si="104"/>
        <v>0</v>
      </c>
      <c r="AG97" s="2">
        <f t="shared" si="76"/>
        <v>0</v>
      </c>
      <c r="AH97" s="2">
        <f t="shared" si="105"/>
        <v>0</v>
      </c>
      <c r="AI97" s="2">
        <f t="shared" si="105"/>
        <v>0</v>
      </c>
      <c r="AJ97" s="2">
        <f t="shared" si="77"/>
        <v>0</v>
      </c>
      <c r="AK97" s="2">
        <v>19.75</v>
      </c>
      <c r="AL97" s="2">
        <v>19.75</v>
      </c>
      <c r="AM97" s="2">
        <v>0</v>
      </c>
      <c r="AN97" s="2">
        <v>0</v>
      </c>
      <c r="AO97" s="2">
        <v>0</v>
      </c>
      <c r="AP97" s="2">
        <v>0</v>
      </c>
      <c r="AQ97" s="2">
        <v>0</v>
      </c>
      <c r="AR97" s="2">
        <v>0</v>
      </c>
      <c r="AS97" s="2">
        <v>0</v>
      </c>
      <c r="AT97" s="2">
        <v>109</v>
      </c>
      <c r="AU97" s="2">
        <v>57</v>
      </c>
      <c r="AV97" s="2">
        <v>1</v>
      </c>
      <c r="AW97" s="2">
        <v>1</v>
      </c>
      <c r="AX97" s="2"/>
      <c r="AY97" s="2"/>
      <c r="AZ97" s="2">
        <v>1</v>
      </c>
      <c r="BA97" s="2">
        <v>1</v>
      </c>
      <c r="BB97" s="2">
        <v>1</v>
      </c>
      <c r="BC97" s="2">
        <v>1</v>
      </c>
      <c r="BD97" s="2" t="s">
        <v>3</v>
      </c>
      <c r="BE97" s="2" t="s">
        <v>3</v>
      </c>
      <c r="BF97" s="2" t="s">
        <v>3</v>
      </c>
      <c r="BG97" s="2" t="s">
        <v>3</v>
      </c>
      <c r="BH97" s="2">
        <v>3</v>
      </c>
      <c r="BI97" s="2">
        <v>1</v>
      </c>
      <c r="BJ97" s="2" t="s">
        <v>178</v>
      </c>
      <c r="BK97" s="2"/>
      <c r="BL97" s="2"/>
      <c r="BM97" s="2">
        <v>12001</v>
      </c>
      <c r="BN97" s="2">
        <v>0</v>
      </c>
      <c r="BO97" s="2" t="s">
        <v>3</v>
      </c>
      <c r="BP97" s="2">
        <v>0</v>
      </c>
      <c r="BQ97" s="2">
        <v>2</v>
      </c>
      <c r="BR97" s="2">
        <v>0</v>
      </c>
      <c r="BS97" s="2">
        <v>1</v>
      </c>
      <c r="BT97" s="2">
        <v>1</v>
      </c>
      <c r="BU97" s="2">
        <v>1</v>
      </c>
      <c r="BV97" s="2">
        <v>1</v>
      </c>
      <c r="BW97" s="2">
        <v>1</v>
      </c>
      <c r="BX97" s="2">
        <v>1</v>
      </c>
      <c r="BY97" s="2" t="s">
        <v>3</v>
      </c>
      <c r="BZ97" s="2">
        <v>109</v>
      </c>
      <c r="CA97" s="2">
        <v>57</v>
      </c>
      <c r="CB97" s="2" t="s">
        <v>3</v>
      </c>
      <c r="CC97" s="2"/>
      <c r="CD97" s="2"/>
      <c r="CE97" s="2">
        <v>0</v>
      </c>
      <c r="CF97" s="2">
        <v>0</v>
      </c>
      <c r="CG97" s="2">
        <v>0</v>
      </c>
      <c r="CH97" s="2"/>
      <c r="CI97" s="2"/>
      <c r="CJ97" s="2"/>
      <c r="CK97" s="2"/>
      <c r="CL97" s="2"/>
      <c r="CM97" s="2">
        <v>0</v>
      </c>
      <c r="CN97" s="2" t="s">
        <v>3</v>
      </c>
      <c r="CO97" s="2">
        <v>0</v>
      </c>
      <c r="CP97" s="2">
        <f t="shared" si="78"/>
        <v>48569</v>
      </c>
      <c r="CQ97" s="2">
        <f t="shared" si="79"/>
        <v>19.75</v>
      </c>
      <c r="CR97" s="2">
        <f t="shared" si="80"/>
        <v>0</v>
      </c>
      <c r="CS97" s="2">
        <f t="shared" si="81"/>
        <v>0</v>
      </c>
      <c r="CT97" s="2">
        <f t="shared" si="82"/>
        <v>0</v>
      </c>
      <c r="CU97" s="2">
        <f t="shared" si="83"/>
        <v>0</v>
      </c>
      <c r="CV97" s="2">
        <f t="shared" si="84"/>
        <v>0</v>
      </c>
      <c r="CW97" s="2">
        <f t="shared" si="85"/>
        <v>0</v>
      </c>
      <c r="CX97" s="2">
        <f t="shared" si="86"/>
        <v>0</v>
      </c>
      <c r="CY97" s="2">
        <f t="shared" si="87"/>
        <v>0</v>
      </c>
      <c r="CZ97" s="2">
        <f t="shared" si="88"/>
        <v>0</v>
      </c>
      <c r="DA97" s="2"/>
      <c r="DB97" s="2"/>
      <c r="DC97" s="2" t="s">
        <v>3</v>
      </c>
      <c r="DD97" s="2" t="s">
        <v>3</v>
      </c>
      <c r="DE97" s="2" t="s">
        <v>3</v>
      </c>
      <c r="DF97" s="2" t="s">
        <v>3</v>
      </c>
      <c r="DG97" s="2" t="s">
        <v>3</v>
      </c>
      <c r="DH97" s="2" t="s">
        <v>3</v>
      </c>
      <c r="DI97" s="2" t="s">
        <v>3</v>
      </c>
      <c r="DJ97" s="2" t="s">
        <v>3</v>
      </c>
      <c r="DK97" s="2" t="s">
        <v>3</v>
      </c>
      <c r="DL97" s="2" t="s">
        <v>3</v>
      </c>
      <c r="DM97" s="2" t="s">
        <v>3</v>
      </c>
      <c r="DN97" s="2">
        <v>0</v>
      </c>
      <c r="DO97" s="2">
        <v>0</v>
      </c>
      <c r="DP97" s="2">
        <v>1</v>
      </c>
      <c r="DQ97" s="2">
        <v>1</v>
      </c>
      <c r="DR97" s="2"/>
      <c r="DS97" s="2"/>
      <c r="DT97" s="2"/>
      <c r="DU97" s="2">
        <v>1005</v>
      </c>
      <c r="DV97" s="2" t="s">
        <v>173</v>
      </c>
      <c r="DW97" s="2" t="s">
        <v>173</v>
      </c>
      <c r="DX97" s="2">
        <v>1</v>
      </c>
      <c r="DY97" s="2"/>
      <c r="DZ97" s="2" t="s">
        <v>3</v>
      </c>
      <c r="EA97" s="2" t="s">
        <v>3</v>
      </c>
      <c r="EB97" s="2" t="s">
        <v>3</v>
      </c>
      <c r="EC97" s="2" t="s">
        <v>3</v>
      </c>
      <c r="ED97" s="2"/>
      <c r="EE97" s="2">
        <v>53507574</v>
      </c>
      <c r="EF97" s="2">
        <v>2</v>
      </c>
      <c r="EG97" s="2" t="s">
        <v>26</v>
      </c>
      <c r="EH97" s="2">
        <v>12</v>
      </c>
      <c r="EI97" s="2" t="s">
        <v>117</v>
      </c>
      <c r="EJ97" s="2">
        <v>1</v>
      </c>
      <c r="EK97" s="2">
        <v>12001</v>
      </c>
      <c r="EL97" s="2" t="s">
        <v>117</v>
      </c>
      <c r="EM97" s="2" t="s">
        <v>118</v>
      </c>
      <c r="EN97" s="2"/>
      <c r="EO97" s="2" t="s">
        <v>3</v>
      </c>
      <c r="EP97" s="2"/>
      <c r="EQ97" s="2">
        <v>0</v>
      </c>
      <c r="ER97" s="2">
        <v>19.75</v>
      </c>
      <c r="ES97" s="2">
        <v>19.75</v>
      </c>
      <c r="ET97" s="2">
        <v>0</v>
      </c>
      <c r="EU97" s="2">
        <v>0</v>
      </c>
      <c r="EV97" s="2">
        <v>0</v>
      </c>
      <c r="EW97" s="2">
        <v>0</v>
      </c>
      <c r="EX97" s="2">
        <v>0</v>
      </c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>
        <v>0</v>
      </c>
      <c r="FR97" s="2">
        <f t="shared" si="89"/>
        <v>0</v>
      </c>
      <c r="FS97" s="2">
        <v>0</v>
      </c>
      <c r="FT97" s="2"/>
      <c r="FU97" s="2"/>
      <c r="FV97" s="2"/>
      <c r="FW97" s="2"/>
      <c r="FX97" s="2">
        <v>109</v>
      </c>
      <c r="FY97" s="2">
        <v>57</v>
      </c>
      <c r="FZ97" s="2"/>
      <c r="GA97" s="2" t="s">
        <v>3</v>
      </c>
      <c r="GB97" s="2"/>
      <c r="GC97" s="2"/>
      <c r="GD97" s="2">
        <v>1</v>
      </c>
      <c r="GE97" s="2"/>
      <c r="GF97" s="2">
        <v>-583407189</v>
      </c>
      <c r="GG97" s="2">
        <v>2</v>
      </c>
      <c r="GH97" s="2">
        <v>1</v>
      </c>
      <c r="GI97" s="2">
        <v>-2</v>
      </c>
      <c r="GJ97" s="2">
        <v>0</v>
      </c>
      <c r="GK97" s="2">
        <v>0</v>
      </c>
      <c r="GL97" s="2">
        <f t="shared" si="90"/>
        <v>0</v>
      </c>
      <c r="GM97" s="2">
        <f t="shared" si="91"/>
        <v>48569</v>
      </c>
      <c r="GN97" s="2">
        <f t="shared" si="92"/>
        <v>48569</v>
      </c>
      <c r="GO97" s="2">
        <f t="shared" si="93"/>
        <v>0</v>
      </c>
      <c r="GP97" s="2">
        <f t="shared" si="94"/>
        <v>0</v>
      </c>
      <c r="GQ97" s="2"/>
      <c r="GR97" s="2">
        <v>0</v>
      </c>
      <c r="GS97" s="2">
        <v>0</v>
      </c>
      <c r="GT97" s="2">
        <v>0</v>
      </c>
      <c r="GU97" s="2" t="s">
        <v>3</v>
      </c>
      <c r="GV97" s="2">
        <f t="shared" si="95"/>
        <v>0</v>
      </c>
      <c r="GW97" s="2">
        <v>1</v>
      </c>
      <c r="GX97" s="2">
        <f t="shared" si="96"/>
        <v>0</v>
      </c>
      <c r="GY97" s="2"/>
      <c r="GZ97" s="2"/>
      <c r="HA97" s="2">
        <v>0</v>
      </c>
      <c r="HB97" s="2">
        <v>0</v>
      </c>
      <c r="HC97" s="2">
        <f t="shared" si="97"/>
        <v>0</v>
      </c>
      <c r="HD97" s="2"/>
      <c r="HE97" s="2" t="s">
        <v>3</v>
      </c>
      <c r="HF97" s="2" t="s">
        <v>3</v>
      </c>
      <c r="HG97" s="2"/>
      <c r="HH97" s="2"/>
      <c r="HI97" s="2"/>
      <c r="HJ97" s="2"/>
      <c r="HK97" s="2"/>
      <c r="HL97" s="2"/>
      <c r="HM97" s="2" t="s">
        <v>3</v>
      </c>
      <c r="HN97" s="2" t="s">
        <v>120</v>
      </c>
      <c r="HO97" s="2" t="s">
        <v>121</v>
      </c>
      <c r="HP97" s="2" t="s">
        <v>117</v>
      </c>
      <c r="HQ97" s="2" t="s">
        <v>117</v>
      </c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>
        <v>0</v>
      </c>
      <c r="IL97" s="2"/>
      <c r="IM97" s="2"/>
      <c r="IN97" s="2"/>
      <c r="IO97" s="2"/>
      <c r="IP97" s="2"/>
      <c r="IQ97" s="2"/>
      <c r="IR97" s="2"/>
      <c r="IS97" s="2"/>
      <c r="IT97" s="2"/>
      <c r="IU97" s="2"/>
    </row>
    <row r="98" spans="1:245" ht="12.75">
      <c r="A98">
        <v>18</v>
      </c>
      <c r="B98">
        <v>1</v>
      </c>
      <c r="C98">
        <v>84</v>
      </c>
      <c r="E98" t="s">
        <v>175</v>
      </c>
      <c r="F98" t="s">
        <v>176</v>
      </c>
      <c r="G98" t="s">
        <v>177</v>
      </c>
      <c r="H98" t="s">
        <v>173</v>
      </c>
      <c r="I98">
        <f>I94*J98</f>
        <v>2459.2</v>
      </c>
      <c r="J98">
        <v>116</v>
      </c>
      <c r="K98">
        <v>116</v>
      </c>
      <c r="O98">
        <f t="shared" si="64"/>
        <v>292872</v>
      </c>
      <c r="P98">
        <f t="shared" si="65"/>
        <v>292872</v>
      </c>
      <c r="Q98">
        <f t="shared" si="66"/>
        <v>0</v>
      </c>
      <c r="R98">
        <f t="shared" si="67"/>
        <v>0</v>
      </c>
      <c r="S98">
        <f t="shared" si="68"/>
        <v>0</v>
      </c>
      <c r="T98">
        <f t="shared" si="69"/>
        <v>0</v>
      </c>
      <c r="U98">
        <f t="shared" si="70"/>
        <v>0</v>
      </c>
      <c r="V98">
        <f t="shared" si="71"/>
        <v>0</v>
      </c>
      <c r="W98">
        <f t="shared" si="72"/>
        <v>0</v>
      </c>
      <c r="X98">
        <f t="shared" si="73"/>
        <v>0</v>
      </c>
      <c r="Y98">
        <f t="shared" si="74"/>
        <v>0</v>
      </c>
      <c r="AA98">
        <v>55110083</v>
      </c>
      <c r="AB98">
        <f t="shared" si="75"/>
        <v>19.75</v>
      </c>
      <c r="AC98">
        <f t="shared" si="98"/>
        <v>19.75</v>
      </c>
      <c r="AD98">
        <f>ROUND((((ET98)-(EU98))+AE98),2)</f>
        <v>0</v>
      </c>
      <c r="AE98">
        <f t="shared" si="104"/>
        <v>0</v>
      </c>
      <c r="AF98">
        <f t="shared" si="104"/>
        <v>0</v>
      </c>
      <c r="AG98">
        <f t="shared" si="76"/>
        <v>0</v>
      </c>
      <c r="AH98">
        <f t="shared" si="105"/>
        <v>0</v>
      </c>
      <c r="AI98">
        <f t="shared" si="105"/>
        <v>0</v>
      </c>
      <c r="AJ98">
        <f t="shared" si="77"/>
        <v>0</v>
      </c>
      <c r="AK98">
        <v>19.75</v>
      </c>
      <c r="AL98">
        <v>19.75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  <c r="AS98">
        <v>0</v>
      </c>
      <c r="AT98">
        <v>109</v>
      </c>
      <c r="AU98">
        <v>57</v>
      </c>
      <c r="AV98">
        <v>1</v>
      </c>
      <c r="AW98">
        <v>1</v>
      </c>
      <c r="AZ98">
        <v>1</v>
      </c>
      <c r="BA98">
        <v>1</v>
      </c>
      <c r="BB98">
        <v>1</v>
      </c>
      <c r="BC98">
        <v>6.03</v>
      </c>
      <c r="BH98">
        <v>3</v>
      </c>
      <c r="BI98">
        <v>1</v>
      </c>
      <c r="BJ98" t="s">
        <v>178</v>
      </c>
      <c r="BM98">
        <v>12001</v>
      </c>
      <c r="BN98">
        <v>0</v>
      </c>
      <c r="BO98" t="s">
        <v>176</v>
      </c>
      <c r="BP98">
        <v>1</v>
      </c>
      <c r="BQ98">
        <v>2</v>
      </c>
      <c r="BR98">
        <v>0</v>
      </c>
      <c r="BS98">
        <v>1</v>
      </c>
      <c r="BT98">
        <v>1</v>
      </c>
      <c r="BU98">
        <v>1</v>
      </c>
      <c r="BV98">
        <v>1</v>
      </c>
      <c r="BW98">
        <v>1</v>
      </c>
      <c r="BX98">
        <v>1</v>
      </c>
      <c r="BZ98">
        <v>109</v>
      </c>
      <c r="CA98">
        <v>57</v>
      </c>
      <c r="CE98">
        <v>0</v>
      </c>
      <c r="CF98">
        <v>0</v>
      </c>
      <c r="CG98">
        <v>0</v>
      </c>
      <c r="CM98">
        <v>0</v>
      </c>
      <c r="CO98">
        <v>0</v>
      </c>
      <c r="CP98">
        <f t="shared" si="78"/>
        <v>292872</v>
      </c>
      <c r="CQ98">
        <f t="shared" si="79"/>
        <v>119.0925</v>
      </c>
      <c r="CR98">
        <f t="shared" si="80"/>
        <v>0</v>
      </c>
      <c r="CS98">
        <f t="shared" si="81"/>
        <v>0</v>
      </c>
      <c r="CT98">
        <f t="shared" si="82"/>
        <v>0</v>
      </c>
      <c r="CU98">
        <f t="shared" si="83"/>
        <v>0</v>
      </c>
      <c r="CV98">
        <f t="shared" si="84"/>
        <v>0</v>
      </c>
      <c r="CW98">
        <f t="shared" si="85"/>
        <v>0</v>
      </c>
      <c r="CX98">
        <f t="shared" si="86"/>
        <v>0</v>
      </c>
      <c r="CY98">
        <f t="shared" si="87"/>
        <v>0</v>
      </c>
      <c r="CZ98">
        <f t="shared" si="88"/>
        <v>0</v>
      </c>
      <c r="DN98">
        <v>0</v>
      </c>
      <c r="DO98">
        <v>0</v>
      </c>
      <c r="DP98">
        <v>1</v>
      </c>
      <c r="DQ98">
        <v>1</v>
      </c>
      <c r="DU98">
        <v>1005</v>
      </c>
      <c r="DV98" t="s">
        <v>173</v>
      </c>
      <c r="DW98" t="s">
        <v>173</v>
      </c>
      <c r="DX98">
        <v>1</v>
      </c>
      <c r="EE98">
        <v>53507574</v>
      </c>
      <c r="EF98">
        <v>2</v>
      </c>
      <c r="EG98" t="s">
        <v>26</v>
      </c>
      <c r="EH98">
        <v>12</v>
      </c>
      <c r="EI98" t="s">
        <v>117</v>
      </c>
      <c r="EJ98">
        <v>1</v>
      </c>
      <c r="EK98">
        <v>12001</v>
      </c>
      <c r="EL98" t="s">
        <v>117</v>
      </c>
      <c r="EM98" t="s">
        <v>118</v>
      </c>
      <c r="EQ98">
        <v>0</v>
      </c>
      <c r="ER98">
        <v>19.75</v>
      </c>
      <c r="ES98">
        <v>19.75</v>
      </c>
      <c r="ET98">
        <v>0</v>
      </c>
      <c r="EU98">
        <v>0</v>
      </c>
      <c r="EV98">
        <v>0</v>
      </c>
      <c r="EW98">
        <v>0</v>
      </c>
      <c r="EX98">
        <v>0</v>
      </c>
      <c r="FQ98">
        <v>0</v>
      </c>
      <c r="FR98">
        <f t="shared" si="89"/>
        <v>0</v>
      </c>
      <c r="FS98">
        <v>0</v>
      </c>
      <c r="FX98">
        <v>109</v>
      </c>
      <c r="FY98">
        <v>57</v>
      </c>
      <c r="GD98">
        <v>1</v>
      </c>
      <c r="GF98">
        <v>-583407189</v>
      </c>
      <c r="GG98">
        <v>2</v>
      </c>
      <c r="GH98">
        <v>1</v>
      </c>
      <c r="GI98">
        <v>2</v>
      </c>
      <c r="GJ98">
        <v>0</v>
      </c>
      <c r="GK98">
        <v>0</v>
      </c>
      <c r="GL98">
        <f t="shared" si="90"/>
        <v>0</v>
      </c>
      <c r="GM98">
        <f t="shared" si="91"/>
        <v>292872</v>
      </c>
      <c r="GN98">
        <f t="shared" si="92"/>
        <v>292872</v>
      </c>
      <c r="GO98">
        <f t="shared" si="93"/>
        <v>0</v>
      </c>
      <c r="GP98">
        <f t="shared" si="94"/>
        <v>0</v>
      </c>
      <c r="GR98">
        <v>0</v>
      </c>
      <c r="GS98">
        <v>0</v>
      </c>
      <c r="GT98">
        <v>0</v>
      </c>
      <c r="GV98">
        <f t="shared" si="95"/>
        <v>0</v>
      </c>
      <c r="GW98">
        <v>1</v>
      </c>
      <c r="GX98">
        <f t="shared" si="96"/>
        <v>0</v>
      </c>
      <c r="HA98">
        <v>0</v>
      </c>
      <c r="HB98">
        <v>0</v>
      </c>
      <c r="HC98">
        <f t="shared" si="97"/>
        <v>0</v>
      </c>
      <c r="HN98" t="s">
        <v>120</v>
      </c>
      <c r="HO98" t="s">
        <v>121</v>
      </c>
      <c r="HP98" t="s">
        <v>117</v>
      </c>
      <c r="HQ98" t="s">
        <v>117</v>
      </c>
      <c r="IK98">
        <v>0</v>
      </c>
    </row>
    <row r="99" spans="1:255" ht="12.75">
      <c r="A99" s="2">
        <v>17</v>
      </c>
      <c r="B99" s="2">
        <v>1</v>
      </c>
      <c r="C99" s="2">
        <f>ROW(SmtRes!A92)</f>
        <v>92</v>
      </c>
      <c r="D99" s="2">
        <f>ROW(EtalonRes!A92)</f>
        <v>92</v>
      </c>
      <c r="E99" s="2" t="s">
        <v>179</v>
      </c>
      <c r="F99" s="2" t="s">
        <v>167</v>
      </c>
      <c r="G99" s="2" t="s">
        <v>180</v>
      </c>
      <c r="H99" s="2" t="s">
        <v>24</v>
      </c>
      <c r="I99" s="2">
        <f>ROUND(16/100,7)</f>
        <v>0.16</v>
      </c>
      <c r="J99" s="2">
        <v>0</v>
      </c>
      <c r="K99" s="2">
        <f>ROUND(16/100,7)</f>
        <v>0.16</v>
      </c>
      <c r="L99" s="2"/>
      <c r="M99" s="2"/>
      <c r="N99" s="2"/>
      <c r="O99" s="2">
        <f t="shared" si="64"/>
        <v>59</v>
      </c>
      <c r="P99" s="2">
        <f t="shared" si="65"/>
        <v>29</v>
      </c>
      <c r="Q99" s="2">
        <f t="shared" si="66"/>
        <v>5</v>
      </c>
      <c r="R99" s="2">
        <f t="shared" si="67"/>
        <v>1</v>
      </c>
      <c r="S99" s="2">
        <f t="shared" si="68"/>
        <v>25</v>
      </c>
      <c r="T99" s="2">
        <f t="shared" si="69"/>
        <v>0</v>
      </c>
      <c r="U99" s="2">
        <f t="shared" si="70"/>
        <v>2.64224</v>
      </c>
      <c r="V99" s="2">
        <f t="shared" si="71"/>
        <v>0.057999999999999996</v>
      </c>
      <c r="W99" s="2">
        <f t="shared" si="72"/>
        <v>0</v>
      </c>
      <c r="X99" s="2">
        <f t="shared" si="73"/>
        <v>28</v>
      </c>
      <c r="Y99" s="2">
        <f t="shared" si="74"/>
        <v>15</v>
      </c>
      <c r="Z99" s="2"/>
      <c r="AA99" s="2">
        <v>55110074</v>
      </c>
      <c r="AB99" s="2">
        <f t="shared" si="75"/>
        <v>368.36</v>
      </c>
      <c r="AC99" s="2">
        <f t="shared" si="98"/>
        <v>182.33</v>
      </c>
      <c r="AD99" s="2">
        <f>ROUND(((((ET99*ROUND(1.25,7)))-((EU99*ROUND(1.25,7))))+AE99),2)</f>
        <v>30.8</v>
      </c>
      <c r="AE99" s="2">
        <f>ROUND(((EU99*ROUND(1.25,7))),2)</f>
        <v>4.69</v>
      </c>
      <c r="AF99" s="2">
        <f>ROUND(((EV99*ROUND(1.15,7))),2)</f>
        <v>155.23</v>
      </c>
      <c r="AG99" s="2">
        <f t="shared" si="76"/>
        <v>0</v>
      </c>
      <c r="AH99" s="2">
        <f>((EW99*ROUND(1.15,7)))</f>
        <v>16.514</v>
      </c>
      <c r="AI99" s="2">
        <f>((EX99*ROUND(1.25,7)))</f>
        <v>0.3625</v>
      </c>
      <c r="AJ99" s="2">
        <f t="shared" si="77"/>
        <v>0</v>
      </c>
      <c r="AK99" s="2">
        <v>341.95</v>
      </c>
      <c r="AL99" s="2">
        <v>182.33</v>
      </c>
      <c r="AM99" s="2">
        <v>24.64</v>
      </c>
      <c r="AN99" s="2">
        <v>3.75</v>
      </c>
      <c r="AO99" s="2">
        <v>134.98</v>
      </c>
      <c r="AP99" s="2">
        <v>0</v>
      </c>
      <c r="AQ99" s="2">
        <v>14.36</v>
      </c>
      <c r="AR99" s="2">
        <v>0.29</v>
      </c>
      <c r="AS99" s="2">
        <v>0</v>
      </c>
      <c r="AT99" s="2">
        <v>109</v>
      </c>
      <c r="AU99" s="2">
        <v>57</v>
      </c>
      <c r="AV99" s="2">
        <v>1</v>
      </c>
      <c r="AW99" s="2">
        <v>1</v>
      </c>
      <c r="AX99" s="2"/>
      <c r="AY99" s="2"/>
      <c r="AZ99" s="2">
        <v>1</v>
      </c>
      <c r="BA99" s="2">
        <v>1</v>
      </c>
      <c r="BB99" s="2">
        <v>1</v>
      </c>
      <c r="BC99" s="2">
        <v>1</v>
      </c>
      <c r="BD99" s="2" t="s">
        <v>3</v>
      </c>
      <c r="BE99" s="2" t="s">
        <v>3</v>
      </c>
      <c r="BF99" s="2" t="s">
        <v>3</v>
      </c>
      <c r="BG99" s="2" t="s">
        <v>3</v>
      </c>
      <c r="BH99" s="2">
        <v>0</v>
      </c>
      <c r="BI99" s="2">
        <v>1</v>
      </c>
      <c r="BJ99" s="2" t="s">
        <v>169</v>
      </c>
      <c r="BK99" s="2"/>
      <c r="BL99" s="2"/>
      <c r="BM99" s="2">
        <v>12001</v>
      </c>
      <c r="BN99" s="2">
        <v>0</v>
      </c>
      <c r="BO99" s="2" t="s">
        <v>3</v>
      </c>
      <c r="BP99" s="2">
        <v>0</v>
      </c>
      <c r="BQ99" s="2">
        <v>2</v>
      </c>
      <c r="BR99" s="2">
        <v>0</v>
      </c>
      <c r="BS99" s="2">
        <v>1</v>
      </c>
      <c r="BT99" s="2">
        <v>1</v>
      </c>
      <c r="BU99" s="2">
        <v>1</v>
      </c>
      <c r="BV99" s="2">
        <v>1</v>
      </c>
      <c r="BW99" s="2">
        <v>1</v>
      </c>
      <c r="BX99" s="2">
        <v>1</v>
      </c>
      <c r="BY99" s="2" t="s">
        <v>3</v>
      </c>
      <c r="BZ99" s="2">
        <v>109</v>
      </c>
      <c r="CA99" s="2">
        <v>57</v>
      </c>
      <c r="CB99" s="2" t="s">
        <v>3</v>
      </c>
      <c r="CC99" s="2"/>
      <c r="CD99" s="2"/>
      <c r="CE99" s="2">
        <v>0</v>
      </c>
      <c r="CF99" s="2">
        <v>0</v>
      </c>
      <c r="CG99" s="2">
        <v>0</v>
      </c>
      <c r="CH99" s="2"/>
      <c r="CI99" s="2"/>
      <c r="CJ99" s="2"/>
      <c r="CK99" s="2"/>
      <c r="CL99" s="2"/>
      <c r="CM99" s="2">
        <v>0</v>
      </c>
      <c r="CN99" s="2" t="s">
        <v>114</v>
      </c>
      <c r="CO99" s="2">
        <v>0</v>
      </c>
      <c r="CP99" s="2">
        <f t="shared" si="78"/>
        <v>59</v>
      </c>
      <c r="CQ99" s="2">
        <f t="shared" si="79"/>
        <v>182.33</v>
      </c>
      <c r="CR99" s="2">
        <f t="shared" si="80"/>
        <v>30.8</v>
      </c>
      <c r="CS99" s="2">
        <f t="shared" si="81"/>
        <v>4.69</v>
      </c>
      <c r="CT99" s="2">
        <f t="shared" si="82"/>
        <v>155.23</v>
      </c>
      <c r="CU99" s="2">
        <f t="shared" si="83"/>
        <v>0</v>
      </c>
      <c r="CV99" s="2">
        <f t="shared" si="84"/>
        <v>16.514</v>
      </c>
      <c r="CW99" s="2">
        <f t="shared" si="85"/>
        <v>0.3625</v>
      </c>
      <c r="CX99" s="2">
        <f t="shared" si="86"/>
        <v>0</v>
      </c>
      <c r="CY99" s="2">
        <f t="shared" si="87"/>
        <v>28.34</v>
      </c>
      <c r="CZ99" s="2">
        <f t="shared" si="88"/>
        <v>14.82</v>
      </c>
      <c r="DA99" s="2"/>
      <c r="DB99" s="2"/>
      <c r="DC99" s="2" t="s">
        <v>3</v>
      </c>
      <c r="DD99" s="2" t="s">
        <v>3</v>
      </c>
      <c r="DE99" s="2" t="s">
        <v>115</v>
      </c>
      <c r="DF99" s="2" t="s">
        <v>115</v>
      </c>
      <c r="DG99" s="2" t="s">
        <v>116</v>
      </c>
      <c r="DH99" s="2" t="s">
        <v>3</v>
      </c>
      <c r="DI99" s="2" t="s">
        <v>116</v>
      </c>
      <c r="DJ99" s="2" t="s">
        <v>115</v>
      </c>
      <c r="DK99" s="2" t="s">
        <v>3</v>
      </c>
      <c r="DL99" s="2" t="s">
        <v>3</v>
      </c>
      <c r="DM99" s="2" t="s">
        <v>3</v>
      </c>
      <c r="DN99" s="2">
        <v>0</v>
      </c>
      <c r="DO99" s="2">
        <v>0</v>
      </c>
      <c r="DP99" s="2">
        <v>1</v>
      </c>
      <c r="DQ99" s="2">
        <v>1</v>
      </c>
      <c r="DR99" s="2"/>
      <c r="DS99" s="2"/>
      <c r="DT99" s="2"/>
      <c r="DU99" s="2">
        <v>1005</v>
      </c>
      <c r="DV99" s="2" t="s">
        <v>24</v>
      </c>
      <c r="DW99" s="2" t="s">
        <v>24</v>
      </c>
      <c r="DX99" s="2">
        <v>100</v>
      </c>
      <c r="DY99" s="2"/>
      <c r="DZ99" s="2" t="s">
        <v>3</v>
      </c>
      <c r="EA99" s="2" t="s">
        <v>3</v>
      </c>
      <c r="EB99" s="2" t="s">
        <v>3</v>
      </c>
      <c r="EC99" s="2" t="s">
        <v>3</v>
      </c>
      <c r="ED99" s="2"/>
      <c r="EE99" s="2">
        <v>53507574</v>
      </c>
      <c r="EF99" s="2">
        <v>2</v>
      </c>
      <c r="EG99" s="2" t="s">
        <v>26</v>
      </c>
      <c r="EH99" s="2">
        <v>12</v>
      </c>
      <c r="EI99" s="2" t="s">
        <v>117</v>
      </c>
      <c r="EJ99" s="2">
        <v>1</v>
      </c>
      <c r="EK99" s="2">
        <v>12001</v>
      </c>
      <c r="EL99" s="2" t="s">
        <v>117</v>
      </c>
      <c r="EM99" s="2" t="s">
        <v>118</v>
      </c>
      <c r="EN99" s="2"/>
      <c r="EO99" s="2" t="s">
        <v>119</v>
      </c>
      <c r="EP99" s="2"/>
      <c r="EQ99" s="2">
        <v>0</v>
      </c>
      <c r="ER99" s="2">
        <v>341.95</v>
      </c>
      <c r="ES99" s="2">
        <v>182.33</v>
      </c>
      <c r="ET99" s="2">
        <v>24.64</v>
      </c>
      <c r="EU99" s="2">
        <v>3.75</v>
      </c>
      <c r="EV99" s="2">
        <v>134.98</v>
      </c>
      <c r="EW99" s="2">
        <v>14.36</v>
      </c>
      <c r="EX99" s="2">
        <v>0.29</v>
      </c>
      <c r="EY99" s="2">
        <v>0</v>
      </c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>
        <v>0</v>
      </c>
      <c r="FR99" s="2">
        <f t="shared" si="89"/>
        <v>0</v>
      </c>
      <c r="FS99" s="2">
        <v>0</v>
      </c>
      <c r="FT99" s="2"/>
      <c r="FU99" s="2"/>
      <c r="FV99" s="2"/>
      <c r="FW99" s="2"/>
      <c r="FX99" s="2">
        <v>109</v>
      </c>
      <c r="FY99" s="2">
        <v>57</v>
      </c>
      <c r="FZ99" s="2"/>
      <c r="GA99" s="2" t="s">
        <v>3</v>
      </c>
      <c r="GB99" s="2"/>
      <c r="GC99" s="2"/>
      <c r="GD99" s="2">
        <v>1</v>
      </c>
      <c r="GE99" s="2"/>
      <c r="GF99" s="2">
        <v>814137388</v>
      </c>
      <c r="GG99" s="2">
        <v>2</v>
      </c>
      <c r="GH99" s="2">
        <v>1</v>
      </c>
      <c r="GI99" s="2">
        <v>-2</v>
      </c>
      <c r="GJ99" s="2">
        <v>0</v>
      </c>
      <c r="GK99" s="2">
        <v>0</v>
      </c>
      <c r="GL99" s="2">
        <f t="shared" si="90"/>
        <v>0</v>
      </c>
      <c r="GM99" s="2">
        <f t="shared" si="91"/>
        <v>102</v>
      </c>
      <c r="GN99" s="2">
        <f t="shared" si="92"/>
        <v>102</v>
      </c>
      <c r="GO99" s="2">
        <f t="shared" si="93"/>
        <v>0</v>
      </c>
      <c r="GP99" s="2">
        <f t="shared" si="94"/>
        <v>0</v>
      </c>
      <c r="GQ99" s="2"/>
      <c r="GR99" s="2">
        <v>0</v>
      </c>
      <c r="GS99" s="2">
        <v>0</v>
      </c>
      <c r="GT99" s="2">
        <v>0</v>
      </c>
      <c r="GU99" s="2" t="s">
        <v>3</v>
      </c>
      <c r="GV99" s="2">
        <f t="shared" si="95"/>
        <v>0</v>
      </c>
      <c r="GW99" s="2">
        <v>1</v>
      </c>
      <c r="GX99" s="2">
        <f t="shared" si="96"/>
        <v>0</v>
      </c>
      <c r="GY99" s="2"/>
      <c r="GZ99" s="2"/>
      <c r="HA99" s="2">
        <v>0</v>
      </c>
      <c r="HB99" s="2">
        <v>0</v>
      </c>
      <c r="HC99" s="2">
        <f t="shared" si="97"/>
        <v>0</v>
      </c>
      <c r="HD99" s="2"/>
      <c r="HE99" s="2" t="s">
        <v>3</v>
      </c>
      <c r="HF99" s="2" t="s">
        <v>3</v>
      </c>
      <c r="HG99" s="2"/>
      <c r="HH99" s="2"/>
      <c r="HI99" s="2"/>
      <c r="HJ99" s="2"/>
      <c r="HK99" s="2"/>
      <c r="HL99" s="2"/>
      <c r="HM99" s="2" t="s">
        <v>3</v>
      </c>
      <c r="HN99" s="2" t="s">
        <v>120</v>
      </c>
      <c r="HO99" s="2" t="s">
        <v>121</v>
      </c>
      <c r="HP99" s="2" t="s">
        <v>117</v>
      </c>
      <c r="HQ99" s="2" t="s">
        <v>117</v>
      </c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>
        <v>0</v>
      </c>
      <c r="IL99" s="2"/>
      <c r="IM99" s="2"/>
      <c r="IN99" s="2"/>
      <c r="IO99" s="2"/>
      <c r="IP99" s="2"/>
      <c r="IQ99" s="2"/>
      <c r="IR99" s="2"/>
      <c r="IS99" s="2"/>
      <c r="IT99" s="2"/>
      <c r="IU99" s="2"/>
    </row>
    <row r="100" spans="1:245" ht="12.75">
      <c r="A100">
        <v>17</v>
      </c>
      <c r="B100">
        <v>1</v>
      </c>
      <c r="C100">
        <f>ROW(SmtRes!A100)</f>
        <v>100</v>
      </c>
      <c r="D100">
        <f>ROW(EtalonRes!A100)</f>
        <v>100</v>
      </c>
      <c r="E100" t="s">
        <v>179</v>
      </c>
      <c r="F100" t="s">
        <v>167</v>
      </c>
      <c r="G100" t="s">
        <v>180</v>
      </c>
      <c r="H100" t="s">
        <v>24</v>
      </c>
      <c r="I100">
        <f>ROUND(16/100,7)</f>
        <v>0.16</v>
      </c>
      <c r="J100">
        <v>0</v>
      </c>
      <c r="K100">
        <f>ROUND(16/100,7)</f>
        <v>0.16</v>
      </c>
      <c r="O100">
        <f t="shared" si="64"/>
        <v>1195</v>
      </c>
      <c r="P100">
        <f t="shared" si="65"/>
        <v>247</v>
      </c>
      <c r="Q100">
        <f t="shared" si="66"/>
        <v>53</v>
      </c>
      <c r="R100">
        <f t="shared" si="67"/>
        <v>27</v>
      </c>
      <c r="S100">
        <f t="shared" si="68"/>
        <v>895</v>
      </c>
      <c r="T100">
        <f t="shared" si="69"/>
        <v>0</v>
      </c>
      <c r="U100">
        <f t="shared" si="70"/>
        <v>2.64224</v>
      </c>
      <c r="V100">
        <f t="shared" si="71"/>
        <v>0.057999999999999996</v>
      </c>
      <c r="W100">
        <f t="shared" si="72"/>
        <v>0</v>
      </c>
      <c r="X100">
        <f t="shared" si="73"/>
        <v>1005</v>
      </c>
      <c r="Y100">
        <f t="shared" si="74"/>
        <v>526</v>
      </c>
      <c r="AA100">
        <v>55110083</v>
      </c>
      <c r="AB100">
        <f t="shared" si="75"/>
        <v>368.36</v>
      </c>
      <c r="AC100">
        <f t="shared" si="98"/>
        <v>182.33</v>
      </c>
      <c r="AD100">
        <f>ROUND(((((ET100*ROUND(1.25,7)))-((EU100*ROUND(1.25,7))))+AE100),2)</f>
        <v>30.8</v>
      </c>
      <c r="AE100">
        <f>ROUND(((EU100*ROUND(1.25,7))),2)</f>
        <v>4.69</v>
      </c>
      <c r="AF100">
        <f>ROUND(((EV100*ROUND(1.15,7))),2)</f>
        <v>155.23</v>
      </c>
      <c r="AG100">
        <f t="shared" si="76"/>
        <v>0</v>
      </c>
      <c r="AH100">
        <f>((EW100*ROUND(1.15,7)))</f>
        <v>16.514</v>
      </c>
      <c r="AI100">
        <f>((EX100*ROUND(1.25,7)))</f>
        <v>0.3625</v>
      </c>
      <c r="AJ100">
        <f t="shared" si="77"/>
        <v>0</v>
      </c>
      <c r="AK100">
        <v>341.95</v>
      </c>
      <c r="AL100">
        <v>182.33</v>
      </c>
      <c r="AM100">
        <v>24.64</v>
      </c>
      <c r="AN100">
        <v>3.75</v>
      </c>
      <c r="AO100">
        <v>134.98</v>
      </c>
      <c r="AP100">
        <v>0</v>
      </c>
      <c r="AQ100">
        <v>14.36</v>
      </c>
      <c r="AR100">
        <v>0.29</v>
      </c>
      <c r="AS100">
        <v>0</v>
      </c>
      <c r="AT100">
        <v>109</v>
      </c>
      <c r="AU100">
        <v>57</v>
      </c>
      <c r="AV100">
        <v>1</v>
      </c>
      <c r="AW100">
        <v>1</v>
      </c>
      <c r="AZ100">
        <v>1</v>
      </c>
      <c r="BA100">
        <v>36.03</v>
      </c>
      <c r="BB100">
        <v>10.76</v>
      </c>
      <c r="BC100">
        <v>8.48</v>
      </c>
      <c r="BH100">
        <v>0</v>
      </c>
      <c r="BI100">
        <v>1</v>
      </c>
      <c r="BJ100" t="s">
        <v>169</v>
      </c>
      <c r="BM100">
        <v>12001</v>
      </c>
      <c r="BN100">
        <v>0</v>
      </c>
      <c r="BO100" t="s">
        <v>167</v>
      </c>
      <c r="BP100">
        <v>1</v>
      </c>
      <c r="BQ100">
        <v>2</v>
      </c>
      <c r="BR100">
        <v>0</v>
      </c>
      <c r="BS100">
        <v>36.03</v>
      </c>
      <c r="BT100">
        <v>1</v>
      </c>
      <c r="BU100">
        <v>1</v>
      </c>
      <c r="BV100">
        <v>1</v>
      </c>
      <c r="BW100">
        <v>1</v>
      </c>
      <c r="BX100">
        <v>1</v>
      </c>
      <c r="BZ100">
        <v>109</v>
      </c>
      <c r="CA100">
        <v>57</v>
      </c>
      <c r="CE100">
        <v>0</v>
      </c>
      <c r="CF100">
        <v>0</v>
      </c>
      <c r="CG100">
        <v>0</v>
      </c>
      <c r="CM100">
        <v>0</v>
      </c>
      <c r="CN100" t="s">
        <v>114</v>
      </c>
      <c r="CO100">
        <v>0</v>
      </c>
      <c r="CP100">
        <f t="shared" si="78"/>
        <v>1195</v>
      </c>
      <c r="CQ100">
        <f t="shared" si="79"/>
        <v>1546.1584000000003</v>
      </c>
      <c r="CR100">
        <f t="shared" si="80"/>
        <v>331.408</v>
      </c>
      <c r="CS100">
        <f t="shared" si="81"/>
        <v>168.9807</v>
      </c>
      <c r="CT100">
        <f t="shared" si="82"/>
        <v>5592.9369</v>
      </c>
      <c r="CU100">
        <f t="shared" si="83"/>
        <v>0</v>
      </c>
      <c r="CV100">
        <f t="shared" si="84"/>
        <v>16.514</v>
      </c>
      <c r="CW100">
        <f t="shared" si="85"/>
        <v>0.3625</v>
      </c>
      <c r="CX100">
        <f t="shared" si="86"/>
        <v>0</v>
      </c>
      <c r="CY100">
        <f t="shared" si="87"/>
        <v>1004.98</v>
      </c>
      <c r="CZ100">
        <f t="shared" si="88"/>
        <v>525.54</v>
      </c>
      <c r="DE100" t="s">
        <v>115</v>
      </c>
      <c r="DF100" t="s">
        <v>115</v>
      </c>
      <c r="DG100" t="s">
        <v>116</v>
      </c>
      <c r="DI100" t="s">
        <v>116</v>
      </c>
      <c r="DJ100" t="s">
        <v>115</v>
      </c>
      <c r="DN100">
        <v>0</v>
      </c>
      <c r="DO100">
        <v>0</v>
      </c>
      <c r="DP100">
        <v>1</v>
      </c>
      <c r="DQ100">
        <v>1</v>
      </c>
      <c r="DU100">
        <v>1005</v>
      </c>
      <c r="DV100" t="s">
        <v>24</v>
      </c>
      <c r="DW100" t="s">
        <v>24</v>
      </c>
      <c r="DX100">
        <v>100</v>
      </c>
      <c r="EE100">
        <v>53507574</v>
      </c>
      <c r="EF100">
        <v>2</v>
      </c>
      <c r="EG100" t="s">
        <v>26</v>
      </c>
      <c r="EH100">
        <v>12</v>
      </c>
      <c r="EI100" t="s">
        <v>117</v>
      </c>
      <c r="EJ100">
        <v>1</v>
      </c>
      <c r="EK100">
        <v>12001</v>
      </c>
      <c r="EL100" t="s">
        <v>117</v>
      </c>
      <c r="EM100" t="s">
        <v>118</v>
      </c>
      <c r="EO100" t="s">
        <v>119</v>
      </c>
      <c r="EQ100">
        <v>0</v>
      </c>
      <c r="ER100">
        <v>341.95</v>
      </c>
      <c r="ES100">
        <v>182.33</v>
      </c>
      <c r="ET100">
        <v>24.64</v>
      </c>
      <c r="EU100">
        <v>3.75</v>
      </c>
      <c r="EV100">
        <v>134.98</v>
      </c>
      <c r="EW100">
        <v>14.36</v>
      </c>
      <c r="EX100">
        <v>0.29</v>
      </c>
      <c r="EY100">
        <v>0</v>
      </c>
      <c r="FQ100">
        <v>0</v>
      </c>
      <c r="FR100">
        <f t="shared" si="89"/>
        <v>0</v>
      </c>
      <c r="FS100">
        <v>0</v>
      </c>
      <c r="FX100">
        <v>109</v>
      </c>
      <c r="FY100">
        <v>57</v>
      </c>
      <c r="GD100">
        <v>1</v>
      </c>
      <c r="GF100">
        <v>814137388</v>
      </c>
      <c r="GG100">
        <v>2</v>
      </c>
      <c r="GH100">
        <v>1</v>
      </c>
      <c r="GI100">
        <v>2</v>
      </c>
      <c r="GJ100">
        <v>0</v>
      </c>
      <c r="GK100">
        <v>0</v>
      </c>
      <c r="GL100">
        <f t="shared" si="90"/>
        <v>0</v>
      </c>
      <c r="GM100">
        <f t="shared" si="91"/>
        <v>2726</v>
      </c>
      <c r="GN100">
        <f t="shared" si="92"/>
        <v>2726</v>
      </c>
      <c r="GO100">
        <f t="shared" si="93"/>
        <v>0</v>
      </c>
      <c r="GP100">
        <f t="shared" si="94"/>
        <v>0</v>
      </c>
      <c r="GR100">
        <v>0</v>
      </c>
      <c r="GS100">
        <v>0</v>
      </c>
      <c r="GT100">
        <v>0</v>
      </c>
      <c r="GV100">
        <f t="shared" si="95"/>
        <v>0</v>
      </c>
      <c r="GW100">
        <v>1</v>
      </c>
      <c r="GX100">
        <f t="shared" si="96"/>
        <v>0</v>
      </c>
      <c r="HA100">
        <v>0</v>
      </c>
      <c r="HB100">
        <v>0</v>
      </c>
      <c r="HC100">
        <f t="shared" si="97"/>
        <v>0</v>
      </c>
      <c r="HN100" t="s">
        <v>120</v>
      </c>
      <c r="HO100" t="s">
        <v>121</v>
      </c>
      <c r="HP100" t="s">
        <v>117</v>
      </c>
      <c r="HQ100" t="s">
        <v>117</v>
      </c>
      <c r="IK100">
        <v>0</v>
      </c>
    </row>
    <row r="101" spans="1:255" ht="12.75">
      <c r="A101" s="2">
        <v>18</v>
      </c>
      <c r="B101" s="2">
        <v>1</v>
      </c>
      <c r="C101" s="2">
        <v>91</v>
      </c>
      <c r="D101" s="2"/>
      <c r="E101" s="2" t="s">
        <v>181</v>
      </c>
      <c r="F101" s="2" t="s">
        <v>171</v>
      </c>
      <c r="G101" s="2" t="s">
        <v>172</v>
      </c>
      <c r="H101" s="2" t="s">
        <v>173</v>
      </c>
      <c r="I101" s="2">
        <f>I99*J101</f>
        <v>18.24</v>
      </c>
      <c r="J101" s="2">
        <v>113.99999999999999</v>
      </c>
      <c r="K101" s="2">
        <v>114</v>
      </c>
      <c r="L101" s="2"/>
      <c r="M101" s="2"/>
      <c r="N101" s="2"/>
      <c r="O101" s="2">
        <f t="shared" si="64"/>
        <v>506</v>
      </c>
      <c r="P101" s="2">
        <f t="shared" si="65"/>
        <v>506</v>
      </c>
      <c r="Q101" s="2">
        <f t="shared" si="66"/>
        <v>0</v>
      </c>
      <c r="R101" s="2">
        <f t="shared" si="67"/>
        <v>0</v>
      </c>
      <c r="S101" s="2">
        <f t="shared" si="68"/>
        <v>0</v>
      </c>
      <c r="T101" s="2">
        <f t="shared" si="69"/>
        <v>0</v>
      </c>
      <c r="U101" s="2">
        <f t="shared" si="70"/>
        <v>0</v>
      </c>
      <c r="V101" s="2">
        <f t="shared" si="71"/>
        <v>0</v>
      </c>
      <c r="W101" s="2">
        <f t="shared" si="72"/>
        <v>0</v>
      </c>
      <c r="X101" s="2">
        <f t="shared" si="73"/>
        <v>0</v>
      </c>
      <c r="Y101" s="2">
        <f t="shared" si="74"/>
        <v>0</v>
      </c>
      <c r="Z101" s="2"/>
      <c r="AA101" s="2">
        <v>55110074</v>
      </c>
      <c r="AB101" s="2">
        <f t="shared" si="75"/>
        <v>27.73</v>
      </c>
      <c r="AC101" s="2">
        <f t="shared" si="98"/>
        <v>27.73</v>
      </c>
      <c r="AD101" s="2">
        <f>ROUND((((ET101)-(EU101))+AE101),2)</f>
        <v>0</v>
      </c>
      <c r="AE101" s="2">
        <f aca="true" t="shared" si="106" ref="AE101:AF104">ROUND((EU101),2)</f>
        <v>0</v>
      </c>
      <c r="AF101" s="2">
        <f t="shared" si="106"/>
        <v>0</v>
      </c>
      <c r="AG101" s="2">
        <f t="shared" si="76"/>
        <v>0</v>
      </c>
      <c r="AH101" s="2">
        <f aca="true" t="shared" si="107" ref="AH101:AI104">(EW101)</f>
        <v>0</v>
      </c>
      <c r="AI101" s="2">
        <f t="shared" si="107"/>
        <v>0</v>
      </c>
      <c r="AJ101" s="2">
        <f t="shared" si="77"/>
        <v>0</v>
      </c>
      <c r="AK101" s="2">
        <v>27.73</v>
      </c>
      <c r="AL101" s="2">
        <v>27.73</v>
      </c>
      <c r="AM101" s="2">
        <v>0</v>
      </c>
      <c r="AN101" s="2">
        <v>0</v>
      </c>
      <c r="AO101" s="2">
        <v>0</v>
      </c>
      <c r="AP101" s="2">
        <v>0</v>
      </c>
      <c r="AQ101" s="2">
        <v>0</v>
      </c>
      <c r="AR101" s="2">
        <v>0</v>
      </c>
      <c r="AS101" s="2">
        <v>0</v>
      </c>
      <c r="AT101" s="2">
        <v>109</v>
      </c>
      <c r="AU101" s="2">
        <v>57</v>
      </c>
      <c r="AV101" s="2">
        <v>1</v>
      </c>
      <c r="AW101" s="2">
        <v>1</v>
      </c>
      <c r="AX101" s="2"/>
      <c r="AY101" s="2"/>
      <c r="AZ101" s="2">
        <v>1</v>
      </c>
      <c r="BA101" s="2">
        <v>1</v>
      </c>
      <c r="BB101" s="2">
        <v>1</v>
      </c>
      <c r="BC101" s="2">
        <v>1</v>
      </c>
      <c r="BD101" s="2" t="s">
        <v>3</v>
      </c>
      <c r="BE101" s="2" t="s">
        <v>3</v>
      </c>
      <c r="BF101" s="2" t="s">
        <v>3</v>
      </c>
      <c r="BG101" s="2" t="s">
        <v>3</v>
      </c>
      <c r="BH101" s="2">
        <v>3</v>
      </c>
      <c r="BI101" s="2">
        <v>1</v>
      </c>
      <c r="BJ101" s="2" t="s">
        <v>174</v>
      </c>
      <c r="BK101" s="2"/>
      <c r="BL101" s="2"/>
      <c r="BM101" s="2">
        <v>12001</v>
      </c>
      <c r="BN101" s="2">
        <v>0</v>
      </c>
      <c r="BO101" s="2" t="s">
        <v>3</v>
      </c>
      <c r="BP101" s="2">
        <v>0</v>
      </c>
      <c r="BQ101" s="2">
        <v>2</v>
      </c>
      <c r="BR101" s="2">
        <v>0</v>
      </c>
      <c r="BS101" s="2">
        <v>1</v>
      </c>
      <c r="BT101" s="2">
        <v>1</v>
      </c>
      <c r="BU101" s="2">
        <v>1</v>
      </c>
      <c r="BV101" s="2">
        <v>1</v>
      </c>
      <c r="BW101" s="2">
        <v>1</v>
      </c>
      <c r="BX101" s="2">
        <v>1</v>
      </c>
      <c r="BY101" s="2" t="s">
        <v>3</v>
      </c>
      <c r="BZ101" s="2">
        <v>109</v>
      </c>
      <c r="CA101" s="2">
        <v>57</v>
      </c>
      <c r="CB101" s="2" t="s">
        <v>3</v>
      </c>
      <c r="CC101" s="2"/>
      <c r="CD101" s="2"/>
      <c r="CE101" s="2">
        <v>0</v>
      </c>
      <c r="CF101" s="2">
        <v>0</v>
      </c>
      <c r="CG101" s="2">
        <v>0</v>
      </c>
      <c r="CH101" s="2"/>
      <c r="CI101" s="2"/>
      <c r="CJ101" s="2"/>
      <c r="CK101" s="2"/>
      <c r="CL101" s="2"/>
      <c r="CM101" s="2">
        <v>0</v>
      </c>
      <c r="CN101" s="2" t="s">
        <v>3</v>
      </c>
      <c r="CO101" s="2">
        <v>0</v>
      </c>
      <c r="CP101" s="2">
        <f t="shared" si="78"/>
        <v>506</v>
      </c>
      <c r="CQ101" s="2">
        <f t="shared" si="79"/>
        <v>27.73</v>
      </c>
      <c r="CR101" s="2">
        <f t="shared" si="80"/>
        <v>0</v>
      </c>
      <c r="CS101" s="2">
        <f t="shared" si="81"/>
        <v>0</v>
      </c>
      <c r="CT101" s="2">
        <f t="shared" si="82"/>
        <v>0</v>
      </c>
      <c r="CU101" s="2">
        <f t="shared" si="83"/>
        <v>0</v>
      </c>
      <c r="CV101" s="2">
        <f t="shared" si="84"/>
        <v>0</v>
      </c>
      <c r="CW101" s="2">
        <f t="shared" si="85"/>
        <v>0</v>
      </c>
      <c r="CX101" s="2">
        <f t="shared" si="86"/>
        <v>0</v>
      </c>
      <c r="CY101" s="2">
        <f t="shared" si="87"/>
        <v>0</v>
      </c>
      <c r="CZ101" s="2">
        <f t="shared" si="88"/>
        <v>0</v>
      </c>
      <c r="DA101" s="2"/>
      <c r="DB101" s="2"/>
      <c r="DC101" s="2" t="s">
        <v>3</v>
      </c>
      <c r="DD101" s="2" t="s">
        <v>3</v>
      </c>
      <c r="DE101" s="2" t="s">
        <v>3</v>
      </c>
      <c r="DF101" s="2" t="s">
        <v>3</v>
      </c>
      <c r="DG101" s="2" t="s">
        <v>3</v>
      </c>
      <c r="DH101" s="2" t="s">
        <v>3</v>
      </c>
      <c r="DI101" s="2" t="s">
        <v>3</v>
      </c>
      <c r="DJ101" s="2" t="s">
        <v>3</v>
      </c>
      <c r="DK101" s="2" t="s">
        <v>3</v>
      </c>
      <c r="DL101" s="2" t="s">
        <v>3</v>
      </c>
      <c r="DM101" s="2" t="s">
        <v>3</v>
      </c>
      <c r="DN101" s="2">
        <v>0</v>
      </c>
      <c r="DO101" s="2">
        <v>0</v>
      </c>
      <c r="DP101" s="2">
        <v>1</v>
      </c>
      <c r="DQ101" s="2">
        <v>1</v>
      </c>
      <c r="DR101" s="2"/>
      <c r="DS101" s="2"/>
      <c r="DT101" s="2"/>
      <c r="DU101" s="2">
        <v>1005</v>
      </c>
      <c r="DV101" s="2" t="s">
        <v>173</v>
      </c>
      <c r="DW101" s="2" t="s">
        <v>173</v>
      </c>
      <c r="DX101" s="2">
        <v>1</v>
      </c>
      <c r="DY101" s="2"/>
      <c r="DZ101" s="2" t="s">
        <v>3</v>
      </c>
      <c r="EA101" s="2" t="s">
        <v>3</v>
      </c>
      <c r="EB101" s="2" t="s">
        <v>3</v>
      </c>
      <c r="EC101" s="2" t="s">
        <v>3</v>
      </c>
      <c r="ED101" s="2"/>
      <c r="EE101" s="2">
        <v>53507574</v>
      </c>
      <c r="EF101" s="2">
        <v>2</v>
      </c>
      <c r="EG101" s="2" t="s">
        <v>26</v>
      </c>
      <c r="EH101" s="2">
        <v>12</v>
      </c>
      <c r="EI101" s="2" t="s">
        <v>117</v>
      </c>
      <c r="EJ101" s="2">
        <v>1</v>
      </c>
      <c r="EK101" s="2">
        <v>12001</v>
      </c>
      <c r="EL101" s="2" t="s">
        <v>117</v>
      </c>
      <c r="EM101" s="2" t="s">
        <v>118</v>
      </c>
      <c r="EN101" s="2"/>
      <c r="EO101" s="2" t="s">
        <v>3</v>
      </c>
      <c r="EP101" s="2"/>
      <c r="EQ101" s="2">
        <v>0</v>
      </c>
      <c r="ER101" s="2">
        <v>27.73</v>
      </c>
      <c r="ES101" s="2">
        <v>27.73</v>
      </c>
      <c r="ET101" s="2">
        <v>0</v>
      </c>
      <c r="EU101" s="2">
        <v>0</v>
      </c>
      <c r="EV101" s="2">
        <v>0</v>
      </c>
      <c r="EW101" s="2">
        <v>0</v>
      </c>
      <c r="EX101" s="2">
        <v>0</v>
      </c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>
        <v>0</v>
      </c>
      <c r="FR101" s="2">
        <f t="shared" si="89"/>
        <v>0</v>
      </c>
      <c r="FS101" s="2">
        <v>0</v>
      </c>
      <c r="FT101" s="2"/>
      <c r="FU101" s="2"/>
      <c r="FV101" s="2"/>
      <c r="FW101" s="2"/>
      <c r="FX101" s="2">
        <v>109</v>
      </c>
      <c r="FY101" s="2">
        <v>57</v>
      </c>
      <c r="FZ101" s="2"/>
      <c r="GA101" s="2" t="s">
        <v>3</v>
      </c>
      <c r="GB101" s="2"/>
      <c r="GC101" s="2"/>
      <c r="GD101" s="2">
        <v>1</v>
      </c>
      <c r="GE101" s="2"/>
      <c r="GF101" s="2">
        <v>1276428827</v>
      </c>
      <c r="GG101" s="2">
        <v>2</v>
      </c>
      <c r="GH101" s="2">
        <v>1</v>
      </c>
      <c r="GI101" s="2">
        <v>-2</v>
      </c>
      <c r="GJ101" s="2">
        <v>0</v>
      </c>
      <c r="GK101" s="2">
        <v>0</v>
      </c>
      <c r="GL101" s="2">
        <f t="shared" si="90"/>
        <v>0</v>
      </c>
      <c r="GM101" s="2">
        <f t="shared" si="91"/>
        <v>506</v>
      </c>
      <c r="GN101" s="2">
        <f t="shared" si="92"/>
        <v>506</v>
      </c>
      <c r="GO101" s="2">
        <f t="shared" si="93"/>
        <v>0</v>
      </c>
      <c r="GP101" s="2">
        <f t="shared" si="94"/>
        <v>0</v>
      </c>
      <c r="GQ101" s="2"/>
      <c r="GR101" s="2">
        <v>0</v>
      </c>
      <c r="GS101" s="2">
        <v>0</v>
      </c>
      <c r="GT101" s="2">
        <v>0</v>
      </c>
      <c r="GU101" s="2" t="s">
        <v>3</v>
      </c>
      <c r="GV101" s="2">
        <f t="shared" si="95"/>
        <v>0</v>
      </c>
      <c r="GW101" s="2">
        <v>1</v>
      </c>
      <c r="GX101" s="2">
        <f t="shared" si="96"/>
        <v>0</v>
      </c>
      <c r="GY101" s="2"/>
      <c r="GZ101" s="2"/>
      <c r="HA101" s="2">
        <v>0</v>
      </c>
      <c r="HB101" s="2">
        <v>0</v>
      </c>
      <c r="HC101" s="2">
        <f t="shared" si="97"/>
        <v>0</v>
      </c>
      <c r="HD101" s="2"/>
      <c r="HE101" s="2" t="s">
        <v>3</v>
      </c>
      <c r="HF101" s="2" t="s">
        <v>3</v>
      </c>
      <c r="HG101" s="2"/>
      <c r="HH101" s="2"/>
      <c r="HI101" s="2"/>
      <c r="HJ101" s="2"/>
      <c r="HK101" s="2"/>
      <c r="HL101" s="2"/>
      <c r="HM101" s="2" t="s">
        <v>3</v>
      </c>
      <c r="HN101" s="2" t="s">
        <v>120</v>
      </c>
      <c r="HO101" s="2" t="s">
        <v>121</v>
      </c>
      <c r="HP101" s="2" t="s">
        <v>117</v>
      </c>
      <c r="HQ101" s="2" t="s">
        <v>117</v>
      </c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>
        <v>0</v>
      </c>
      <c r="IL101" s="2"/>
      <c r="IM101" s="2"/>
      <c r="IN101" s="2"/>
      <c r="IO101" s="2"/>
      <c r="IP101" s="2"/>
      <c r="IQ101" s="2"/>
      <c r="IR101" s="2"/>
      <c r="IS101" s="2"/>
      <c r="IT101" s="2"/>
      <c r="IU101" s="2"/>
    </row>
    <row r="102" spans="1:245" ht="12.75">
      <c r="A102">
        <v>18</v>
      </c>
      <c r="B102">
        <v>1</v>
      </c>
      <c r="C102">
        <v>99</v>
      </c>
      <c r="E102" t="s">
        <v>181</v>
      </c>
      <c r="F102" t="s">
        <v>171</v>
      </c>
      <c r="G102" t="s">
        <v>172</v>
      </c>
      <c r="H102" t="s">
        <v>173</v>
      </c>
      <c r="I102">
        <f>I100*J102</f>
        <v>18.24</v>
      </c>
      <c r="J102">
        <v>113.99999999999999</v>
      </c>
      <c r="K102">
        <v>114</v>
      </c>
      <c r="O102">
        <f t="shared" si="64"/>
        <v>2043</v>
      </c>
      <c r="P102">
        <f t="shared" si="65"/>
        <v>2043</v>
      </c>
      <c r="Q102">
        <f t="shared" si="66"/>
        <v>0</v>
      </c>
      <c r="R102">
        <f t="shared" si="67"/>
        <v>0</v>
      </c>
      <c r="S102">
        <f t="shared" si="68"/>
        <v>0</v>
      </c>
      <c r="T102">
        <f t="shared" si="69"/>
        <v>0</v>
      </c>
      <c r="U102">
        <f t="shared" si="70"/>
        <v>0</v>
      </c>
      <c r="V102">
        <f t="shared" si="71"/>
        <v>0</v>
      </c>
      <c r="W102">
        <f t="shared" si="72"/>
        <v>0</v>
      </c>
      <c r="X102">
        <f t="shared" si="73"/>
        <v>0</v>
      </c>
      <c r="Y102">
        <f t="shared" si="74"/>
        <v>0</v>
      </c>
      <c r="AA102">
        <v>55110083</v>
      </c>
      <c r="AB102">
        <f t="shared" si="75"/>
        <v>27.73</v>
      </c>
      <c r="AC102">
        <f t="shared" si="98"/>
        <v>27.73</v>
      </c>
      <c r="AD102">
        <f>ROUND((((ET102)-(EU102))+AE102),2)</f>
        <v>0</v>
      </c>
      <c r="AE102">
        <f t="shared" si="106"/>
        <v>0</v>
      </c>
      <c r="AF102">
        <f t="shared" si="106"/>
        <v>0</v>
      </c>
      <c r="AG102">
        <f t="shared" si="76"/>
        <v>0</v>
      </c>
      <c r="AH102">
        <f t="shared" si="107"/>
        <v>0</v>
      </c>
      <c r="AI102">
        <f t="shared" si="107"/>
        <v>0</v>
      </c>
      <c r="AJ102">
        <f t="shared" si="77"/>
        <v>0</v>
      </c>
      <c r="AK102">
        <v>27.73</v>
      </c>
      <c r="AL102">
        <v>27.73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109</v>
      </c>
      <c r="AU102">
        <v>57</v>
      </c>
      <c r="AV102">
        <v>1</v>
      </c>
      <c r="AW102">
        <v>1</v>
      </c>
      <c r="AZ102">
        <v>1</v>
      </c>
      <c r="BA102">
        <v>1</v>
      </c>
      <c r="BB102">
        <v>1</v>
      </c>
      <c r="BC102">
        <v>4.04</v>
      </c>
      <c r="BH102">
        <v>3</v>
      </c>
      <c r="BI102">
        <v>1</v>
      </c>
      <c r="BJ102" t="s">
        <v>174</v>
      </c>
      <c r="BM102">
        <v>12001</v>
      </c>
      <c r="BN102">
        <v>0</v>
      </c>
      <c r="BO102" t="s">
        <v>171</v>
      </c>
      <c r="BP102">
        <v>1</v>
      </c>
      <c r="BQ102">
        <v>2</v>
      </c>
      <c r="BR102">
        <v>0</v>
      </c>
      <c r="BS102">
        <v>1</v>
      </c>
      <c r="BT102">
        <v>1</v>
      </c>
      <c r="BU102">
        <v>1</v>
      </c>
      <c r="BV102">
        <v>1</v>
      </c>
      <c r="BW102">
        <v>1</v>
      </c>
      <c r="BX102">
        <v>1</v>
      </c>
      <c r="BZ102">
        <v>109</v>
      </c>
      <c r="CA102">
        <v>57</v>
      </c>
      <c r="CE102">
        <v>0</v>
      </c>
      <c r="CF102">
        <v>0</v>
      </c>
      <c r="CG102">
        <v>0</v>
      </c>
      <c r="CM102">
        <v>0</v>
      </c>
      <c r="CO102">
        <v>0</v>
      </c>
      <c r="CP102">
        <f t="shared" si="78"/>
        <v>2043</v>
      </c>
      <c r="CQ102">
        <f t="shared" si="79"/>
        <v>112.0292</v>
      </c>
      <c r="CR102">
        <f t="shared" si="80"/>
        <v>0</v>
      </c>
      <c r="CS102">
        <f t="shared" si="81"/>
        <v>0</v>
      </c>
      <c r="CT102">
        <f t="shared" si="82"/>
        <v>0</v>
      </c>
      <c r="CU102">
        <f t="shared" si="83"/>
        <v>0</v>
      </c>
      <c r="CV102">
        <f t="shared" si="84"/>
        <v>0</v>
      </c>
      <c r="CW102">
        <f t="shared" si="85"/>
        <v>0</v>
      </c>
      <c r="CX102">
        <f t="shared" si="86"/>
        <v>0</v>
      </c>
      <c r="CY102">
        <f t="shared" si="87"/>
        <v>0</v>
      </c>
      <c r="CZ102">
        <f t="shared" si="88"/>
        <v>0</v>
      </c>
      <c r="DN102">
        <v>0</v>
      </c>
      <c r="DO102">
        <v>0</v>
      </c>
      <c r="DP102">
        <v>1</v>
      </c>
      <c r="DQ102">
        <v>1</v>
      </c>
      <c r="DU102">
        <v>1005</v>
      </c>
      <c r="DV102" t="s">
        <v>173</v>
      </c>
      <c r="DW102" t="s">
        <v>173</v>
      </c>
      <c r="DX102">
        <v>1</v>
      </c>
      <c r="EE102">
        <v>53507574</v>
      </c>
      <c r="EF102">
        <v>2</v>
      </c>
      <c r="EG102" t="s">
        <v>26</v>
      </c>
      <c r="EH102">
        <v>12</v>
      </c>
      <c r="EI102" t="s">
        <v>117</v>
      </c>
      <c r="EJ102">
        <v>1</v>
      </c>
      <c r="EK102">
        <v>12001</v>
      </c>
      <c r="EL102" t="s">
        <v>117</v>
      </c>
      <c r="EM102" t="s">
        <v>118</v>
      </c>
      <c r="EQ102">
        <v>0</v>
      </c>
      <c r="ER102">
        <v>27.73</v>
      </c>
      <c r="ES102">
        <v>27.73</v>
      </c>
      <c r="ET102">
        <v>0</v>
      </c>
      <c r="EU102">
        <v>0</v>
      </c>
      <c r="EV102">
        <v>0</v>
      </c>
      <c r="EW102">
        <v>0</v>
      </c>
      <c r="EX102">
        <v>0</v>
      </c>
      <c r="FQ102">
        <v>0</v>
      </c>
      <c r="FR102">
        <f t="shared" si="89"/>
        <v>0</v>
      </c>
      <c r="FS102">
        <v>0</v>
      </c>
      <c r="FX102">
        <v>109</v>
      </c>
      <c r="FY102">
        <v>57</v>
      </c>
      <c r="GD102">
        <v>1</v>
      </c>
      <c r="GF102">
        <v>1276428827</v>
      </c>
      <c r="GG102">
        <v>2</v>
      </c>
      <c r="GH102">
        <v>1</v>
      </c>
      <c r="GI102">
        <v>2</v>
      </c>
      <c r="GJ102">
        <v>0</v>
      </c>
      <c r="GK102">
        <v>0</v>
      </c>
      <c r="GL102">
        <f t="shared" si="90"/>
        <v>0</v>
      </c>
      <c r="GM102">
        <f t="shared" si="91"/>
        <v>2043</v>
      </c>
      <c r="GN102">
        <f t="shared" si="92"/>
        <v>2043</v>
      </c>
      <c r="GO102">
        <f t="shared" si="93"/>
        <v>0</v>
      </c>
      <c r="GP102">
        <f t="shared" si="94"/>
        <v>0</v>
      </c>
      <c r="GR102">
        <v>0</v>
      </c>
      <c r="GS102">
        <v>0</v>
      </c>
      <c r="GT102">
        <v>0</v>
      </c>
      <c r="GV102">
        <f t="shared" si="95"/>
        <v>0</v>
      </c>
      <c r="GW102">
        <v>1</v>
      </c>
      <c r="GX102">
        <f t="shared" si="96"/>
        <v>0</v>
      </c>
      <c r="HA102">
        <v>0</v>
      </c>
      <c r="HB102">
        <v>0</v>
      </c>
      <c r="HC102">
        <f t="shared" si="97"/>
        <v>0</v>
      </c>
      <c r="HN102" t="s">
        <v>120</v>
      </c>
      <c r="HO102" t="s">
        <v>121</v>
      </c>
      <c r="HP102" t="s">
        <v>117</v>
      </c>
      <c r="HQ102" t="s">
        <v>117</v>
      </c>
      <c r="IK102">
        <v>0</v>
      </c>
    </row>
    <row r="103" spans="1:255" ht="12.75">
      <c r="A103" s="2">
        <v>18</v>
      </c>
      <c r="B103" s="2">
        <v>1</v>
      </c>
      <c r="C103" s="2">
        <v>92</v>
      </c>
      <c r="D103" s="2"/>
      <c r="E103" s="2" t="s">
        <v>182</v>
      </c>
      <c r="F103" s="2" t="s">
        <v>176</v>
      </c>
      <c r="G103" s="2" t="s">
        <v>177</v>
      </c>
      <c r="H103" s="2" t="s">
        <v>173</v>
      </c>
      <c r="I103" s="2">
        <f>I99*J103</f>
        <v>18.56</v>
      </c>
      <c r="J103" s="2">
        <v>115.99999999999999</v>
      </c>
      <c r="K103" s="2">
        <v>116</v>
      </c>
      <c r="L103" s="2"/>
      <c r="M103" s="2"/>
      <c r="N103" s="2"/>
      <c r="O103" s="2">
        <f aca="true" t="shared" si="108" ref="O103:O124">ROUND(CP103,0)</f>
        <v>367</v>
      </c>
      <c r="P103" s="2">
        <f aca="true" t="shared" si="109" ref="P103:P124">ROUND(CQ103*I103,0)</f>
        <v>367</v>
      </c>
      <c r="Q103" s="2">
        <f aca="true" t="shared" si="110" ref="Q103:Q124">ROUND(CR103*I103,0)</f>
        <v>0</v>
      </c>
      <c r="R103" s="2">
        <f aca="true" t="shared" si="111" ref="R103:R124">ROUND(CS103*I103,0)</f>
        <v>0</v>
      </c>
      <c r="S103" s="2">
        <f aca="true" t="shared" si="112" ref="S103:S124">ROUND(CT103*I103,0)</f>
        <v>0</v>
      </c>
      <c r="T103" s="2">
        <f aca="true" t="shared" si="113" ref="T103:T124">ROUND(CU103*I103,0)</f>
        <v>0</v>
      </c>
      <c r="U103" s="2">
        <f aca="true" t="shared" si="114" ref="U103:U124">CV103*I103</f>
        <v>0</v>
      </c>
      <c r="V103" s="2">
        <f aca="true" t="shared" si="115" ref="V103:V124">CW103*I103</f>
        <v>0</v>
      </c>
      <c r="W103" s="2">
        <f aca="true" t="shared" si="116" ref="W103:W124">ROUND(CX103*I103,0)</f>
        <v>0</v>
      </c>
      <c r="X103" s="2">
        <f aca="true" t="shared" si="117" ref="X103:X124">ROUND(CY103,0)</f>
        <v>0</v>
      </c>
      <c r="Y103" s="2">
        <f aca="true" t="shared" si="118" ref="Y103:Y124">ROUND(CZ103,0)</f>
        <v>0</v>
      </c>
      <c r="Z103" s="2"/>
      <c r="AA103" s="2">
        <v>55110074</v>
      </c>
      <c r="AB103" s="2">
        <f aca="true" t="shared" si="119" ref="AB103:AB124">ROUND((AC103+AD103+AF103),2)</f>
        <v>19.75</v>
      </c>
      <c r="AC103" s="2">
        <f t="shared" si="98"/>
        <v>19.75</v>
      </c>
      <c r="AD103" s="2">
        <f>ROUND((((ET103)-(EU103))+AE103),2)</f>
        <v>0</v>
      </c>
      <c r="AE103" s="2">
        <f t="shared" si="106"/>
        <v>0</v>
      </c>
      <c r="AF103" s="2">
        <f t="shared" si="106"/>
        <v>0</v>
      </c>
      <c r="AG103" s="2">
        <f aca="true" t="shared" si="120" ref="AG103:AG124">ROUND((AP103),2)</f>
        <v>0</v>
      </c>
      <c r="AH103" s="2">
        <f t="shared" si="107"/>
        <v>0</v>
      </c>
      <c r="AI103" s="2">
        <f t="shared" si="107"/>
        <v>0</v>
      </c>
      <c r="AJ103" s="2">
        <f aca="true" t="shared" si="121" ref="AJ103:AJ124">(AS103)</f>
        <v>0</v>
      </c>
      <c r="AK103" s="2">
        <v>19.75</v>
      </c>
      <c r="AL103" s="2">
        <v>19.75</v>
      </c>
      <c r="AM103" s="2">
        <v>0</v>
      </c>
      <c r="AN103" s="2">
        <v>0</v>
      </c>
      <c r="AO103" s="2">
        <v>0</v>
      </c>
      <c r="AP103" s="2">
        <v>0</v>
      </c>
      <c r="AQ103" s="2">
        <v>0</v>
      </c>
      <c r="AR103" s="2">
        <v>0</v>
      </c>
      <c r="AS103" s="2">
        <v>0</v>
      </c>
      <c r="AT103" s="2">
        <v>109</v>
      </c>
      <c r="AU103" s="2">
        <v>57</v>
      </c>
      <c r="AV103" s="2">
        <v>1</v>
      </c>
      <c r="AW103" s="2">
        <v>1</v>
      </c>
      <c r="AX103" s="2"/>
      <c r="AY103" s="2"/>
      <c r="AZ103" s="2">
        <v>1</v>
      </c>
      <c r="BA103" s="2">
        <v>1</v>
      </c>
      <c r="BB103" s="2">
        <v>1</v>
      </c>
      <c r="BC103" s="2">
        <v>1</v>
      </c>
      <c r="BD103" s="2" t="s">
        <v>3</v>
      </c>
      <c r="BE103" s="2" t="s">
        <v>3</v>
      </c>
      <c r="BF103" s="2" t="s">
        <v>3</v>
      </c>
      <c r="BG103" s="2" t="s">
        <v>3</v>
      </c>
      <c r="BH103" s="2">
        <v>3</v>
      </c>
      <c r="BI103" s="2">
        <v>1</v>
      </c>
      <c r="BJ103" s="2" t="s">
        <v>178</v>
      </c>
      <c r="BK103" s="2"/>
      <c r="BL103" s="2"/>
      <c r="BM103" s="2">
        <v>12001</v>
      </c>
      <c r="BN103" s="2">
        <v>0</v>
      </c>
      <c r="BO103" s="2" t="s">
        <v>3</v>
      </c>
      <c r="BP103" s="2">
        <v>0</v>
      </c>
      <c r="BQ103" s="2">
        <v>2</v>
      </c>
      <c r="BR103" s="2">
        <v>0</v>
      </c>
      <c r="BS103" s="2">
        <v>1</v>
      </c>
      <c r="BT103" s="2">
        <v>1</v>
      </c>
      <c r="BU103" s="2">
        <v>1</v>
      </c>
      <c r="BV103" s="2">
        <v>1</v>
      </c>
      <c r="BW103" s="2">
        <v>1</v>
      </c>
      <c r="BX103" s="2">
        <v>1</v>
      </c>
      <c r="BY103" s="2" t="s">
        <v>3</v>
      </c>
      <c r="BZ103" s="2">
        <v>109</v>
      </c>
      <c r="CA103" s="2">
        <v>57</v>
      </c>
      <c r="CB103" s="2" t="s">
        <v>3</v>
      </c>
      <c r="CC103" s="2"/>
      <c r="CD103" s="2"/>
      <c r="CE103" s="2">
        <v>0</v>
      </c>
      <c r="CF103" s="2">
        <v>0</v>
      </c>
      <c r="CG103" s="2">
        <v>0</v>
      </c>
      <c r="CH103" s="2"/>
      <c r="CI103" s="2"/>
      <c r="CJ103" s="2"/>
      <c r="CK103" s="2"/>
      <c r="CL103" s="2"/>
      <c r="CM103" s="2">
        <v>0</v>
      </c>
      <c r="CN103" s="2" t="s">
        <v>3</v>
      </c>
      <c r="CO103" s="2">
        <v>0</v>
      </c>
      <c r="CP103" s="2">
        <f aca="true" t="shared" si="122" ref="CP103:CP124">(P103+Q103+S103)</f>
        <v>367</v>
      </c>
      <c r="CQ103" s="2">
        <f aca="true" t="shared" si="123" ref="CQ103:CQ124">AC103*BC103</f>
        <v>19.75</v>
      </c>
      <c r="CR103" s="2">
        <f aca="true" t="shared" si="124" ref="CR103:CR124">AD103*BB103</f>
        <v>0</v>
      </c>
      <c r="CS103" s="2">
        <f aca="true" t="shared" si="125" ref="CS103:CS124">AE103*BS103</f>
        <v>0</v>
      </c>
      <c r="CT103" s="2">
        <f aca="true" t="shared" si="126" ref="CT103:CT124">AF103*BA103</f>
        <v>0</v>
      </c>
      <c r="CU103" s="2">
        <f aca="true" t="shared" si="127" ref="CU103:CU124">AG103</f>
        <v>0</v>
      </c>
      <c r="CV103" s="2">
        <f aca="true" t="shared" si="128" ref="CV103:CV124">AH103</f>
        <v>0</v>
      </c>
      <c r="CW103" s="2">
        <f aca="true" t="shared" si="129" ref="CW103:CW124">AI103</f>
        <v>0</v>
      </c>
      <c r="CX103" s="2">
        <f aca="true" t="shared" si="130" ref="CX103:CX124">AJ103</f>
        <v>0</v>
      </c>
      <c r="CY103" s="2">
        <f aca="true" t="shared" si="131" ref="CY103:CY124">(((S103+R103)*AT103)/100)</f>
        <v>0</v>
      </c>
      <c r="CZ103" s="2">
        <f aca="true" t="shared" si="132" ref="CZ103:CZ124">(((S103+R103)*AU103)/100)</f>
        <v>0</v>
      </c>
      <c r="DA103" s="2"/>
      <c r="DB103" s="2"/>
      <c r="DC103" s="2" t="s">
        <v>3</v>
      </c>
      <c r="DD103" s="2" t="s">
        <v>3</v>
      </c>
      <c r="DE103" s="2" t="s">
        <v>3</v>
      </c>
      <c r="DF103" s="2" t="s">
        <v>3</v>
      </c>
      <c r="DG103" s="2" t="s">
        <v>3</v>
      </c>
      <c r="DH103" s="2" t="s">
        <v>3</v>
      </c>
      <c r="DI103" s="2" t="s">
        <v>3</v>
      </c>
      <c r="DJ103" s="2" t="s">
        <v>3</v>
      </c>
      <c r="DK103" s="2" t="s">
        <v>3</v>
      </c>
      <c r="DL103" s="2" t="s">
        <v>3</v>
      </c>
      <c r="DM103" s="2" t="s">
        <v>3</v>
      </c>
      <c r="DN103" s="2">
        <v>0</v>
      </c>
      <c r="DO103" s="2">
        <v>0</v>
      </c>
      <c r="DP103" s="2">
        <v>1</v>
      </c>
      <c r="DQ103" s="2">
        <v>1</v>
      </c>
      <c r="DR103" s="2"/>
      <c r="DS103" s="2"/>
      <c r="DT103" s="2"/>
      <c r="DU103" s="2">
        <v>1005</v>
      </c>
      <c r="DV103" s="2" t="s">
        <v>173</v>
      </c>
      <c r="DW103" s="2" t="s">
        <v>173</v>
      </c>
      <c r="DX103" s="2">
        <v>1</v>
      </c>
      <c r="DY103" s="2"/>
      <c r="DZ103" s="2" t="s">
        <v>3</v>
      </c>
      <c r="EA103" s="2" t="s">
        <v>3</v>
      </c>
      <c r="EB103" s="2" t="s">
        <v>3</v>
      </c>
      <c r="EC103" s="2" t="s">
        <v>3</v>
      </c>
      <c r="ED103" s="2"/>
      <c r="EE103" s="2">
        <v>53507574</v>
      </c>
      <c r="EF103" s="2">
        <v>2</v>
      </c>
      <c r="EG103" s="2" t="s">
        <v>26</v>
      </c>
      <c r="EH103" s="2">
        <v>12</v>
      </c>
      <c r="EI103" s="2" t="s">
        <v>117</v>
      </c>
      <c r="EJ103" s="2">
        <v>1</v>
      </c>
      <c r="EK103" s="2">
        <v>12001</v>
      </c>
      <c r="EL103" s="2" t="s">
        <v>117</v>
      </c>
      <c r="EM103" s="2" t="s">
        <v>118</v>
      </c>
      <c r="EN103" s="2"/>
      <c r="EO103" s="2" t="s">
        <v>3</v>
      </c>
      <c r="EP103" s="2"/>
      <c r="EQ103" s="2">
        <v>0</v>
      </c>
      <c r="ER103" s="2">
        <v>19.75</v>
      </c>
      <c r="ES103" s="2">
        <v>19.75</v>
      </c>
      <c r="ET103" s="2">
        <v>0</v>
      </c>
      <c r="EU103" s="2">
        <v>0</v>
      </c>
      <c r="EV103" s="2">
        <v>0</v>
      </c>
      <c r="EW103" s="2">
        <v>0</v>
      </c>
      <c r="EX103" s="2">
        <v>0</v>
      </c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>
        <v>0</v>
      </c>
      <c r="FR103" s="2">
        <f aca="true" t="shared" si="133" ref="FR103:FR124">ROUND(IF(AND(BH103=3,BI103=3),P103,0),0)</f>
        <v>0</v>
      </c>
      <c r="FS103" s="2">
        <v>0</v>
      </c>
      <c r="FT103" s="2"/>
      <c r="FU103" s="2"/>
      <c r="FV103" s="2"/>
      <c r="FW103" s="2"/>
      <c r="FX103" s="2">
        <v>109</v>
      </c>
      <c r="FY103" s="2">
        <v>57</v>
      </c>
      <c r="FZ103" s="2"/>
      <c r="GA103" s="2" t="s">
        <v>3</v>
      </c>
      <c r="GB103" s="2"/>
      <c r="GC103" s="2"/>
      <c r="GD103" s="2">
        <v>1</v>
      </c>
      <c r="GE103" s="2"/>
      <c r="GF103" s="2">
        <v>-583407189</v>
      </c>
      <c r="GG103" s="2">
        <v>2</v>
      </c>
      <c r="GH103" s="2">
        <v>1</v>
      </c>
      <c r="GI103" s="2">
        <v>-2</v>
      </c>
      <c r="GJ103" s="2">
        <v>0</v>
      </c>
      <c r="GK103" s="2">
        <v>0</v>
      </c>
      <c r="GL103" s="2">
        <f aca="true" t="shared" si="134" ref="GL103:GL124">ROUND(IF(AND(BH103=3,BI103=3,FS103&lt;&gt;0),P103,0),0)</f>
        <v>0</v>
      </c>
      <c r="GM103" s="2">
        <f aca="true" t="shared" si="135" ref="GM103:GM124">ROUND(O103+X103+Y103,0)+GX103</f>
        <v>367</v>
      </c>
      <c r="GN103" s="2">
        <f aca="true" t="shared" si="136" ref="GN103:GN124">IF(OR(BI103=0,BI103=1),ROUND(O103+X103+Y103,0),0)</f>
        <v>367</v>
      </c>
      <c r="GO103" s="2">
        <f aca="true" t="shared" si="137" ref="GO103:GO124">IF(BI103=2,ROUND(O103+X103+Y103,0),0)</f>
        <v>0</v>
      </c>
      <c r="GP103" s="2">
        <f aca="true" t="shared" si="138" ref="GP103:GP124">IF(BI103=4,ROUND(O103+X103+Y103,0)+GX103,0)</f>
        <v>0</v>
      </c>
      <c r="GQ103" s="2"/>
      <c r="GR103" s="2">
        <v>0</v>
      </c>
      <c r="GS103" s="2">
        <v>0</v>
      </c>
      <c r="GT103" s="2">
        <v>0</v>
      </c>
      <c r="GU103" s="2" t="s">
        <v>3</v>
      </c>
      <c r="GV103" s="2">
        <f aca="true" t="shared" si="139" ref="GV103:GV124">ROUND((GT103),2)</f>
        <v>0</v>
      </c>
      <c r="GW103" s="2">
        <v>1</v>
      </c>
      <c r="GX103" s="2">
        <f aca="true" t="shared" si="140" ref="GX103:GX124">ROUND(HC103*I103,0)</f>
        <v>0</v>
      </c>
      <c r="GY103" s="2"/>
      <c r="GZ103" s="2"/>
      <c r="HA103" s="2">
        <v>0</v>
      </c>
      <c r="HB103" s="2">
        <v>0</v>
      </c>
      <c r="HC103" s="2">
        <f aca="true" t="shared" si="141" ref="HC103:HC124">GV103*GW103</f>
        <v>0</v>
      </c>
      <c r="HD103" s="2"/>
      <c r="HE103" s="2" t="s">
        <v>3</v>
      </c>
      <c r="HF103" s="2" t="s">
        <v>3</v>
      </c>
      <c r="HG103" s="2"/>
      <c r="HH103" s="2"/>
      <c r="HI103" s="2"/>
      <c r="HJ103" s="2"/>
      <c r="HK103" s="2"/>
      <c r="HL103" s="2"/>
      <c r="HM103" s="2" t="s">
        <v>3</v>
      </c>
      <c r="HN103" s="2" t="s">
        <v>120</v>
      </c>
      <c r="HO103" s="2" t="s">
        <v>121</v>
      </c>
      <c r="HP103" s="2" t="s">
        <v>117</v>
      </c>
      <c r="HQ103" s="2" t="s">
        <v>117</v>
      </c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>
        <v>0</v>
      </c>
      <c r="IL103" s="2"/>
      <c r="IM103" s="2"/>
      <c r="IN103" s="2"/>
      <c r="IO103" s="2"/>
      <c r="IP103" s="2"/>
      <c r="IQ103" s="2"/>
      <c r="IR103" s="2"/>
      <c r="IS103" s="2"/>
      <c r="IT103" s="2"/>
      <c r="IU103" s="2"/>
    </row>
    <row r="104" spans="1:245" ht="12.75">
      <c r="A104">
        <v>18</v>
      </c>
      <c r="B104">
        <v>1</v>
      </c>
      <c r="C104">
        <v>100</v>
      </c>
      <c r="E104" t="s">
        <v>182</v>
      </c>
      <c r="F104" t="s">
        <v>176</v>
      </c>
      <c r="G104" t="s">
        <v>177</v>
      </c>
      <c r="H104" t="s">
        <v>173</v>
      </c>
      <c r="I104">
        <f>I100*J104</f>
        <v>18.56</v>
      </c>
      <c r="J104">
        <v>115.99999999999999</v>
      </c>
      <c r="K104">
        <v>116</v>
      </c>
      <c r="O104">
        <f t="shared" si="108"/>
        <v>2210</v>
      </c>
      <c r="P104">
        <f t="shared" si="109"/>
        <v>2210</v>
      </c>
      <c r="Q104">
        <f t="shared" si="110"/>
        <v>0</v>
      </c>
      <c r="R104">
        <f t="shared" si="111"/>
        <v>0</v>
      </c>
      <c r="S104">
        <f t="shared" si="112"/>
        <v>0</v>
      </c>
      <c r="T104">
        <f t="shared" si="113"/>
        <v>0</v>
      </c>
      <c r="U104">
        <f t="shared" si="114"/>
        <v>0</v>
      </c>
      <c r="V104">
        <f t="shared" si="115"/>
        <v>0</v>
      </c>
      <c r="W104">
        <f t="shared" si="116"/>
        <v>0</v>
      </c>
      <c r="X104">
        <f t="shared" si="117"/>
        <v>0</v>
      </c>
      <c r="Y104">
        <f t="shared" si="118"/>
        <v>0</v>
      </c>
      <c r="AA104">
        <v>55110083</v>
      </c>
      <c r="AB104">
        <f t="shared" si="119"/>
        <v>19.75</v>
      </c>
      <c r="AC104">
        <f t="shared" si="98"/>
        <v>19.75</v>
      </c>
      <c r="AD104">
        <f>ROUND((((ET104)-(EU104))+AE104),2)</f>
        <v>0</v>
      </c>
      <c r="AE104">
        <f t="shared" si="106"/>
        <v>0</v>
      </c>
      <c r="AF104">
        <f t="shared" si="106"/>
        <v>0</v>
      </c>
      <c r="AG104">
        <f t="shared" si="120"/>
        <v>0</v>
      </c>
      <c r="AH104">
        <f t="shared" si="107"/>
        <v>0</v>
      </c>
      <c r="AI104">
        <f t="shared" si="107"/>
        <v>0</v>
      </c>
      <c r="AJ104">
        <f t="shared" si="121"/>
        <v>0</v>
      </c>
      <c r="AK104">
        <v>19.75</v>
      </c>
      <c r="AL104">
        <v>19.75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v>109</v>
      </c>
      <c r="AU104">
        <v>57</v>
      </c>
      <c r="AV104">
        <v>1</v>
      </c>
      <c r="AW104">
        <v>1</v>
      </c>
      <c r="AZ104">
        <v>1</v>
      </c>
      <c r="BA104">
        <v>1</v>
      </c>
      <c r="BB104">
        <v>1</v>
      </c>
      <c r="BC104">
        <v>6.03</v>
      </c>
      <c r="BH104">
        <v>3</v>
      </c>
      <c r="BI104">
        <v>1</v>
      </c>
      <c r="BJ104" t="s">
        <v>178</v>
      </c>
      <c r="BM104">
        <v>12001</v>
      </c>
      <c r="BN104">
        <v>0</v>
      </c>
      <c r="BO104" t="s">
        <v>176</v>
      </c>
      <c r="BP104">
        <v>1</v>
      </c>
      <c r="BQ104">
        <v>2</v>
      </c>
      <c r="BR104">
        <v>0</v>
      </c>
      <c r="BS104">
        <v>1</v>
      </c>
      <c r="BT104">
        <v>1</v>
      </c>
      <c r="BU104">
        <v>1</v>
      </c>
      <c r="BV104">
        <v>1</v>
      </c>
      <c r="BW104">
        <v>1</v>
      </c>
      <c r="BX104">
        <v>1</v>
      </c>
      <c r="BZ104">
        <v>109</v>
      </c>
      <c r="CA104">
        <v>57</v>
      </c>
      <c r="CE104">
        <v>0</v>
      </c>
      <c r="CF104">
        <v>0</v>
      </c>
      <c r="CG104">
        <v>0</v>
      </c>
      <c r="CM104">
        <v>0</v>
      </c>
      <c r="CO104">
        <v>0</v>
      </c>
      <c r="CP104">
        <f t="shared" si="122"/>
        <v>2210</v>
      </c>
      <c r="CQ104">
        <f t="shared" si="123"/>
        <v>119.0925</v>
      </c>
      <c r="CR104">
        <f t="shared" si="124"/>
        <v>0</v>
      </c>
      <c r="CS104">
        <f t="shared" si="125"/>
        <v>0</v>
      </c>
      <c r="CT104">
        <f t="shared" si="126"/>
        <v>0</v>
      </c>
      <c r="CU104">
        <f t="shared" si="127"/>
        <v>0</v>
      </c>
      <c r="CV104">
        <f t="shared" si="128"/>
        <v>0</v>
      </c>
      <c r="CW104">
        <f t="shared" si="129"/>
        <v>0</v>
      </c>
      <c r="CX104">
        <f t="shared" si="130"/>
        <v>0</v>
      </c>
      <c r="CY104">
        <f t="shared" si="131"/>
        <v>0</v>
      </c>
      <c r="CZ104">
        <f t="shared" si="132"/>
        <v>0</v>
      </c>
      <c r="DN104">
        <v>0</v>
      </c>
      <c r="DO104">
        <v>0</v>
      </c>
      <c r="DP104">
        <v>1</v>
      </c>
      <c r="DQ104">
        <v>1</v>
      </c>
      <c r="DU104">
        <v>1005</v>
      </c>
      <c r="DV104" t="s">
        <v>173</v>
      </c>
      <c r="DW104" t="s">
        <v>173</v>
      </c>
      <c r="DX104">
        <v>1</v>
      </c>
      <c r="EE104">
        <v>53507574</v>
      </c>
      <c r="EF104">
        <v>2</v>
      </c>
      <c r="EG104" t="s">
        <v>26</v>
      </c>
      <c r="EH104">
        <v>12</v>
      </c>
      <c r="EI104" t="s">
        <v>117</v>
      </c>
      <c r="EJ104">
        <v>1</v>
      </c>
      <c r="EK104">
        <v>12001</v>
      </c>
      <c r="EL104" t="s">
        <v>117</v>
      </c>
      <c r="EM104" t="s">
        <v>118</v>
      </c>
      <c r="EQ104">
        <v>0</v>
      </c>
      <c r="ER104">
        <v>19.75</v>
      </c>
      <c r="ES104">
        <v>19.75</v>
      </c>
      <c r="ET104">
        <v>0</v>
      </c>
      <c r="EU104">
        <v>0</v>
      </c>
      <c r="EV104">
        <v>0</v>
      </c>
      <c r="EW104">
        <v>0</v>
      </c>
      <c r="EX104">
        <v>0</v>
      </c>
      <c r="FQ104">
        <v>0</v>
      </c>
      <c r="FR104">
        <f t="shared" si="133"/>
        <v>0</v>
      </c>
      <c r="FS104">
        <v>0</v>
      </c>
      <c r="FX104">
        <v>109</v>
      </c>
      <c r="FY104">
        <v>57</v>
      </c>
      <c r="GD104">
        <v>1</v>
      </c>
      <c r="GF104">
        <v>-583407189</v>
      </c>
      <c r="GG104">
        <v>2</v>
      </c>
      <c r="GH104">
        <v>1</v>
      </c>
      <c r="GI104">
        <v>2</v>
      </c>
      <c r="GJ104">
        <v>0</v>
      </c>
      <c r="GK104">
        <v>0</v>
      </c>
      <c r="GL104">
        <f t="shared" si="134"/>
        <v>0</v>
      </c>
      <c r="GM104">
        <f t="shared" si="135"/>
        <v>2210</v>
      </c>
      <c r="GN104">
        <f t="shared" si="136"/>
        <v>2210</v>
      </c>
      <c r="GO104">
        <f t="shared" si="137"/>
        <v>0</v>
      </c>
      <c r="GP104">
        <f t="shared" si="138"/>
        <v>0</v>
      </c>
      <c r="GR104">
        <v>0</v>
      </c>
      <c r="GS104">
        <v>0</v>
      </c>
      <c r="GT104">
        <v>0</v>
      </c>
      <c r="GV104">
        <f t="shared" si="139"/>
        <v>0</v>
      </c>
      <c r="GW104">
        <v>1</v>
      </c>
      <c r="GX104">
        <f t="shared" si="140"/>
        <v>0</v>
      </c>
      <c r="HA104">
        <v>0</v>
      </c>
      <c r="HB104">
        <v>0</v>
      </c>
      <c r="HC104">
        <f t="shared" si="141"/>
        <v>0</v>
      </c>
      <c r="HN104" t="s">
        <v>120</v>
      </c>
      <c r="HO104" t="s">
        <v>121</v>
      </c>
      <c r="HP104" t="s">
        <v>117</v>
      </c>
      <c r="HQ104" t="s">
        <v>117</v>
      </c>
      <c r="IK104">
        <v>0</v>
      </c>
    </row>
    <row r="105" spans="1:255" ht="12.75">
      <c r="A105" s="2">
        <v>17</v>
      </c>
      <c r="B105" s="2">
        <v>1</v>
      </c>
      <c r="C105" s="2">
        <f>ROW(SmtRes!A109)</f>
        <v>109</v>
      </c>
      <c r="D105" s="2">
        <f>ROW(EtalonRes!A108)</f>
        <v>108</v>
      </c>
      <c r="E105" s="2" t="s">
        <v>183</v>
      </c>
      <c r="F105" s="2" t="s">
        <v>184</v>
      </c>
      <c r="G105" s="2" t="s">
        <v>185</v>
      </c>
      <c r="H105" s="2" t="s">
        <v>186</v>
      </c>
      <c r="I105" s="2">
        <f>ROUND(150/100,7)</f>
        <v>1.5</v>
      </c>
      <c r="J105" s="2">
        <v>0</v>
      </c>
      <c r="K105" s="2">
        <f>ROUND(150/100,7)</f>
        <v>1.5</v>
      </c>
      <c r="L105" s="2"/>
      <c r="M105" s="2"/>
      <c r="N105" s="2"/>
      <c r="O105" s="2">
        <f t="shared" si="108"/>
        <v>1395</v>
      </c>
      <c r="P105" s="2">
        <f t="shared" si="109"/>
        <v>694</v>
      </c>
      <c r="Q105" s="2">
        <f t="shared" si="110"/>
        <v>139</v>
      </c>
      <c r="R105" s="2">
        <f t="shared" si="111"/>
        <v>21</v>
      </c>
      <c r="S105" s="2">
        <f t="shared" si="112"/>
        <v>562</v>
      </c>
      <c r="T105" s="2">
        <f t="shared" si="113"/>
        <v>0</v>
      </c>
      <c r="U105" s="2">
        <f t="shared" si="114"/>
        <v>61.2375</v>
      </c>
      <c r="V105" s="2">
        <f t="shared" si="115"/>
        <v>1.6124999999999998</v>
      </c>
      <c r="W105" s="2">
        <f t="shared" si="116"/>
        <v>0</v>
      </c>
      <c r="X105" s="2">
        <f t="shared" si="117"/>
        <v>635</v>
      </c>
      <c r="Y105" s="2">
        <f t="shared" si="118"/>
        <v>332</v>
      </c>
      <c r="Z105" s="2"/>
      <c r="AA105" s="2">
        <v>55110074</v>
      </c>
      <c r="AB105" s="2">
        <f t="shared" si="119"/>
        <v>930.35</v>
      </c>
      <c r="AC105" s="2">
        <f t="shared" si="98"/>
        <v>462.96</v>
      </c>
      <c r="AD105" s="2">
        <f>ROUND(((((ET105*ROUND(1.25,7)))-((EU105*ROUND(1.25,7))))+AE105),2)</f>
        <v>92.62</v>
      </c>
      <c r="AE105" s="2">
        <f>ROUND(((EU105*ROUND(1.25,7))),2)</f>
        <v>14.16</v>
      </c>
      <c r="AF105" s="2">
        <f>ROUND(((EV105*ROUND(1.15,7))),2)</f>
        <v>374.77</v>
      </c>
      <c r="AG105" s="2">
        <f t="shared" si="120"/>
        <v>0</v>
      </c>
      <c r="AH105" s="2">
        <f>((EW105*ROUND(1.15,7)))</f>
        <v>40.824999999999996</v>
      </c>
      <c r="AI105" s="2">
        <f>((EX105*ROUND(1.25,7)))</f>
        <v>1.075</v>
      </c>
      <c r="AJ105" s="2">
        <f t="shared" si="121"/>
        <v>0</v>
      </c>
      <c r="AK105" s="2">
        <v>862.95</v>
      </c>
      <c r="AL105" s="2">
        <v>462.96</v>
      </c>
      <c r="AM105" s="2">
        <v>74.1</v>
      </c>
      <c r="AN105" s="2">
        <v>11.33</v>
      </c>
      <c r="AO105" s="2">
        <v>325.89</v>
      </c>
      <c r="AP105" s="2">
        <v>0</v>
      </c>
      <c r="AQ105" s="2">
        <v>35.5</v>
      </c>
      <c r="AR105" s="2">
        <v>0.86</v>
      </c>
      <c r="AS105" s="2">
        <v>0</v>
      </c>
      <c r="AT105" s="2">
        <v>109</v>
      </c>
      <c r="AU105" s="2">
        <v>57</v>
      </c>
      <c r="AV105" s="2">
        <v>1</v>
      </c>
      <c r="AW105" s="2">
        <v>1</v>
      </c>
      <c r="AX105" s="2"/>
      <c r="AY105" s="2"/>
      <c r="AZ105" s="2">
        <v>1</v>
      </c>
      <c r="BA105" s="2">
        <v>1</v>
      </c>
      <c r="BB105" s="2">
        <v>1</v>
      </c>
      <c r="BC105" s="2">
        <v>1</v>
      </c>
      <c r="BD105" s="2" t="s">
        <v>3</v>
      </c>
      <c r="BE105" s="2" t="s">
        <v>3</v>
      </c>
      <c r="BF105" s="2" t="s">
        <v>3</v>
      </c>
      <c r="BG105" s="2" t="s">
        <v>3</v>
      </c>
      <c r="BH105" s="2">
        <v>0</v>
      </c>
      <c r="BI105" s="2">
        <v>1</v>
      </c>
      <c r="BJ105" s="2" t="s">
        <v>187</v>
      </c>
      <c r="BK105" s="2"/>
      <c r="BL105" s="2"/>
      <c r="BM105" s="2">
        <v>12001</v>
      </c>
      <c r="BN105" s="2">
        <v>0</v>
      </c>
      <c r="BO105" s="2" t="s">
        <v>3</v>
      </c>
      <c r="BP105" s="2">
        <v>0</v>
      </c>
      <c r="BQ105" s="2">
        <v>2</v>
      </c>
      <c r="BR105" s="2">
        <v>0</v>
      </c>
      <c r="BS105" s="2">
        <v>1</v>
      </c>
      <c r="BT105" s="2">
        <v>1</v>
      </c>
      <c r="BU105" s="2">
        <v>1</v>
      </c>
      <c r="BV105" s="2">
        <v>1</v>
      </c>
      <c r="BW105" s="2">
        <v>1</v>
      </c>
      <c r="BX105" s="2">
        <v>1</v>
      </c>
      <c r="BY105" s="2" t="s">
        <v>3</v>
      </c>
      <c r="BZ105" s="2">
        <v>109</v>
      </c>
      <c r="CA105" s="2">
        <v>57</v>
      </c>
      <c r="CB105" s="2" t="s">
        <v>3</v>
      </c>
      <c r="CC105" s="2"/>
      <c r="CD105" s="2"/>
      <c r="CE105" s="2">
        <v>0</v>
      </c>
      <c r="CF105" s="2">
        <v>0</v>
      </c>
      <c r="CG105" s="2">
        <v>0</v>
      </c>
      <c r="CH105" s="2"/>
      <c r="CI105" s="2"/>
      <c r="CJ105" s="2"/>
      <c r="CK105" s="2"/>
      <c r="CL105" s="2"/>
      <c r="CM105" s="2">
        <v>0</v>
      </c>
      <c r="CN105" s="2" t="s">
        <v>114</v>
      </c>
      <c r="CO105" s="2">
        <v>0</v>
      </c>
      <c r="CP105" s="2">
        <f t="shared" si="122"/>
        <v>1395</v>
      </c>
      <c r="CQ105" s="2">
        <f t="shared" si="123"/>
        <v>462.96</v>
      </c>
      <c r="CR105" s="2">
        <f t="shared" si="124"/>
        <v>92.62</v>
      </c>
      <c r="CS105" s="2">
        <f t="shared" si="125"/>
        <v>14.16</v>
      </c>
      <c r="CT105" s="2">
        <f t="shared" si="126"/>
        <v>374.77</v>
      </c>
      <c r="CU105" s="2">
        <f t="shared" si="127"/>
        <v>0</v>
      </c>
      <c r="CV105" s="2">
        <f t="shared" si="128"/>
        <v>40.824999999999996</v>
      </c>
      <c r="CW105" s="2">
        <f t="shared" si="129"/>
        <v>1.075</v>
      </c>
      <c r="CX105" s="2">
        <f t="shared" si="130"/>
        <v>0</v>
      </c>
      <c r="CY105" s="2">
        <f t="shared" si="131"/>
        <v>635.47</v>
      </c>
      <c r="CZ105" s="2">
        <f t="shared" si="132"/>
        <v>332.31</v>
      </c>
      <c r="DA105" s="2"/>
      <c r="DB105" s="2"/>
      <c r="DC105" s="2" t="s">
        <v>3</v>
      </c>
      <c r="DD105" s="2" t="s">
        <v>3</v>
      </c>
      <c r="DE105" s="2" t="s">
        <v>115</v>
      </c>
      <c r="DF105" s="2" t="s">
        <v>115</v>
      </c>
      <c r="DG105" s="2" t="s">
        <v>116</v>
      </c>
      <c r="DH105" s="2" t="s">
        <v>3</v>
      </c>
      <c r="DI105" s="2" t="s">
        <v>116</v>
      </c>
      <c r="DJ105" s="2" t="s">
        <v>115</v>
      </c>
      <c r="DK105" s="2" t="s">
        <v>3</v>
      </c>
      <c r="DL105" s="2" t="s">
        <v>3</v>
      </c>
      <c r="DM105" s="2" t="s">
        <v>3</v>
      </c>
      <c r="DN105" s="2">
        <v>0</v>
      </c>
      <c r="DO105" s="2">
        <v>0</v>
      </c>
      <c r="DP105" s="2">
        <v>1</v>
      </c>
      <c r="DQ105" s="2">
        <v>1</v>
      </c>
      <c r="DR105" s="2"/>
      <c r="DS105" s="2"/>
      <c r="DT105" s="2"/>
      <c r="DU105" s="2">
        <v>1003</v>
      </c>
      <c r="DV105" s="2" t="s">
        <v>186</v>
      </c>
      <c r="DW105" s="2" t="s">
        <v>186</v>
      </c>
      <c r="DX105" s="2">
        <v>100</v>
      </c>
      <c r="DY105" s="2"/>
      <c r="DZ105" s="2" t="s">
        <v>3</v>
      </c>
      <c r="EA105" s="2" t="s">
        <v>3</v>
      </c>
      <c r="EB105" s="2" t="s">
        <v>3</v>
      </c>
      <c r="EC105" s="2" t="s">
        <v>3</v>
      </c>
      <c r="ED105" s="2"/>
      <c r="EE105" s="2">
        <v>53507574</v>
      </c>
      <c r="EF105" s="2">
        <v>2</v>
      </c>
      <c r="EG105" s="2" t="s">
        <v>26</v>
      </c>
      <c r="EH105" s="2">
        <v>12</v>
      </c>
      <c r="EI105" s="2" t="s">
        <v>117</v>
      </c>
      <c r="EJ105" s="2">
        <v>1</v>
      </c>
      <c r="EK105" s="2">
        <v>12001</v>
      </c>
      <c r="EL105" s="2" t="s">
        <v>117</v>
      </c>
      <c r="EM105" s="2" t="s">
        <v>118</v>
      </c>
      <c r="EN105" s="2"/>
      <c r="EO105" s="2" t="s">
        <v>119</v>
      </c>
      <c r="EP105" s="2"/>
      <c r="EQ105" s="2">
        <v>0</v>
      </c>
      <c r="ER105" s="2">
        <v>862.95</v>
      </c>
      <c r="ES105" s="2">
        <v>462.96</v>
      </c>
      <c r="ET105" s="2">
        <v>74.1</v>
      </c>
      <c r="EU105" s="2">
        <v>11.33</v>
      </c>
      <c r="EV105" s="2">
        <v>325.89</v>
      </c>
      <c r="EW105" s="2">
        <v>35.5</v>
      </c>
      <c r="EX105" s="2">
        <v>0.86</v>
      </c>
      <c r="EY105" s="2">
        <v>0</v>
      </c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>
        <v>0</v>
      </c>
      <c r="FR105" s="2">
        <f t="shared" si="133"/>
        <v>0</v>
      </c>
      <c r="FS105" s="2">
        <v>0</v>
      </c>
      <c r="FT105" s="2"/>
      <c r="FU105" s="2"/>
      <c r="FV105" s="2"/>
      <c r="FW105" s="2"/>
      <c r="FX105" s="2">
        <v>109</v>
      </c>
      <c r="FY105" s="2">
        <v>57</v>
      </c>
      <c r="FZ105" s="2"/>
      <c r="GA105" s="2" t="s">
        <v>3</v>
      </c>
      <c r="GB105" s="2"/>
      <c r="GC105" s="2"/>
      <c r="GD105" s="2">
        <v>1</v>
      </c>
      <c r="GE105" s="2"/>
      <c r="GF105" s="2">
        <v>-1864786265</v>
      </c>
      <c r="GG105" s="2">
        <v>2</v>
      </c>
      <c r="GH105" s="2">
        <v>1</v>
      </c>
      <c r="GI105" s="2">
        <v>-2</v>
      </c>
      <c r="GJ105" s="2">
        <v>0</v>
      </c>
      <c r="GK105" s="2">
        <v>0</v>
      </c>
      <c r="GL105" s="2">
        <f t="shared" si="134"/>
        <v>0</v>
      </c>
      <c r="GM105" s="2">
        <f t="shared" si="135"/>
        <v>2362</v>
      </c>
      <c r="GN105" s="2">
        <f t="shared" si="136"/>
        <v>2362</v>
      </c>
      <c r="GO105" s="2">
        <f t="shared" si="137"/>
        <v>0</v>
      </c>
      <c r="GP105" s="2">
        <f t="shared" si="138"/>
        <v>0</v>
      </c>
      <c r="GQ105" s="2"/>
      <c r="GR105" s="2">
        <v>0</v>
      </c>
      <c r="GS105" s="2">
        <v>0</v>
      </c>
      <c r="GT105" s="2">
        <v>0</v>
      </c>
      <c r="GU105" s="2" t="s">
        <v>3</v>
      </c>
      <c r="GV105" s="2">
        <f t="shared" si="139"/>
        <v>0</v>
      </c>
      <c r="GW105" s="2">
        <v>1</v>
      </c>
      <c r="GX105" s="2">
        <f t="shared" si="140"/>
        <v>0</v>
      </c>
      <c r="GY105" s="2"/>
      <c r="GZ105" s="2"/>
      <c r="HA105" s="2">
        <v>0</v>
      </c>
      <c r="HB105" s="2">
        <v>0</v>
      </c>
      <c r="HC105" s="2">
        <f t="shared" si="141"/>
        <v>0</v>
      </c>
      <c r="HD105" s="2"/>
      <c r="HE105" s="2" t="s">
        <v>3</v>
      </c>
      <c r="HF105" s="2" t="s">
        <v>3</v>
      </c>
      <c r="HG105" s="2"/>
      <c r="HH105" s="2"/>
      <c r="HI105" s="2"/>
      <c r="HJ105" s="2"/>
      <c r="HK105" s="2"/>
      <c r="HL105" s="2"/>
      <c r="HM105" s="2" t="s">
        <v>3</v>
      </c>
      <c r="HN105" s="2" t="s">
        <v>120</v>
      </c>
      <c r="HO105" s="2" t="s">
        <v>121</v>
      </c>
      <c r="HP105" s="2" t="s">
        <v>117</v>
      </c>
      <c r="HQ105" s="2" t="s">
        <v>117</v>
      </c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>
        <v>0</v>
      </c>
      <c r="IL105" s="2"/>
      <c r="IM105" s="2"/>
      <c r="IN105" s="2"/>
      <c r="IO105" s="2"/>
      <c r="IP105" s="2"/>
      <c r="IQ105" s="2"/>
      <c r="IR105" s="2"/>
      <c r="IS105" s="2"/>
      <c r="IT105" s="2"/>
      <c r="IU105" s="2"/>
    </row>
    <row r="106" spans="1:245" ht="12.75">
      <c r="A106">
        <v>17</v>
      </c>
      <c r="B106">
        <v>1</v>
      </c>
      <c r="C106">
        <f>ROW(SmtRes!A118)</f>
        <v>118</v>
      </c>
      <c r="D106">
        <f>ROW(EtalonRes!A116)</f>
        <v>116</v>
      </c>
      <c r="E106" t="s">
        <v>183</v>
      </c>
      <c r="F106" t="s">
        <v>184</v>
      </c>
      <c r="G106" t="s">
        <v>185</v>
      </c>
      <c r="H106" t="s">
        <v>186</v>
      </c>
      <c r="I106">
        <f>ROUND(150/100,7)</f>
        <v>1.5</v>
      </c>
      <c r="J106">
        <v>0</v>
      </c>
      <c r="K106">
        <f>ROUND(150/100,7)</f>
        <v>1.5</v>
      </c>
      <c r="O106">
        <f t="shared" si="108"/>
        <v>26810</v>
      </c>
      <c r="P106">
        <f t="shared" si="109"/>
        <v>5090</v>
      </c>
      <c r="Q106">
        <f t="shared" si="110"/>
        <v>1466</v>
      </c>
      <c r="R106">
        <f t="shared" si="111"/>
        <v>765</v>
      </c>
      <c r="S106">
        <f t="shared" si="112"/>
        <v>20254</v>
      </c>
      <c r="T106">
        <f t="shared" si="113"/>
        <v>0</v>
      </c>
      <c r="U106">
        <f t="shared" si="114"/>
        <v>61.2375</v>
      </c>
      <c r="V106">
        <f t="shared" si="115"/>
        <v>1.6124999999999998</v>
      </c>
      <c r="W106">
        <f t="shared" si="116"/>
        <v>0</v>
      </c>
      <c r="X106">
        <f t="shared" si="117"/>
        <v>22911</v>
      </c>
      <c r="Y106">
        <f t="shared" si="118"/>
        <v>11981</v>
      </c>
      <c r="AA106">
        <v>55110083</v>
      </c>
      <c r="AB106">
        <f t="shared" si="119"/>
        <v>930.35</v>
      </c>
      <c r="AC106">
        <f t="shared" si="98"/>
        <v>462.96</v>
      </c>
      <c r="AD106">
        <f>ROUND(((((ET106*ROUND(1.25,7)))-((EU106*ROUND(1.25,7))))+AE106),2)</f>
        <v>92.62</v>
      </c>
      <c r="AE106">
        <f>ROUND(((EU106*ROUND(1.25,7))),2)</f>
        <v>14.16</v>
      </c>
      <c r="AF106">
        <f>ROUND(((EV106*ROUND(1.15,7))),2)</f>
        <v>374.77</v>
      </c>
      <c r="AG106">
        <f t="shared" si="120"/>
        <v>0</v>
      </c>
      <c r="AH106">
        <f>((EW106*ROUND(1.15,7)))</f>
        <v>40.824999999999996</v>
      </c>
      <c r="AI106">
        <f>((EX106*ROUND(1.25,7)))</f>
        <v>1.075</v>
      </c>
      <c r="AJ106">
        <f t="shared" si="121"/>
        <v>0</v>
      </c>
      <c r="AK106">
        <v>862.95</v>
      </c>
      <c r="AL106">
        <v>462.96</v>
      </c>
      <c r="AM106">
        <v>74.1</v>
      </c>
      <c r="AN106">
        <v>11.33</v>
      </c>
      <c r="AO106">
        <v>325.89</v>
      </c>
      <c r="AP106">
        <v>0</v>
      </c>
      <c r="AQ106">
        <v>35.5</v>
      </c>
      <c r="AR106">
        <v>0.86</v>
      </c>
      <c r="AS106">
        <v>0</v>
      </c>
      <c r="AT106">
        <v>109</v>
      </c>
      <c r="AU106">
        <v>57</v>
      </c>
      <c r="AV106">
        <v>1</v>
      </c>
      <c r="AW106">
        <v>1</v>
      </c>
      <c r="AZ106">
        <v>1</v>
      </c>
      <c r="BA106">
        <v>36.03</v>
      </c>
      <c r="BB106">
        <v>10.55</v>
      </c>
      <c r="BC106">
        <v>7.33</v>
      </c>
      <c r="BH106">
        <v>0</v>
      </c>
      <c r="BI106">
        <v>1</v>
      </c>
      <c r="BJ106" t="s">
        <v>187</v>
      </c>
      <c r="BM106">
        <v>12001</v>
      </c>
      <c r="BN106">
        <v>0</v>
      </c>
      <c r="BO106" t="s">
        <v>184</v>
      </c>
      <c r="BP106">
        <v>1</v>
      </c>
      <c r="BQ106">
        <v>2</v>
      </c>
      <c r="BR106">
        <v>0</v>
      </c>
      <c r="BS106">
        <v>36.03</v>
      </c>
      <c r="BT106">
        <v>1</v>
      </c>
      <c r="BU106">
        <v>1</v>
      </c>
      <c r="BV106">
        <v>1</v>
      </c>
      <c r="BW106">
        <v>1</v>
      </c>
      <c r="BX106">
        <v>1</v>
      </c>
      <c r="BZ106">
        <v>109</v>
      </c>
      <c r="CA106">
        <v>57</v>
      </c>
      <c r="CE106">
        <v>0</v>
      </c>
      <c r="CF106">
        <v>0</v>
      </c>
      <c r="CG106">
        <v>0</v>
      </c>
      <c r="CM106">
        <v>0</v>
      </c>
      <c r="CN106" t="s">
        <v>114</v>
      </c>
      <c r="CO106">
        <v>0</v>
      </c>
      <c r="CP106">
        <f t="shared" si="122"/>
        <v>26810</v>
      </c>
      <c r="CQ106">
        <f t="shared" si="123"/>
        <v>3393.4968</v>
      </c>
      <c r="CR106">
        <f t="shared" si="124"/>
        <v>977.1410000000001</v>
      </c>
      <c r="CS106">
        <f t="shared" si="125"/>
        <v>510.1848</v>
      </c>
      <c r="CT106">
        <f t="shared" si="126"/>
        <v>13502.963099999999</v>
      </c>
      <c r="CU106">
        <f t="shared" si="127"/>
        <v>0</v>
      </c>
      <c r="CV106">
        <f t="shared" si="128"/>
        <v>40.824999999999996</v>
      </c>
      <c r="CW106">
        <f t="shared" si="129"/>
        <v>1.075</v>
      </c>
      <c r="CX106">
        <f t="shared" si="130"/>
        <v>0</v>
      </c>
      <c r="CY106">
        <f t="shared" si="131"/>
        <v>22910.71</v>
      </c>
      <c r="CZ106">
        <f t="shared" si="132"/>
        <v>11980.83</v>
      </c>
      <c r="DE106" t="s">
        <v>115</v>
      </c>
      <c r="DF106" t="s">
        <v>115</v>
      </c>
      <c r="DG106" t="s">
        <v>116</v>
      </c>
      <c r="DI106" t="s">
        <v>116</v>
      </c>
      <c r="DJ106" t="s">
        <v>115</v>
      </c>
      <c r="DN106">
        <v>0</v>
      </c>
      <c r="DO106">
        <v>0</v>
      </c>
      <c r="DP106">
        <v>1</v>
      </c>
      <c r="DQ106">
        <v>1</v>
      </c>
      <c r="DU106">
        <v>1003</v>
      </c>
      <c r="DV106" t="s">
        <v>186</v>
      </c>
      <c r="DW106" t="s">
        <v>186</v>
      </c>
      <c r="DX106">
        <v>100</v>
      </c>
      <c r="EE106">
        <v>53507574</v>
      </c>
      <c r="EF106">
        <v>2</v>
      </c>
      <c r="EG106" t="s">
        <v>26</v>
      </c>
      <c r="EH106">
        <v>12</v>
      </c>
      <c r="EI106" t="s">
        <v>117</v>
      </c>
      <c r="EJ106">
        <v>1</v>
      </c>
      <c r="EK106">
        <v>12001</v>
      </c>
      <c r="EL106" t="s">
        <v>117</v>
      </c>
      <c r="EM106" t="s">
        <v>118</v>
      </c>
      <c r="EO106" t="s">
        <v>119</v>
      </c>
      <c r="EQ106">
        <v>0</v>
      </c>
      <c r="ER106">
        <v>862.95</v>
      </c>
      <c r="ES106">
        <v>462.96</v>
      </c>
      <c r="ET106">
        <v>74.1</v>
      </c>
      <c r="EU106">
        <v>11.33</v>
      </c>
      <c r="EV106">
        <v>325.89</v>
      </c>
      <c r="EW106">
        <v>35.5</v>
      </c>
      <c r="EX106">
        <v>0.86</v>
      </c>
      <c r="EY106">
        <v>0</v>
      </c>
      <c r="FQ106">
        <v>0</v>
      </c>
      <c r="FR106">
        <f t="shared" si="133"/>
        <v>0</v>
      </c>
      <c r="FS106">
        <v>0</v>
      </c>
      <c r="FX106">
        <v>109</v>
      </c>
      <c r="FY106">
        <v>57</v>
      </c>
      <c r="GD106">
        <v>1</v>
      </c>
      <c r="GF106">
        <v>-1864786265</v>
      </c>
      <c r="GG106">
        <v>2</v>
      </c>
      <c r="GH106">
        <v>1</v>
      </c>
      <c r="GI106">
        <v>2</v>
      </c>
      <c r="GJ106">
        <v>0</v>
      </c>
      <c r="GK106">
        <v>0</v>
      </c>
      <c r="GL106">
        <f t="shared" si="134"/>
        <v>0</v>
      </c>
      <c r="GM106">
        <f t="shared" si="135"/>
        <v>61702</v>
      </c>
      <c r="GN106">
        <f t="shared" si="136"/>
        <v>61702</v>
      </c>
      <c r="GO106">
        <f t="shared" si="137"/>
        <v>0</v>
      </c>
      <c r="GP106">
        <f t="shared" si="138"/>
        <v>0</v>
      </c>
      <c r="GR106">
        <v>0</v>
      </c>
      <c r="GS106">
        <v>0</v>
      </c>
      <c r="GT106">
        <v>0</v>
      </c>
      <c r="GV106">
        <f t="shared" si="139"/>
        <v>0</v>
      </c>
      <c r="GW106">
        <v>1</v>
      </c>
      <c r="GX106">
        <f t="shared" si="140"/>
        <v>0</v>
      </c>
      <c r="HA106">
        <v>0</v>
      </c>
      <c r="HB106">
        <v>0</v>
      </c>
      <c r="HC106">
        <f t="shared" si="141"/>
        <v>0</v>
      </c>
      <c r="HN106" t="s">
        <v>120</v>
      </c>
      <c r="HO106" t="s">
        <v>121</v>
      </c>
      <c r="HP106" t="s">
        <v>117</v>
      </c>
      <c r="HQ106" t="s">
        <v>117</v>
      </c>
      <c r="IK106">
        <v>0</v>
      </c>
    </row>
    <row r="107" spans="1:255" ht="12.75">
      <c r="A107" s="2">
        <v>18</v>
      </c>
      <c r="B107" s="2">
        <v>1</v>
      </c>
      <c r="C107" s="2">
        <v>108</v>
      </c>
      <c r="D107" s="2"/>
      <c r="E107" s="2" t="s">
        <v>188</v>
      </c>
      <c r="F107" s="2" t="s">
        <v>171</v>
      </c>
      <c r="G107" s="2" t="s">
        <v>172</v>
      </c>
      <c r="H107" s="2" t="s">
        <v>173</v>
      </c>
      <c r="I107" s="2">
        <f>I105*J107</f>
        <v>171</v>
      </c>
      <c r="J107" s="2">
        <v>114</v>
      </c>
      <c r="K107" s="2">
        <v>114</v>
      </c>
      <c r="L107" s="2"/>
      <c r="M107" s="2"/>
      <c r="N107" s="2"/>
      <c r="O107" s="2">
        <f t="shared" si="108"/>
        <v>4742</v>
      </c>
      <c r="P107" s="2">
        <f t="shared" si="109"/>
        <v>4742</v>
      </c>
      <c r="Q107" s="2">
        <f t="shared" si="110"/>
        <v>0</v>
      </c>
      <c r="R107" s="2">
        <f t="shared" si="111"/>
        <v>0</v>
      </c>
      <c r="S107" s="2">
        <f t="shared" si="112"/>
        <v>0</v>
      </c>
      <c r="T107" s="2">
        <f t="shared" si="113"/>
        <v>0</v>
      </c>
      <c r="U107" s="2">
        <f t="shared" si="114"/>
        <v>0</v>
      </c>
      <c r="V107" s="2">
        <f t="shared" si="115"/>
        <v>0</v>
      </c>
      <c r="W107" s="2">
        <f t="shared" si="116"/>
        <v>0</v>
      </c>
      <c r="X107" s="2">
        <f t="shared" si="117"/>
        <v>0</v>
      </c>
      <c r="Y107" s="2">
        <f t="shared" si="118"/>
        <v>0</v>
      </c>
      <c r="Z107" s="2"/>
      <c r="AA107" s="2">
        <v>55110074</v>
      </c>
      <c r="AB107" s="2">
        <f t="shared" si="119"/>
        <v>27.73</v>
      </c>
      <c r="AC107" s="2">
        <f t="shared" si="98"/>
        <v>27.73</v>
      </c>
      <c r="AD107" s="2">
        <f aca="true" t="shared" si="142" ref="AD107:AD112">ROUND((((ET107)-(EU107))+AE107),2)</f>
        <v>0</v>
      </c>
      <c r="AE107" s="2">
        <f aca="true" t="shared" si="143" ref="AE107:AF112">ROUND((EU107),2)</f>
        <v>0</v>
      </c>
      <c r="AF107" s="2">
        <f t="shared" si="143"/>
        <v>0</v>
      </c>
      <c r="AG107" s="2">
        <f t="shared" si="120"/>
        <v>0</v>
      </c>
      <c r="AH107" s="2">
        <f aca="true" t="shared" si="144" ref="AH107:AI112">(EW107)</f>
        <v>0</v>
      </c>
      <c r="AI107" s="2">
        <f t="shared" si="144"/>
        <v>0</v>
      </c>
      <c r="AJ107" s="2">
        <f t="shared" si="121"/>
        <v>0</v>
      </c>
      <c r="AK107" s="2">
        <v>27.73</v>
      </c>
      <c r="AL107" s="2">
        <v>27.73</v>
      </c>
      <c r="AM107" s="2">
        <v>0</v>
      </c>
      <c r="AN107" s="2">
        <v>0</v>
      </c>
      <c r="AO107" s="2">
        <v>0</v>
      </c>
      <c r="AP107" s="2">
        <v>0</v>
      </c>
      <c r="AQ107" s="2">
        <v>0</v>
      </c>
      <c r="AR107" s="2">
        <v>0</v>
      </c>
      <c r="AS107" s="2">
        <v>0</v>
      </c>
      <c r="AT107" s="2">
        <v>109</v>
      </c>
      <c r="AU107" s="2">
        <v>57</v>
      </c>
      <c r="AV107" s="2">
        <v>1</v>
      </c>
      <c r="AW107" s="2">
        <v>1</v>
      </c>
      <c r="AX107" s="2"/>
      <c r="AY107" s="2"/>
      <c r="AZ107" s="2">
        <v>1</v>
      </c>
      <c r="BA107" s="2">
        <v>1</v>
      </c>
      <c r="BB107" s="2">
        <v>1</v>
      </c>
      <c r="BC107" s="2">
        <v>1</v>
      </c>
      <c r="BD107" s="2" t="s">
        <v>3</v>
      </c>
      <c r="BE107" s="2" t="s">
        <v>3</v>
      </c>
      <c r="BF107" s="2" t="s">
        <v>3</v>
      </c>
      <c r="BG107" s="2" t="s">
        <v>3</v>
      </c>
      <c r="BH107" s="2">
        <v>3</v>
      </c>
      <c r="BI107" s="2">
        <v>1</v>
      </c>
      <c r="BJ107" s="2" t="s">
        <v>174</v>
      </c>
      <c r="BK107" s="2"/>
      <c r="BL107" s="2"/>
      <c r="BM107" s="2">
        <v>12001</v>
      </c>
      <c r="BN107" s="2">
        <v>0</v>
      </c>
      <c r="BO107" s="2" t="s">
        <v>3</v>
      </c>
      <c r="BP107" s="2">
        <v>0</v>
      </c>
      <c r="BQ107" s="2">
        <v>2</v>
      </c>
      <c r="BR107" s="2">
        <v>0</v>
      </c>
      <c r="BS107" s="2">
        <v>1</v>
      </c>
      <c r="BT107" s="2">
        <v>1</v>
      </c>
      <c r="BU107" s="2">
        <v>1</v>
      </c>
      <c r="BV107" s="2">
        <v>1</v>
      </c>
      <c r="BW107" s="2">
        <v>1</v>
      </c>
      <c r="BX107" s="2">
        <v>1</v>
      </c>
      <c r="BY107" s="2" t="s">
        <v>3</v>
      </c>
      <c r="BZ107" s="2">
        <v>109</v>
      </c>
      <c r="CA107" s="2">
        <v>57</v>
      </c>
      <c r="CB107" s="2" t="s">
        <v>3</v>
      </c>
      <c r="CC107" s="2"/>
      <c r="CD107" s="2"/>
      <c r="CE107" s="2">
        <v>0</v>
      </c>
      <c r="CF107" s="2">
        <v>0</v>
      </c>
      <c r="CG107" s="2">
        <v>0</v>
      </c>
      <c r="CH107" s="2"/>
      <c r="CI107" s="2"/>
      <c r="CJ107" s="2"/>
      <c r="CK107" s="2"/>
      <c r="CL107" s="2"/>
      <c r="CM107" s="2">
        <v>0</v>
      </c>
      <c r="CN107" s="2" t="s">
        <v>3</v>
      </c>
      <c r="CO107" s="2">
        <v>0</v>
      </c>
      <c r="CP107" s="2">
        <f t="shared" si="122"/>
        <v>4742</v>
      </c>
      <c r="CQ107" s="2">
        <f t="shared" si="123"/>
        <v>27.73</v>
      </c>
      <c r="CR107" s="2">
        <f t="shared" si="124"/>
        <v>0</v>
      </c>
      <c r="CS107" s="2">
        <f t="shared" si="125"/>
        <v>0</v>
      </c>
      <c r="CT107" s="2">
        <f t="shared" si="126"/>
        <v>0</v>
      </c>
      <c r="CU107" s="2">
        <f t="shared" si="127"/>
        <v>0</v>
      </c>
      <c r="CV107" s="2">
        <f t="shared" si="128"/>
        <v>0</v>
      </c>
      <c r="CW107" s="2">
        <f t="shared" si="129"/>
        <v>0</v>
      </c>
      <c r="CX107" s="2">
        <f t="shared" si="130"/>
        <v>0</v>
      </c>
      <c r="CY107" s="2">
        <f t="shared" si="131"/>
        <v>0</v>
      </c>
      <c r="CZ107" s="2">
        <f t="shared" si="132"/>
        <v>0</v>
      </c>
      <c r="DA107" s="2"/>
      <c r="DB107" s="2"/>
      <c r="DC107" s="2" t="s">
        <v>3</v>
      </c>
      <c r="DD107" s="2" t="s">
        <v>3</v>
      </c>
      <c r="DE107" s="2" t="s">
        <v>3</v>
      </c>
      <c r="DF107" s="2" t="s">
        <v>3</v>
      </c>
      <c r="DG107" s="2" t="s">
        <v>3</v>
      </c>
      <c r="DH107" s="2" t="s">
        <v>3</v>
      </c>
      <c r="DI107" s="2" t="s">
        <v>3</v>
      </c>
      <c r="DJ107" s="2" t="s">
        <v>3</v>
      </c>
      <c r="DK107" s="2" t="s">
        <v>3</v>
      </c>
      <c r="DL107" s="2" t="s">
        <v>3</v>
      </c>
      <c r="DM107" s="2" t="s">
        <v>3</v>
      </c>
      <c r="DN107" s="2">
        <v>0</v>
      </c>
      <c r="DO107" s="2">
        <v>0</v>
      </c>
      <c r="DP107" s="2">
        <v>1</v>
      </c>
      <c r="DQ107" s="2">
        <v>1</v>
      </c>
      <c r="DR107" s="2"/>
      <c r="DS107" s="2"/>
      <c r="DT107" s="2"/>
      <c r="DU107" s="2">
        <v>1005</v>
      </c>
      <c r="DV107" s="2" t="s">
        <v>173</v>
      </c>
      <c r="DW107" s="2" t="s">
        <v>173</v>
      </c>
      <c r="DX107" s="2">
        <v>1</v>
      </c>
      <c r="DY107" s="2"/>
      <c r="DZ107" s="2" t="s">
        <v>3</v>
      </c>
      <c r="EA107" s="2" t="s">
        <v>3</v>
      </c>
      <c r="EB107" s="2" t="s">
        <v>3</v>
      </c>
      <c r="EC107" s="2" t="s">
        <v>3</v>
      </c>
      <c r="ED107" s="2"/>
      <c r="EE107" s="2">
        <v>53507574</v>
      </c>
      <c r="EF107" s="2">
        <v>2</v>
      </c>
      <c r="EG107" s="2" t="s">
        <v>26</v>
      </c>
      <c r="EH107" s="2">
        <v>12</v>
      </c>
      <c r="EI107" s="2" t="s">
        <v>117</v>
      </c>
      <c r="EJ107" s="2">
        <v>1</v>
      </c>
      <c r="EK107" s="2">
        <v>12001</v>
      </c>
      <c r="EL107" s="2" t="s">
        <v>117</v>
      </c>
      <c r="EM107" s="2" t="s">
        <v>118</v>
      </c>
      <c r="EN107" s="2"/>
      <c r="EO107" s="2" t="s">
        <v>3</v>
      </c>
      <c r="EP107" s="2"/>
      <c r="EQ107" s="2">
        <v>0</v>
      </c>
      <c r="ER107" s="2">
        <v>27.73</v>
      </c>
      <c r="ES107" s="2">
        <v>27.73</v>
      </c>
      <c r="ET107" s="2">
        <v>0</v>
      </c>
      <c r="EU107" s="2">
        <v>0</v>
      </c>
      <c r="EV107" s="2">
        <v>0</v>
      </c>
      <c r="EW107" s="2">
        <v>0</v>
      </c>
      <c r="EX107" s="2">
        <v>0</v>
      </c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>
        <v>0</v>
      </c>
      <c r="FR107" s="2">
        <f t="shared" si="133"/>
        <v>0</v>
      </c>
      <c r="FS107" s="2">
        <v>0</v>
      </c>
      <c r="FT107" s="2"/>
      <c r="FU107" s="2"/>
      <c r="FV107" s="2"/>
      <c r="FW107" s="2"/>
      <c r="FX107" s="2">
        <v>109</v>
      </c>
      <c r="FY107" s="2">
        <v>57</v>
      </c>
      <c r="FZ107" s="2"/>
      <c r="GA107" s="2" t="s">
        <v>3</v>
      </c>
      <c r="GB107" s="2"/>
      <c r="GC107" s="2"/>
      <c r="GD107" s="2">
        <v>1</v>
      </c>
      <c r="GE107" s="2"/>
      <c r="GF107" s="2">
        <v>1276428827</v>
      </c>
      <c r="GG107" s="2">
        <v>2</v>
      </c>
      <c r="GH107" s="2">
        <v>1</v>
      </c>
      <c r="GI107" s="2">
        <v>-2</v>
      </c>
      <c r="GJ107" s="2">
        <v>0</v>
      </c>
      <c r="GK107" s="2">
        <v>0</v>
      </c>
      <c r="GL107" s="2">
        <f t="shared" si="134"/>
        <v>0</v>
      </c>
      <c r="GM107" s="2">
        <f t="shared" si="135"/>
        <v>4742</v>
      </c>
      <c r="GN107" s="2">
        <f t="shared" si="136"/>
        <v>4742</v>
      </c>
      <c r="GO107" s="2">
        <f t="shared" si="137"/>
        <v>0</v>
      </c>
      <c r="GP107" s="2">
        <f t="shared" si="138"/>
        <v>0</v>
      </c>
      <c r="GQ107" s="2"/>
      <c r="GR107" s="2">
        <v>0</v>
      </c>
      <c r="GS107" s="2">
        <v>0</v>
      </c>
      <c r="GT107" s="2">
        <v>0</v>
      </c>
      <c r="GU107" s="2" t="s">
        <v>3</v>
      </c>
      <c r="GV107" s="2">
        <f t="shared" si="139"/>
        <v>0</v>
      </c>
      <c r="GW107" s="2">
        <v>1</v>
      </c>
      <c r="GX107" s="2">
        <f t="shared" si="140"/>
        <v>0</v>
      </c>
      <c r="GY107" s="2"/>
      <c r="GZ107" s="2"/>
      <c r="HA107" s="2">
        <v>0</v>
      </c>
      <c r="HB107" s="2">
        <v>0</v>
      </c>
      <c r="HC107" s="2">
        <f t="shared" si="141"/>
        <v>0</v>
      </c>
      <c r="HD107" s="2"/>
      <c r="HE107" s="2" t="s">
        <v>3</v>
      </c>
      <c r="HF107" s="2" t="s">
        <v>3</v>
      </c>
      <c r="HG107" s="2"/>
      <c r="HH107" s="2"/>
      <c r="HI107" s="2"/>
      <c r="HJ107" s="2"/>
      <c r="HK107" s="2"/>
      <c r="HL107" s="2"/>
      <c r="HM107" s="2" t="s">
        <v>3</v>
      </c>
      <c r="HN107" s="2" t="s">
        <v>120</v>
      </c>
      <c r="HO107" s="2" t="s">
        <v>121</v>
      </c>
      <c r="HP107" s="2" t="s">
        <v>117</v>
      </c>
      <c r="HQ107" s="2" t="s">
        <v>117</v>
      </c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>
        <v>0</v>
      </c>
      <c r="IL107" s="2"/>
      <c r="IM107" s="2"/>
      <c r="IN107" s="2"/>
      <c r="IO107" s="2"/>
      <c r="IP107" s="2"/>
      <c r="IQ107" s="2"/>
      <c r="IR107" s="2"/>
      <c r="IS107" s="2"/>
      <c r="IT107" s="2"/>
      <c r="IU107" s="2"/>
    </row>
    <row r="108" spans="1:245" ht="12.75">
      <c r="A108">
        <v>18</v>
      </c>
      <c r="B108">
        <v>1</v>
      </c>
      <c r="C108">
        <v>117</v>
      </c>
      <c r="E108" t="s">
        <v>188</v>
      </c>
      <c r="F108" t="s">
        <v>171</v>
      </c>
      <c r="G108" t="s">
        <v>172</v>
      </c>
      <c r="H108" t="s">
        <v>173</v>
      </c>
      <c r="I108">
        <f>I106*J108</f>
        <v>171</v>
      </c>
      <c r="J108">
        <v>114</v>
      </c>
      <c r="K108">
        <v>114</v>
      </c>
      <c r="O108">
        <f t="shared" si="108"/>
        <v>19157</v>
      </c>
      <c r="P108">
        <f t="shared" si="109"/>
        <v>19157</v>
      </c>
      <c r="Q108">
        <f t="shared" si="110"/>
        <v>0</v>
      </c>
      <c r="R108">
        <f t="shared" si="111"/>
        <v>0</v>
      </c>
      <c r="S108">
        <f t="shared" si="112"/>
        <v>0</v>
      </c>
      <c r="T108">
        <f t="shared" si="113"/>
        <v>0</v>
      </c>
      <c r="U108">
        <f t="shared" si="114"/>
        <v>0</v>
      </c>
      <c r="V108">
        <f t="shared" si="115"/>
        <v>0</v>
      </c>
      <c r="W108">
        <f t="shared" si="116"/>
        <v>0</v>
      </c>
      <c r="X108">
        <f t="shared" si="117"/>
        <v>0</v>
      </c>
      <c r="Y108">
        <f t="shared" si="118"/>
        <v>0</v>
      </c>
      <c r="AA108">
        <v>55110083</v>
      </c>
      <c r="AB108">
        <f t="shared" si="119"/>
        <v>27.73</v>
      </c>
      <c r="AC108">
        <f t="shared" si="98"/>
        <v>27.73</v>
      </c>
      <c r="AD108">
        <f t="shared" si="142"/>
        <v>0</v>
      </c>
      <c r="AE108">
        <f t="shared" si="143"/>
        <v>0</v>
      </c>
      <c r="AF108">
        <f t="shared" si="143"/>
        <v>0</v>
      </c>
      <c r="AG108">
        <f t="shared" si="120"/>
        <v>0</v>
      </c>
      <c r="AH108">
        <f t="shared" si="144"/>
        <v>0</v>
      </c>
      <c r="AI108">
        <f t="shared" si="144"/>
        <v>0</v>
      </c>
      <c r="AJ108">
        <f t="shared" si="121"/>
        <v>0</v>
      </c>
      <c r="AK108">
        <v>27.73</v>
      </c>
      <c r="AL108">
        <v>27.73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109</v>
      </c>
      <c r="AU108">
        <v>57</v>
      </c>
      <c r="AV108">
        <v>1</v>
      </c>
      <c r="AW108">
        <v>1</v>
      </c>
      <c r="AZ108">
        <v>1</v>
      </c>
      <c r="BA108">
        <v>1</v>
      </c>
      <c r="BB108">
        <v>1</v>
      </c>
      <c r="BC108">
        <v>4.04</v>
      </c>
      <c r="BH108">
        <v>3</v>
      </c>
      <c r="BI108">
        <v>1</v>
      </c>
      <c r="BJ108" t="s">
        <v>174</v>
      </c>
      <c r="BM108">
        <v>12001</v>
      </c>
      <c r="BN108">
        <v>0</v>
      </c>
      <c r="BO108" t="s">
        <v>171</v>
      </c>
      <c r="BP108">
        <v>1</v>
      </c>
      <c r="BQ108">
        <v>2</v>
      </c>
      <c r="BR108">
        <v>0</v>
      </c>
      <c r="BS108">
        <v>1</v>
      </c>
      <c r="BT108">
        <v>1</v>
      </c>
      <c r="BU108">
        <v>1</v>
      </c>
      <c r="BV108">
        <v>1</v>
      </c>
      <c r="BW108">
        <v>1</v>
      </c>
      <c r="BX108">
        <v>1</v>
      </c>
      <c r="BZ108">
        <v>109</v>
      </c>
      <c r="CA108">
        <v>57</v>
      </c>
      <c r="CE108">
        <v>0</v>
      </c>
      <c r="CF108">
        <v>0</v>
      </c>
      <c r="CG108">
        <v>0</v>
      </c>
      <c r="CM108">
        <v>0</v>
      </c>
      <c r="CO108">
        <v>0</v>
      </c>
      <c r="CP108">
        <f t="shared" si="122"/>
        <v>19157</v>
      </c>
      <c r="CQ108">
        <f t="shared" si="123"/>
        <v>112.0292</v>
      </c>
      <c r="CR108">
        <f t="shared" si="124"/>
        <v>0</v>
      </c>
      <c r="CS108">
        <f t="shared" si="125"/>
        <v>0</v>
      </c>
      <c r="CT108">
        <f t="shared" si="126"/>
        <v>0</v>
      </c>
      <c r="CU108">
        <f t="shared" si="127"/>
        <v>0</v>
      </c>
      <c r="CV108">
        <f t="shared" si="128"/>
        <v>0</v>
      </c>
      <c r="CW108">
        <f t="shared" si="129"/>
        <v>0</v>
      </c>
      <c r="CX108">
        <f t="shared" si="130"/>
        <v>0</v>
      </c>
      <c r="CY108">
        <f t="shared" si="131"/>
        <v>0</v>
      </c>
      <c r="CZ108">
        <f t="shared" si="132"/>
        <v>0</v>
      </c>
      <c r="DN108">
        <v>0</v>
      </c>
      <c r="DO108">
        <v>0</v>
      </c>
      <c r="DP108">
        <v>1</v>
      </c>
      <c r="DQ108">
        <v>1</v>
      </c>
      <c r="DU108">
        <v>1005</v>
      </c>
      <c r="DV108" t="s">
        <v>173</v>
      </c>
      <c r="DW108" t="s">
        <v>173</v>
      </c>
      <c r="DX108">
        <v>1</v>
      </c>
      <c r="EE108">
        <v>53507574</v>
      </c>
      <c r="EF108">
        <v>2</v>
      </c>
      <c r="EG108" t="s">
        <v>26</v>
      </c>
      <c r="EH108">
        <v>12</v>
      </c>
      <c r="EI108" t="s">
        <v>117</v>
      </c>
      <c r="EJ108">
        <v>1</v>
      </c>
      <c r="EK108">
        <v>12001</v>
      </c>
      <c r="EL108" t="s">
        <v>117</v>
      </c>
      <c r="EM108" t="s">
        <v>118</v>
      </c>
      <c r="EQ108">
        <v>0</v>
      </c>
      <c r="ER108">
        <v>27.73</v>
      </c>
      <c r="ES108">
        <v>27.73</v>
      </c>
      <c r="ET108">
        <v>0</v>
      </c>
      <c r="EU108">
        <v>0</v>
      </c>
      <c r="EV108">
        <v>0</v>
      </c>
      <c r="EW108">
        <v>0</v>
      </c>
      <c r="EX108">
        <v>0</v>
      </c>
      <c r="FQ108">
        <v>0</v>
      </c>
      <c r="FR108">
        <f t="shared" si="133"/>
        <v>0</v>
      </c>
      <c r="FS108">
        <v>0</v>
      </c>
      <c r="FX108">
        <v>109</v>
      </c>
      <c r="FY108">
        <v>57</v>
      </c>
      <c r="GD108">
        <v>1</v>
      </c>
      <c r="GF108">
        <v>1276428827</v>
      </c>
      <c r="GG108">
        <v>2</v>
      </c>
      <c r="GH108">
        <v>1</v>
      </c>
      <c r="GI108">
        <v>2</v>
      </c>
      <c r="GJ108">
        <v>0</v>
      </c>
      <c r="GK108">
        <v>0</v>
      </c>
      <c r="GL108">
        <f t="shared" si="134"/>
        <v>0</v>
      </c>
      <c r="GM108">
        <f t="shared" si="135"/>
        <v>19157</v>
      </c>
      <c r="GN108">
        <f t="shared" si="136"/>
        <v>19157</v>
      </c>
      <c r="GO108">
        <f t="shared" si="137"/>
        <v>0</v>
      </c>
      <c r="GP108">
        <f t="shared" si="138"/>
        <v>0</v>
      </c>
      <c r="GR108">
        <v>0</v>
      </c>
      <c r="GS108">
        <v>0</v>
      </c>
      <c r="GT108">
        <v>0</v>
      </c>
      <c r="GV108">
        <f t="shared" si="139"/>
        <v>0</v>
      </c>
      <c r="GW108">
        <v>1</v>
      </c>
      <c r="GX108">
        <f t="shared" si="140"/>
        <v>0</v>
      </c>
      <c r="HA108">
        <v>0</v>
      </c>
      <c r="HB108">
        <v>0</v>
      </c>
      <c r="HC108">
        <f t="shared" si="141"/>
        <v>0</v>
      </c>
      <c r="HN108" t="s">
        <v>120</v>
      </c>
      <c r="HO108" t="s">
        <v>121</v>
      </c>
      <c r="HP108" t="s">
        <v>117</v>
      </c>
      <c r="HQ108" t="s">
        <v>117</v>
      </c>
      <c r="IK108">
        <v>0</v>
      </c>
    </row>
    <row r="109" spans="1:255" ht="12.75">
      <c r="A109" s="2">
        <v>18</v>
      </c>
      <c r="B109" s="2">
        <v>1</v>
      </c>
      <c r="C109" s="2">
        <v>109</v>
      </c>
      <c r="D109" s="2"/>
      <c r="E109" s="2" t="s">
        <v>189</v>
      </c>
      <c r="F109" s="2" t="s">
        <v>176</v>
      </c>
      <c r="G109" s="2" t="s">
        <v>177</v>
      </c>
      <c r="H109" s="2" t="s">
        <v>173</v>
      </c>
      <c r="I109" s="2">
        <f>I105*J109</f>
        <v>174</v>
      </c>
      <c r="J109" s="2">
        <v>116</v>
      </c>
      <c r="K109" s="2">
        <v>116</v>
      </c>
      <c r="L109" s="2"/>
      <c r="M109" s="2"/>
      <c r="N109" s="2"/>
      <c r="O109" s="2">
        <f t="shared" si="108"/>
        <v>3437</v>
      </c>
      <c r="P109" s="2">
        <f t="shared" si="109"/>
        <v>3437</v>
      </c>
      <c r="Q109" s="2">
        <f t="shared" si="110"/>
        <v>0</v>
      </c>
      <c r="R109" s="2">
        <f t="shared" si="111"/>
        <v>0</v>
      </c>
      <c r="S109" s="2">
        <f t="shared" si="112"/>
        <v>0</v>
      </c>
      <c r="T109" s="2">
        <f t="shared" si="113"/>
        <v>0</v>
      </c>
      <c r="U109" s="2">
        <f t="shared" si="114"/>
        <v>0</v>
      </c>
      <c r="V109" s="2">
        <f t="shared" si="115"/>
        <v>0</v>
      </c>
      <c r="W109" s="2">
        <f t="shared" si="116"/>
        <v>0</v>
      </c>
      <c r="X109" s="2">
        <f t="shared" si="117"/>
        <v>0</v>
      </c>
      <c r="Y109" s="2">
        <f t="shared" si="118"/>
        <v>0</v>
      </c>
      <c r="Z109" s="2"/>
      <c r="AA109" s="2">
        <v>55110074</v>
      </c>
      <c r="AB109" s="2">
        <f t="shared" si="119"/>
        <v>19.75</v>
      </c>
      <c r="AC109" s="2">
        <f t="shared" si="98"/>
        <v>19.75</v>
      </c>
      <c r="AD109" s="2">
        <f t="shared" si="142"/>
        <v>0</v>
      </c>
      <c r="AE109" s="2">
        <f t="shared" si="143"/>
        <v>0</v>
      </c>
      <c r="AF109" s="2">
        <f t="shared" si="143"/>
        <v>0</v>
      </c>
      <c r="AG109" s="2">
        <f t="shared" si="120"/>
        <v>0</v>
      </c>
      <c r="AH109" s="2">
        <f t="shared" si="144"/>
        <v>0</v>
      </c>
      <c r="AI109" s="2">
        <f t="shared" si="144"/>
        <v>0</v>
      </c>
      <c r="AJ109" s="2">
        <f t="shared" si="121"/>
        <v>0</v>
      </c>
      <c r="AK109" s="2">
        <v>19.75</v>
      </c>
      <c r="AL109" s="2">
        <v>19.75</v>
      </c>
      <c r="AM109" s="2">
        <v>0</v>
      </c>
      <c r="AN109" s="2">
        <v>0</v>
      </c>
      <c r="AO109" s="2">
        <v>0</v>
      </c>
      <c r="AP109" s="2">
        <v>0</v>
      </c>
      <c r="AQ109" s="2">
        <v>0</v>
      </c>
      <c r="AR109" s="2">
        <v>0</v>
      </c>
      <c r="AS109" s="2">
        <v>0</v>
      </c>
      <c r="AT109" s="2">
        <v>109</v>
      </c>
      <c r="AU109" s="2">
        <v>57</v>
      </c>
      <c r="AV109" s="2">
        <v>1</v>
      </c>
      <c r="AW109" s="2">
        <v>1</v>
      </c>
      <c r="AX109" s="2"/>
      <c r="AY109" s="2"/>
      <c r="AZ109" s="2">
        <v>1</v>
      </c>
      <c r="BA109" s="2">
        <v>1</v>
      </c>
      <c r="BB109" s="2">
        <v>1</v>
      </c>
      <c r="BC109" s="2">
        <v>1</v>
      </c>
      <c r="BD109" s="2" t="s">
        <v>3</v>
      </c>
      <c r="BE109" s="2" t="s">
        <v>3</v>
      </c>
      <c r="BF109" s="2" t="s">
        <v>3</v>
      </c>
      <c r="BG109" s="2" t="s">
        <v>3</v>
      </c>
      <c r="BH109" s="2">
        <v>3</v>
      </c>
      <c r="BI109" s="2">
        <v>1</v>
      </c>
      <c r="BJ109" s="2" t="s">
        <v>178</v>
      </c>
      <c r="BK109" s="2"/>
      <c r="BL109" s="2"/>
      <c r="BM109" s="2">
        <v>12001</v>
      </c>
      <c r="BN109" s="2">
        <v>0</v>
      </c>
      <c r="BO109" s="2" t="s">
        <v>3</v>
      </c>
      <c r="BP109" s="2">
        <v>0</v>
      </c>
      <c r="BQ109" s="2">
        <v>2</v>
      </c>
      <c r="BR109" s="2">
        <v>0</v>
      </c>
      <c r="BS109" s="2">
        <v>1</v>
      </c>
      <c r="BT109" s="2">
        <v>1</v>
      </c>
      <c r="BU109" s="2">
        <v>1</v>
      </c>
      <c r="BV109" s="2">
        <v>1</v>
      </c>
      <c r="BW109" s="2">
        <v>1</v>
      </c>
      <c r="BX109" s="2">
        <v>1</v>
      </c>
      <c r="BY109" s="2" t="s">
        <v>3</v>
      </c>
      <c r="BZ109" s="2">
        <v>109</v>
      </c>
      <c r="CA109" s="2">
        <v>57</v>
      </c>
      <c r="CB109" s="2" t="s">
        <v>3</v>
      </c>
      <c r="CC109" s="2"/>
      <c r="CD109" s="2"/>
      <c r="CE109" s="2">
        <v>0</v>
      </c>
      <c r="CF109" s="2">
        <v>0</v>
      </c>
      <c r="CG109" s="2">
        <v>0</v>
      </c>
      <c r="CH109" s="2"/>
      <c r="CI109" s="2"/>
      <c r="CJ109" s="2"/>
      <c r="CK109" s="2"/>
      <c r="CL109" s="2"/>
      <c r="CM109" s="2">
        <v>0</v>
      </c>
      <c r="CN109" s="2" t="s">
        <v>3</v>
      </c>
      <c r="CO109" s="2">
        <v>0</v>
      </c>
      <c r="CP109" s="2">
        <f t="shared" si="122"/>
        <v>3437</v>
      </c>
      <c r="CQ109" s="2">
        <f t="shared" si="123"/>
        <v>19.75</v>
      </c>
      <c r="CR109" s="2">
        <f t="shared" si="124"/>
        <v>0</v>
      </c>
      <c r="CS109" s="2">
        <f t="shared" si="125"/>
        <v>0</v>
      </c>
      <c r="CT109" s="2">
        <f t="shared" si="126"/>
        <v>0</v>
      </c>
      <c r="CU109" s="2">
        <f t="shared" si="127"/>
        <v>0</v>
      </c>
      <c r="CV109" s="2">
        <f t="shared" si="128"/>
        <v>0</v>
      </c>
      <c r="CW109" s="2">
        <f t="shared" si="129"/>
        <v>0</v>
      </c>
      <c r="CX109" s="2">
        <f t="shared" si="130"/>
        <v>0</v>
      </c>
      <c r="CY109" s="2">
        <f t="shared" si="131"/>
        <v>0</v>
      </c>
      <c r="CZ109" s="2">
        <f t="shared" si="132"/>
        <v>0</v>
      </c>
      <c r="DA109" s="2"/>
      <c r="DB109" s="2"/>
      <c r="DC109" s="2" t="s">
        <v>3</v>
      </c>
      <c r="DD109" s="2" t="s">
        <v>3</v>
      </c>
      <c r="DE109" s="2" t="s">
        <v>3</v>
      </c>
      <c r="DF109" s="2" t="s">
        <v>3</v>
      </c>
      <c r="DG109" s="2" t="s">
        <v>3</v>
      </c>
      <c r="DH109" s="2" t="s">
        <v>3</v>
      </c>
      <c r="DI109" s="2" t="s">
        <v>3</v>
      </c>
      <c r="DJ109" s="2" t="s">
        <v>3</v>
      </c>
      <c r="DK109" s="2" t="s">
        <v>3</v>
      </c>
      <c r="DL109" s="2" t="s">
        <v>3</v>
      </c>
      <c r="DM109" s="2" t="s">
        <v>3</v>
      </c>
      <c r="DN109" s="2">
        <v>0</v>
      </c>
      <c r="DO109" s="2">
        <v>0</v>
      </c>
      <c r="DP109" s="2">
        <v>1</v>
      </c>
      <c r="DQ109" s="2">
        <v>1</v>
      </c>
      <c r="DR109" s="2"/>
      <c r="DS109" s="2"/>
      <c r="DT109" s="2"/>
      <c r="DU109" s="2">
        <v>1005</v>
      </c>
      <c r="DV109" s="2" t="s">
        <v>173</v>
      </c>
      <c r="DW109" s="2" t="s">
        <v>173</v>
      </c>
      <c r="DX109" s="2">
        <v>1</v>
      </c>
      <c r="DY109" s="2"/>
      <c r="DZ109" s="2" t="s">
        <v>3</v>
      </c>
      <c r="EA109" s="2" t="s">
        <v>3</v>
      </c>
      <c r="EB109" s="2" t="s">
        <v>3</v>
      </c>
      <c r="EC109" s="2" t="s">
        <v>3</v>
      </c>
      <c r="ED109" s="2"/>
      <c r="EE109" s="2">
        <v>53507574</v>
      </c>
      <c r="EF109" s="2">
        <v>2</v>
      </c>
      <c r="EG109" s="2" t="s">
        <v>26</v>
      </c>
      <c r="EH109" s="2">
        <v>12</v>
      </c>
      <c r="EI109" s="2" t="s">
        <v>117</v>
      </c>
      <c r="EJ109" s="2">
        <v>1</v>
      </c>
      <c r="EK109" s="2">
        <v>12001</v>
      </c>
      <c r="EL109" s="2" t="s">
        <v>117</v>
      </c>
      <c r="EM109" s="2" t="s">
        <v>118</v>
      </c>
      <c r="EN109" s="2"/>
      <c r="EO109" s="2" t="s">
        <v>3</v>
      </c>
      <c r="EP109" s="2"/>
      <c r="EQ109" s="2">
        <v>0</v>
      </c>
      <c r="ER109" s="2">
        <v>19.75</v>
      </c>
      <c r="ES109" s="2">
        <v>19.75</v>
      </c>
      <c r="ET109" s="2">
        <v>0</v>
      </c>
      <c r="EU109" s="2">
        <v>0</v>
      </c>
      <c r="EV109" s="2">
        <v>0</v>
      </c>
      <c r="EW109" s="2">
        <v>0</v>
      </c>
      <c r="EX109" s="2">
        <v>0</v>
      </c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>
        <v>0</v>
      </c>
      <c r="FR109" s="2">
        <f t="shared" si="133"/>
        <v>0</v>
      </c>
      <c r="FS109" s="2">
        <v>0</v>
      </c>
      <c r="FT109" s="2"/>
      <c r="FU109" s="2"/>
      <c r="FV109" s="2"/>
      <c r="FW109" s="2"/>
      <c r="FX109" s="2">
        <v>109</v>
      </c>
      <c r="FY109" s="2">
        <v>57</v>
      </c>
      <c r="FZ109" s="2"/>
      <c r="GA109" s="2" t="s">
        <v>3</v>
      </c>
      <c r="GB109" s="2"/>
      <c r="GC109" s="2"/>
      <c r="GD109" s="2">
        <v>1</v>
      </c>
      <c r="GE109" s="2"/>
      <c r="GF109" s="2">
        <v>-583407189</v>
      </c>
      <c r="GG109" s="2">
        <v>2</v>
      </c>
      <c r="GH109" s="2">
        <v>1</v>
      </c>
      <c r="GI109" s="2">
        <v>-2</v>
      </c>
      <c r="GJ109" s="2">
        <v>0</v>
      </c>
      <c r="GK109" s="2">
        <v>0</v>
      </c>
      <c r="GL109" s="2">
        <f t="shared" si="134"/>
        <v>0</v>
      </c>
      <c r="GM109" s="2">
        <f t="shared" si="135"/>
        <v>3437</v>
      </c>
      <c r="GN109" s="2">
        <f t="shared" si="136"/>
        <v>3437</v>
      </c>
      <c r="GO109" s="2">
        <f t="shared" si="137"/>
        <v>0</v>
      </c>
      <c r="GP109" s="2">
        <f t="shared" si="138"/>
        <v>0</v>
      </c>
      <c r="GQ109" s="2"/>
      <c r="GR109" s="2">
        <v>0</v>
      </c>
      <c r="GS109" s="2">
        <v>0</v>
      </c>
      <c r="GT109" s="2">
        <v>0</v>
      </c>
      <c r="GU109" s="2" t="s">
        <v>3</v>
      </c>
      <c r="GV109" s="2">
        <f t="shared" si="139"/>
        <v>0</v>
      </c>
      <c r="GW109" s="2">
        <v>1</v>
      </c>
      <c r="GX109" s="2">
        <f t="shared" si="140"/>
        <v>0</v>
      </c>
      <c r="GY109" s="2"/>
      <c r="GZ109" s="2"/>
      <c r="HA109" s="2">
        <v>0</v>
      </c>
      <c r="HB109" s="2">
        <v>0</v>
      </c>
      <c r="HC109" s="2">
        <f t="shared" si="141"/>
        <v>0</v>
      </c>
      <c r="HD109" s="2"/>
      <c r="HE109" s="2" t="s">
        <v>3</v>
      </c>
      <c r="HF109" s="2" t="s">
        <v>3</v>
      </c>
      <c r="HG109" s="2"/>
      <c r="HH109" s="2"/>
      <c r="HI109" s="2"/>
      <c r="HJ109" s="2"/>
      <c r="HK109" s="2"/>
      <c r="HL109" s="2"/>
      <c r="HM109" s="2" t="s">
        <v>3</v>
      </c>
      <c r="HN109" s="2" t="s">
        <v>120</v>
      </c>
      <c r="HO109" s="2" t="s">
        <v>121</v>
      </c>
      <c r="HP109" s="2" t="s">
        <v>117</v>
      </c>
      <c r="HQ109" s="2" t="s">
        <v>117</v>
      </c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>
        <v>0</v>
      </c>
      <c r="IL109" s="2"/>
      <c r="IM109" s="2"/>
      <c r="IN109" s="2"/>
      <c r="IO109" s="2"/>
      <c r="IP109" s="2"/>
      <c r="IQ109" s="2"/>
      <c r="IR109" s="2"/>
      <c r="IS109" s="2"/>
      <c r="IT109" s="2"/>
      <c r="IU109" s="2"/>
    </row>
    <row r="110" spans="1:245" ht="12.75">
      <c r="A110">
        <v>18</v>
      </c>
      <c r="B110">
        <v>1</v>
      </c>
      <c r="C110">
        <v>118</v>
      </c>
      <c r="E110" t="s">
        <v>189</v>
      </c>
      <c r="F110" t="s">
        <v>176</v>
      </c>
      <c r="G110" t="s">
        <v>177</v>
      </c>
      <c r="H110" t="s">
        <v>173</v>
      </c>
      <c r="I110">
        <f>I106*J110</f>
        <v>174</v>
      </c>
      <c r="J110">
        <v>116</v>
      </c>
      <c r="K110">
        <v>116</v>
      </c>
      <c r="O110">
        <f t="shared" si="108"/>
        <v>20722</v>
      </c>
      <c r="P110">
        <f t="shared" si="109"/>
        <v>20722</v>
      </c>
      <c r="Q110">
        <f t="shared" si="110"/>
        <v>0</v>
      </c>
      <c r="R110">
        <f t="shared" si="111"/>
        <v>0</v>
      </c>
      <c r="S110">
        <f t="shared" si="112"/>
        <v>0</v>
      </c>
      <c r="T110">
        <f t="shared" si="113"/>
        <v>0</v>
      </c>
      <c r="U110">
        <f t="shared" si="114"/>
        <v>0</v>
      </c>
      <c r="V110">
        <f t="shared" si="115"/>
        <v>0</v>
      </c>
      <c r="W110">
        <f t="shared" si="116"/>
        <v>0</v>
      </c>
      <c r="X110">
        <f t="shared" si="117"/>
        <v>0</v>
      </c>
      <c r="Y110">
        <f t="shared" si="118"/>
        <v>0</v>
      </c>
      <c r="AA110">
        <v>55110083</v>
      </c>
      <c r="AB110">
        <f t="shared" si="119"/>
        <v>19.75</v>
      </c>
      <c r="AC110">
        <f t="shared" si="98"/>
        <v>19.75</v>
      </c>
      <c r="AD110">
        <f t="shared" si="142"/>
        <v>0</v>
      </c>
      <c r="AE110">
        <f t="shared" si="143"/>
        <v>0</v>
      </c>
      <c r="AF110">
        <f t="shared" si="143"/>
        <v>0</v>
      </c>
      <c r="AG110">
        <f t="shared" si="120"/>
        <v>0</v>
      </c>
      <c r="AH110">
        <f t="shared" si="144"/>
        <v>0</v>
      </c>
      <c r="AI110">
        <f t="shared" si="144"/>
        <v>0</v>
      </c>
      <c r="AJ110">
        <f t="shared" si="121"/>
        <v>0</v>
      </c>
      <c r="AK110">
        <v>19.75</v>
      </c>
      <c r="AL110">
        <v>19.75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  <c r="AS110">
        <v>0</v>
      </c>
      <c r="AT110">
        <v>109</v>
      </c>
      <c r="AU110">
        <v>57</v>
      </c>
      <c r="AV110">
        <v>1</v>
      </c>
      <c r="AW110">
        <v>1</v>
      </c>
      <c r="AZ110">
        <v>1</v>
      </c>
      <c r="BA110">
        <v>1</v>
      </c>
      <c r="BB110">
        <v>1</v>
      </c>
      <c r="BC110">
        <v>6.03</v>
      </c>
      <c r="BH110">
        <v>3</v>
      </c>
      <c r="BI110">
        <v>1</v>
      </c>
      <c r="BJ110" t="s">
        <v>178</v>
      </c>
      <c r="BM110">
        <v>12001</v>
      </c>
      <c r="BN110">
        <v>0</v>
      </c>
      <c r="BO110" t="s">
        <v>176</v>
      </c>
      <c r="BP110">
        <v>1</v>
      </c>
      <c r="BQ110">
        <v>2</v>
      </c>
      <c r="BR110">
        <v>0</v>
      </c>
      <c r="BS110">
        <v>1</v>
      </c>
      <c r="BT110">
        <v>1</v>
      </c>
      <c r="BU110">
        <v>1</v>
      </c>
      <c r="BV110">
        <v>1</v>
      </c>
      <c r="BW110">
        <v>1</v>
      </c>
      <c r="BX110">
        <v>1</v>
      </c>
      <c r="BZ110">
        <v>109</v>
      </c>
      <c r="CA110">
        <v>57</v>
      </c>
      <c r="CE110">
        <v>0</v>
      </c>
      <c r="CF110">
        <v>0</v>
      </c>
      <c r="CG110">
        <v>0</v>
      </c>
      <c r="CM110">
        <v>0</v>
      </c>
      <c r="CO110">
        <v>0</v>
      </c>
      <c r="CP110">
        <f t="shared" si="122"/>
        <v>20722</v>
      </c>
      <c r="CQ110">
        <f t="shared" si="123"/>
        <v>119.0925</v>
      </c>
      <c r="CR110">
        <f t="shared" si="124"/>
        <v>0</v>
      </c>
      <c r="CS110">
        <f t="shared" si="125"/>
        <v>0</v>
      </c>
      <c r="CT110">
        <f t="shared" si="126"/>
        <v>0</v>
      </c>
      <c r="CU110">
        <f t="shared" si="127"/>
        <v>0</v>
      </c>
      <c r="CV110">
        <f t="shared" si="128"/>
        <v>0</v>
      </c>
      <c r="CW110">
        <f t="shared" si="129"/>
        <v>0</v>
      </c>
      <c r="CX110">
        <f t="shared" si="130"/>
        <v>0</v>
      </c>
      <c r="CY110">
        <f t="shared" si="131"/>
        <v>0</v>
      </c>
      <c r="CZ110">
        <f t="shared" si="132"/>
        <v>0</v>
      </c>
      <c r="DN110">
        <v>0</v>
      </c>
      <c r="DO110">
        <v>0</v>
      </c>
      <c r="DP110">
        <v>1</v>
      </c>
      <c r="DQ110">
        <v>1</v>
      </c>
      <c r="DU110">
        <v>1005</v>
      </c>
      <c r="DV110" t="s">
        <v>173</v>
      </c>
      <c r="DW110" t="s">
        <v>173</v>
      </c>
      <c r="DX110">
        <v>1</v>
      </c>
      <c r="EE110">
        <v>53507574</v>
      </c>
      <c r="EF110">
        <v>2</v>
      </c>
      <c r="EG110" t="s">
        <v>26</v>
      </c>
      <c r="EH110">
        <v>12</v>
      </c>
      <c r="EI110" t="s">
        <v>117</v>
      </c>
      <c r="EJ110">
        <v>1</v>
      </c>
      <c r="EK110">
        <v>12001</v>
      </c>
      <c r="EL110" t="s">
        <v>117</v>
      </c>
      <c r="EM110" t="s">
        <v>118</v>
      </c>
      <c r="EQ110">
        <v>0</v>
      </c>
      <c r="ER110">
        <v>19.75</v>
      </c>
      <c r="ES110">
        <v>19.75</v>
      </c>
      <c r="ET110">
        <v>0</v>
      </c>
      <c r="EU110">
        <v>0</v>
      </c>
      <c r="EV110">
        <v>0</v>
      </c>
      <c r="EW110">
        <v>0</v>
      </c>
      <c r="EX110">
        <v>0</v>
      </c>
      <c r="FQ110">
        <v>0</v>
      </c>
      <c r="FR110">
        <f t="shared" si="133"/>
        <v>0</v>
      </c>
      <c r="FS110">
        <v>0</v>
      </c>
      <c r="FX110">
        <v>109</v>
      </c>
      <c r="FY110">
        <v>57</v>
      </c>
      <c r="GD110">
        <v>1</v>
      </c>
      <c r="GF110">
        <v>-583407189</v>
      </c>
      <c r="GG110">
        <v>2</v>
      </c>
      <c r="GH110">
        <v>1</v>
      </c>
      <c r="GI110">
        <v>2</v>
      </c>
      <c r="GJ110">
        <v>0</v>
      </c>
      <c r="GK110">
        <v>0</v>
      </c>
      <c r="GL110">
        <f t="shared" si="134"/>
        <v>0</v>
      </c>
      <c r="GM110">
        <f t="shared" si="135"/>
        <v>20722</v>
      </c>
      <c r="GN110">
        <f t="shared" si="136"/>
        <v>20722</v>
      </c>
      <c r="GO110">
        <f t="shared" si="137"/>
        <v>0</v>
      </c>
      <c r="GP110">
        <f t="shared" si="138"/>
        <v>0</v>
      </c>
      <c r="GR110">
        <v>0</v>
      </c>
      <c r="GS110">
        <v>0</v>
      </c>
      <c r="GT110">
        <v>0</v>
      </c>
      <c r="GV110">
        <f t="shared" si="139"/>
        <v>0</v>
      </c>
      <c r="GW110">
        <v>1</v>
      </c>
      <c r="GX110">
        <f t="shared" si="140"/>
        <v>0</v>
      </c>
      <c r="HA110">
        <v>0</v>
      </c>
      <c r="HB110">
        <v>0</v>
      </c>
      <c r="HC110">
        <f t="shared" si="141"/>
        <v>0</v>
      </c>
      <c r="HN110" t="s">
        <v>120</v>
      </c>
      <c r="HO110" t="s">
        <v>121</v>
      </c>
      <c r="HP110" t="s">
        <v>117</v>
      </c>
      <c r="HQ110" t="s">
        <v>117</v>
      </c>
      <c r="IK110">
        <v>0</v>
      </c>
    </row>
    <row r="111" spans="1:255" ht="12.75">
      <c r="A111" s="2">
        <v>18</v>
      </c>
      <c r="B111" s="2">
        <v>1</v>
      </c>
      <c r="C111" s="2">
        <v>107</v>
      </c>
      <c r="D111" s="2"/>
      <c r="E111" s="2" t="s">
        <v>190</v>
      </c>
      <c r="F111" s="2" t="s">
        <v>191</v>
      </c>
      <c r="G111" s="2" t="s">
        <v>192</v>
      </c>
      <c r="H111" s="2" t="s">
        <v>54</v>
      </c>
      <c r="I111" s="2">
        <f>I105*J111</f>
        <v>-0.765</v>
      </c>
      <c r="J111" s="2">
        <v>-0.51</v>
      </c>
      <c r="K111" s="2">
        <v>-0.51</v>
      </c>
      <c r="L111" s="2"/>
      <c r="M111" s="2"/>
      <c r="N111" s="2"/>
      <c r="O111" s="2">
        <f t="shared" si="108"/>
        <v>-398</v>
      </c>
      <c r="P111" s="2">
        <f t="shared" si="109"/>
        <v>-398</v>
      </c>
      <c r="Q111" s="2">
        <f t="shared" si="110"/>
        <v>0</v>
      </c>
      <c r="R111" s="2">
        <f t="shared" si="111"/>
        <v>0</v>
      </c>
      <c r="S111" s="2">
        <f t="shared" si="112"/>
        <v>0</v>
      </c>
      <c r="T111" s="2">
        <f t="shared" si="113"/>
        <v>0</v>
      </c>
      <c r="U111" s="2">
        <f t="shared" si="114"/>
        <v>0</v>
      </c>
      <c r="V111" s="2">
        <f t="shared" si="115"/>
        <v>0</v>
      </c>
      <c r="W111" s="2">
        <f t="shared" si="116"/>
        <v>0</v>
      </c>
      <c r="X111" s="2">
        <f t="shared" si="117"/>
        <v>0</v>
      </c>
      <c r="Y111" s="2">
        <f t="shared" si="118"/>
        <v>0</v>
      </c>
      <c r="Z111" s="2"/>
      <c r="AA111" s="2">
        <v>55110074</v>
      </c>
      <c r="AB111" s="2">
        <f t="shared" si="119"/>
        <v>519.8</v>
      </c>
      <c r="AC111" s="2">
        <f t="shared" si="98"/>
        <v>519.8</v>
      </c>
      <c r="AD111" s="2">
        <f t="shared" si="142"/>
        <v>0</v>
      </c>
      <c r="AE111" s="2">
        <f t="shared" si="143"/>
        <v>0</v>
      </c>
      <c r="AF111" s="2">
        <f t="shared" si="143"/>
        <v>0</v>
      </c>
      <c r="AG111" s="2">
        <f t="shared" si="120"/>
        <v>0</v>
      </c>
      <c r="AH111" s="2">
        <f t="shared" si="144"/>
        <v>0</v>
      </c>
      <c r="AI111" s="2">
        <f t="shared" si="144"/>
        <v>0</v>
      </c>
      <c r="AJ111" s="2">
        <f t="shared" si="121"/>
        <v>0</v>
      </c>
      <c r="AK111" s="2">
        <v>519.8</v>
      </c>
      <c r="AL111" s="2">
        <v>519.8</v>
      </c>
      <c r="AM111" s="2">
        <v>0</v>
      </c>
      <c r="AN111" s="2">
        <v>0</v>
      </c>
      <c r="AO111" s="2">
        <v>0</v>
      </c>
      <c r="AP111" s="2">
        <v>0</v>
      </c>
      <c r="AQ111" s="2">
        <v>0</v>
      </c>
      <c r="AR111" s="2">
        <v>0</v>
      </c>
      <c r="AS111" s="2">
        <v>0</v>
      </c>
      <c r="AT111" s="2">
        <v>109</v>
      </c>
      <c r="AU111" s="2">
        <v>57</v>
      </c>
      <c r="AV111" s="2">
        <v>1</v>
      </c>
      <c r="AW111" s="2">
        <v>1</v>
      </c>
      <c r="AX111" s="2"/>
      <c r="AY111" s="2"/>
      <c r="AZ111" s="2">
        <v>1</v>
      </c>
      <c r="BA111" s="2">
        <v>1</v>
      </c>
      <c r="BB111" s="2">
        <v>1</v>
      </c>
      <c r="BC111" s="2">
        <v>1</v>
      </c>
      <c r="BD111" s="2" t="s">
        <v>3</v>
      </c>
      <c r="BE111" s="2" t="s">
        <v>3</v>
      </c>
      <c r="BF111" s="2" t="s">
        <v>3</v>
      </c>
      <c r="BG111" s="2" t="s">
        <v>3</v>
      </c>
      <c r="BH111" s="2">
        <v>3</v>
      </c>
      <c r="BI111" s="2">
        <v>1</v>
      </c>
      <c r="BJ111" s="2" t="s">
        <v>193</v>
      </c>
      <c r="BK111" s="2"/>
      <c r="BL111" s="2"/>
      <c r="BM111" s="2">
        <v>12001</v>
      </c>
      <c r="BN111" s="2">
        <v>0</v>
      </c>
      <c r="BO111" s="2" t="s">
        <v>3</v>
      </c>
      <c r="BP111" s="2">
        <v>0</v>
      </c>
      <c r="BQ111" s="2">
        <v>2</v>
      </c>
      <c r="BR111" s="2">
        <v>1</v>
      </c>
      <c r="BS111" s="2">
        <v>1</v>
      </c>
      <c r="BT111" s="2">
        <v>1</v>
      </c>
      <c r="BU111" s="2">
        <v>1</v>
      </c>
      <c r="BV111" s="2">
        <v>1</v>
      </c>
      <c r="BW111" s="2">
        <v>1</v>
      </c>
      <c r="BX111" s="2">
        <v>1</v>
      </c>
      <c r="BY111" s="2" t="s">
        <v>3</v>
      </c>
      <c r="BZ111" s="2">
        <v>109</v>
      </c>
      <c r="CA111" s="2">
        <v>57</v>
      </c>
      <c r="CB111" s="2" t="s">
        <v>3</v>
      </c>
      <c r="CC111" s="2"/>
      <c r="CD111" s="2"/>
      <c r="CE111" s="2">
        <v>0</v>
      </c>
      <c r="CF111" s="2">
        <v>0</v>
      </c>
      <c r="CG111" s="2">
        <v>0</v>
      </c>
      <c r="CH111" s="2"/>
      <c r="CI111" s="2"/>
      <c r="CJ111" s="2"/>
      <c r="CK111" s="2"/>
      <c r="CL111" s="2"/>
      <c r="CM111" s="2">
        <v>0</v>
      </c>
      <c r="CN111" s="2" t="s">
        <v>3</v>
      </c>
      <c r="CO111" s="2">
        <v>0</v>
      </c>
      <c r="CP111" s="2">
        <f t="shared" si="122"/>
        <v>-398</v>
      </c>
      <c r="CQ111" s="2">
        <f t="shared" si="123"/>
        <v>519.8</v>
      </c>
      <c r="CR111" s="2">
        <f t="shared" si="124"/>
        <v>0</v>
      </c>
      <c r="CS111" s="2">
        <f t="shared" si="125"/>
        <v>0</v>
      </c>
      <c r="CT111" s="2">
        <f t="shared" si="126"/>
        <v>0</v>
      </c>
      <c r="CU111" s="2">
        <f t="shared" si="127"/>
        <v>0</v>
      </c>
      <c r="CV111" s="2">
        <f t="shared" si="128"/>
        <v>0</v>
      </c>
      <c r="CW111" s="2">
        <f t="shared" si="129"/>
        <v>0</v>
      </c>
      <c r="CX111" s="2">
        <f t="shared" si="130"/>
        <v>0</v>
      </c>
      <c r="CY111" s="2">
        <f t="shared" si="131"/>
        <v>0</v>
      </c>
      <c r="CZ111" s="2">
        <f t="shared" si="132"/>
        <v>0</v>
      </c>
      <c r="DA111" s="2"/>
      <c r="DB111" s="2"/>
      <c r="DC111" s="2" t="s">
        <v>3</v>
      </c>
      <c r="DD111" s="2" t="s">
        <v>3</v>
      </c>
      <c r="DE111" s="2" t="s">
        <v>3</v>
      </c>
      <c r="DF111" s="2" t="s">
        <v>3</v>
      </c>
      <c r="DG111" s="2" t="s">
        <v>3</v>
      </c>
      <c r="DH111" s="2" t="s">
        <v>3</v>
      </c>
      <c r="DI111" s="2" t="s">
        <v>3</v>
      </c>
      <c r="DJ111" s="2" t="s">
        <v>3</v>
      </c>
      <c r="DK111" s="2" t="s">
        <v>3</v>
      </c>
      <c r="DL111" s="2" t="s">
        <v>3</v>
      </c>
      <c r="DM111" s="2" t="s">
        <v>3</v>
      </c>
      <c r="DN111" s="2">
        <v>0</v>
      </c>
      <c r="DO111" s="2">
        <v>0</v>
      </c>
      <c r="DP111" s="2">
        <v>1</v>
      </c>
      <c r="DQ111" s="2">
        <v>1</v>
      </c>
      <c r="DR111" s="2"/>
      <c r="DS111" s="2"/>
      <c r="DT111" s="2"/>
      <c r="DU111" s="2">
        <v>1007</v>
      </c>
      <c r="DV111" s="2" t="s">
        <v>54</v>
      </c>
      <c r="DW111" s="2" t="s">
        <v>54</v>
      </c>
      <c r="DX111" s="2">
        <v>1</v>
      </c>
      <c r="DY111" s="2"/>
      <c r="DZ111" s="2" t="s">
        <v>3</v>
      </c>
      <c r="EA111" s="2" t="s">
        <v>3</v>
      </c>
      <c r="EB111" s="2" t="s">
        <v>3</v>
      </c>
      <c r="EC111" s="2" t="s">
        <v>3</v>
      </c>
      <c r="ED111" s="2"/>
      <c r="EE111" s="2">
        <v>53507574</v>
      </c>
      <c r="EF111" s="2">
        <v>2</v>
      </c>
      <c r="EG111" s="2" t="s">
        <v>26</v>
      </c>
      <c r="EH111" s="2">
        <v>12</v>
      </c>
      <c r="EI111" s="2" t="s">
        <v>117</v>
      </c>
      <c r="EJ111" s="2">
        <v>1</v>
      </c>
      <c r="EK111" s="2">
        <v>12001</v>
      </c>
      <c r="EL111" s="2" t="s">
        <v>117</v>
      </c>
      <c r="EM111" s="2" t="s">
        <v>118</v>
      </c>
      <c r="EN111" s="2"/>
      <c r="EO111" s="2" t="s">
        <v>3</v>
      </c>
      <c r="EP111" s="2"/>
      <c r="EQ111" s="2">
        <v>0</v>
      </c>
      <c r="ER111" s="2">
        <v>519.8</v>
      </c>
      <c r="ES111" s="2">
        <v>519.8</v>
      </c>
      <c r="ET111" s="2">
        <v>0</v>
      </c>
      <c r="EU111" s="2">
        <v>0</v>
      </c>
      <c r="EV111" s="2">
        <v>0</v>
      </c>
      <c r="EW111" s="2">
        <v>0</v>
      </c>
      <c r="EX111" s="2">
        <v>0</v>
      </c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>
        <v>0</v>
      </c>
      <c r="FR111" s="2">
        <f t="shared" si="133"/>
        <v>0</v>
      </c>
      <c r="FS111" s="2">
        <v>0</v>
      </c>
      <c r="FT111" s="2"/>
      <c r="FU111" s="2"/>
      <c r="FV111" s="2"/>
      <c r="FW111" s="2"/>
      <c r="FX111" s="2">
        <v>109</v>
      </c>
      <c r="FY111" s="2">
        <v>57</v>
      </c>
      <c r="FZ111" s="2"/>
      <c r="GA111" s="2" t="s">
        <v>3</v>
      </c>
      <c r="GB111" s="2"/>
      <c r="GC111" s="2"/>
      <c r="GD111" s="2">
        <v>1</v>
      </c>
      <c r="GE111" s="2"/>
      <c r="GF111" s="2">
        <v>-1924676840</v>
      </c>
      <c r="GG111" s="2">
        <v>2</v>
      </c>
      <c r="GH111" s="2">
        <v>1</v>
      </c>
      <c r="GI111" s="2">
        <v>-2</v>
      </c>
      <c r="GJ111" s="2">
        <v>0</v>
      </c>
      <c r="GK111" s="2">
        <v>0</v>
      </c>
      <c r="GL111" s="2">
        <f t="shared" si="134"/>
        <v>0</v>
      </c>
      <c r="GM111" s="2">
        <f t="shared" si="135"/>
        <v>-398</v>
      </c>
      <c r="GN111" s="2">
        <f t="shared" si="136"/>
        <v>-398</v>
      </c>
      <c r="GO111" s="2">
        <f t="shared" si="137"/>
        <v>0</v>
      </c>
      <c r="GP111" s="2">
        <f t="shared" si="138"/>
        <v>0</v>
      </c>
      <c r="GQ111" s="2"/>
      <c r="GR111" s="2">
        <v>0</v>
      </c>
      <c r="GS111" s="2">
        <v>0</v>
      </c>
      <c r="GT111" s="2">
        <v>0</v>
      </c>
      <c r="GU111" s="2" t="s">
        <v>3</v>
      </c>
      <c r="GV111" s="2">
        <f t="shared" si="139"/>
        <v>0</v>
      </c>
      <c r="GW111" s="2">
        <v>1</v>
      </c>
      <c r="GX111" s="2">
        <f t="shared" si="140"/>
        <v>0</v>
      </c>
      <c r="GY111" s="2"/>
      <c r="GZ111" s="2"/>
      <c r="HA111" s="2">
        <v>0</v>
      </c>
      <c r="HB111" s="2">
        <v>0</v>
      </c>
      <c r="HC111" s="2">
        <f t="shared" si="141"/>
        <v>0</v>
      </c>
      <c r="HD111" s="2"/>
      <c r="HE111" s="2" t="s">
        <v>3</v>
      </c>
      <c r="HF111" s="2" t="s">
        <v>3</v>
      </c>
      <c r="HG111" s="2"/>
      <c r="HH111" s="2"/>
      <c r="HI111" s="2"/>
      <c r="HJ111" s="2"/>
      <c r="HK111" s="2"/>
      <c r="HL111" s="2"/>
      <c r="HM111" s="2" t="s">
        <v>3</v>
      </c>
      <c r="HN111" s="2" t="s">
        <v>120</v>
      </c>
      <c r="HO111" s="2" t="s">
        <v>121</v>
      </c>
      <c r="HP111" s="2" t="s">
        <v>117</v>
      </c>
      <c r="HQ111" s="2" t="s">
        <v>117</v>
      </c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>
        <v>0</v>
      </c>
      <c r="IL111" s="2"/>
      <c r="IM111" s="2"/>
      <c r="IN111" s="2"/>
      <c r="IO111" s="2"/>
      <c r="IP111" s="2"/>
      <c r="IQ111" s="2"/>
      <c r="IR111" s="2"/>
      <c r="IS111" s="2"/>
      <c r="IT111" s="2"/>
      <c r="IU111" s="2"/>
    </row>
    <row r="112" spans="1:245" ht="12.75">
      <c r="A112">
        <v>18</v>
      </c>
      <c r="B112">
        <v>1</v>
      </c>
      <c r="C112">
        <v>116</v>
      </c>
      <c r="E112" t="s">
        <v>190</v>
      </c>
      <c r="F112" t="s">
        <v>191</v>
      </c>
      <c r="G112" t="s">
        <v>192</v>
      </c>
      <c r="H112" t="s">
        <v>54</v>
      </c>
      <c r="I112">
        <f>I106*J112</f>
        <v>-0.765</v>
      </c>
      <c r="J112">
        <v>-0.51</v>
      </c>
      <c r="K112">
        <v>-0.51</v>
      </c>
      <c r="O112">
        <f t="shared" si="108"/>
        <v>-2569</v>
      </c>
      <c r="P112">
        <f t="shared" si="109"/>
        <v>-2569</v>
      </c>
      <c r="Q112">
        <f t="shared" si="110"/>
        <v>0</v>
      </c>
      <c r="R112">
        <f t="shared" si="111"/>
        <v>0</v>
      </c>
      <c r="S112">
        <f t="shared" si="112"/>
        <v>0</v>
      </c>
      <c r="T112">
        <f t="shared" si="113"/>
        <v>0</v>
      </c>
      <c r="U112">
        <f t="shared" si="114"/>
        <v>0</v>
      </c>
      <c r="V112">
        <f t="shared" si="115"/>
        <v>0</v>
      </c>
      <c r="W112">
        <f t="shared" si="116"/>
        <v>0</v>
      </c>
      <c r="X112">
        <f t="shared" si="117"/>
        <v>0</v>
      </c>
      <c r="Y112">
        <f t="shared" si="118"/>
        <v>0</v>
      </c>
      <c r="AA112">
        <v>55110083</v>
      </c>
      <c r="AB112">
        <f t="shared" si="119"/>
        <v>519.8</v>
      </c>
      <c r="AC112">
        <f t="shared" si="98"/>
        <v>519.8</v>
      </c>
      <c r="AD112">
        <f t="shared" si="142"/>
        <v>0</v>
      </c>
      <c r="AE112">
        <f t="shared" si="143"/>
        <v>0</v>
      </c>
      <c r="AF112">
        <f t="shared" si="143"/>
        <v>0</v>
      </c>
      <c r="AG112">
        <f t="shared" si="120"/>
        <v>0</v>
      </c>
      <c r="AH112">
        <f t="shared" si="144"/>
        <v>0</v>
      </c>
      <c r="AI112">
        <f t="shared" si="144"/>
        <v>0</v>
      </c>
      <c r="AJ112">
        <f t="shared" si="121"/>
        <v>0</v>
      </c>
      <c r="AK112">
        <v>519.8</v>
      </c>
      <c r="AL112">
        <v>519.8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  <c r="AS112">
        <v>0</v>
      </c>
      <c r="AT112">
        <v>109</v>
      </c>
      <c r="AU112">
        <v>57</v>
      </c>
      <c r="AV112">
        <v>1</v>
      </c>
      <c r="AW112">
        <v>1</v>
      </c>
      <c r="AZ112">
        <v>1</v>
      </c>
      <c r="BA112">
        <v>1</v>
      </c>
      <c r="BB112">
        <v>1</v>
      </c>
      <c r="BC112">
        <v>6.46</v>
      </c>
      <c r="BH112">
        <v>3</v>
      </c>
      <c r="BI112">
        <v>1</v>
      </c>
      <c r="BJ112" t="s">
        <v>193</v>
      </c>
      <c r="BM112">
        <v>12001</v>
      </c>
      <c r="BN112">
        <v>0</v>
      </c>
      <c r="BO112" t="s">
        <v>191</v>
      </c>
      <c r="BP112">
        <v>1</v>
      </c>
      <c r="BQ112">
        <v>2</v>
      </c>
      <c r="BR112">
        <v>1</v>
      </c>
      <c r="BS112">
        <v>1</v>
      </c>
      <c r="BT112">
        <v>1</v>
      </c>
      <c r="BU112">
        <v>1</v>
      </c>
      <c r="BV112">
        <v>1</v>
      </c>
      <c r="BW112">
        <v>1</v>
      </c>
      <c r="BX112">
        <v>1</v>
      </c>
      <c r="BZ112">
        <v>109</v>
      </c>
      <c r="CA112">
        <v>57</v>
      </c>
      <c r="CE112">
        <v>0</v>
      </c>
      <c r="CF112">
        <v>0</v>
      </c>
      <c r="CG112">
        <v>0</v>
      </c>
      <c r="CM112">
        <v>0</v>
      </c>
      <c r="CO112">
        <v>0</v>
      </c>
      <c r="CP112">
        <f t="shared" si="122"/>
        <v>-2569</v>
      </c>
      <c r="CQ112">
        <f t="shared" si="123"/>
        <v>3357.908</v>
      </c>
      <c r="CR112">
        <f t="shared" si="124"/>
        <v>0</v>
      </c>
      <c r="CS112">
        <f t="shared" si="125"/>
        <v>0</v>
      </c>
      <c r="CT112">
        <f t="shared" si="126"/>
        <v>0</v>
      </c>
      <c r="CU112">
        <f t="shared" si="127"/>
        <v>0</v>
      </c>
      <c r="CV112">
        <f t="shared" si="128"/>
        <v>0</v>
      </c>
      <c r="CW112">
        <f t="shared" si="129"/>
        <v>0</v>
      </c>
      <c r="CX112">
        <f t="shared" si="130"/>
        <v>0</v>
      </c>
      <c r="CY112">
        <f t="shared" si="131"/>
        <v>0</v>
      </c>
      <c r="CZ112">
        <f t="shared" si="132"/>
        <v>0</v>
      </c>
      <c r="DN112">
        <v>0</v>
      </c>
      <c r="DO112">
        <v>0</v>
      </c>
      <c r="DP112">
        <v>1</v>
      </c>
      <c r="DQ112">
        <v>1</v>
      </c>
      <c r="DU112">
        <v>1007</v>
      </c>
      <c r="DV112" t="s">
        <v>54</v>
      </c>
      <c r="DW112" t="s">
        <v>54</v>
      </c>
      <c r="DX112">
        <v>1</v>
      </c>
      <c r="EE112">
        <v>53507574</v>
      </c>
      <c r="EF112">
        <v>2</v>
      </c>
      <c r="EG112" t="s">
        <v>26</v>
      </c>
      <c r="EH112">
        <v>12</v>
      </c>
      <c r="EI112" t="s">
        <v>117</v>
      </c>
      <c r="EJ112">
        <v>1</v>
      </c>
      <c r="EK112">
        <v>12001</v>
      </c>
      <c r="EL112" t="s">
        <v>117</v>
      </c>
      <c r="EM112" t="s">
        <v>118</v>
      </c>
      <c r="EQ112">
        <v>0</v>
      </c>
      <c r="ER112">
        <v>519.8</v>
      </c>
      <c r="ES112">
        <v>519.8</v>
      </c>
      <c r="ET112">
        <v>0</v>
      </c>
      <c r="EU112">
        <v>0</v>
      </c>
      <c r="EV112">
        <v>0</v>
      </c>
      <c r="EW112">
        <v>0</v>
      </c>
      <c r="EX112">
        <v>0</v>
      </c>
      <c r="FQ112">
        <v>0</v>
      </c>
      <c r="FR112">
        <f t="shared" si="133"/>
        <v>0</v>
      </c>
      <c r="FS112">
        <v>0</v>
      </c>
      <c r="FX112">
        <v>109</v>
      </c>
      <c r="FY112">
        <v>57</v>
      </c>
      <c r="GD112">
        <v>1</v>
      </c>
      <c r="GF112">
        <v>-1924676840</v>
      </c>
      <c r="GG112">
        <v>2</v>
      </c>
      <c r="GH112">
        <v>1</v>
      </c>
      <c r="GI112">
        <v>2</v>
      </c>
      <c r="GJ112">
        <v>0</v>
      </c>
      <c r="GK112">
        <v>0</v>
      </c>
      <c r="GL112">
        <f t="shared" si="134"/>
        <v>0</v>
      </c>
      <c r="GM112">
        <f t="shared" si="135"/>
        <v>-2569</v>
      </c>
      <c r="GN112">
        <f t="shared" si="136"/>
        <v>-2569</v>
      </c>
      <c r="GO112">
        <f t="shared" si="137"/>
        <v>0</v>
      </c>
      <c r="GP112">
        <f t="shared" si="138"/>
        <v>0</v>
      </c>
      <c r="GR112">
        <v>0</v>
      </c>
      <c r="GS112">
        <v>0</v>
      </c>
      <c r="GT112">
        <v>0</v>
      </c>
      <c r="GV112">
        <f t="shared" si="139"/>
        <v>0</v>
      </c>
      <c r="GW112">
        <v>1</v>
      </c>
      <c r="GX112">
        <f t="shared" si="140"/>
        <v>0</v>
      </c>
      <c r="HA112">
        <v>0</v>
      </c>
      <c r="HB112">
        <v>0</v>
      </c>
      <c r="HC112">
        <f t="shared" si="141"/>
        <v>0</v>
      </c>
      <c r="HN112" t="s">
        <v>120</v>
      </c>
      <c r="HO112" t="s">
        <v>121</v>
      </c>
      <c r="HP112" t="s">
        <v>117</v>
      </c>
      <c r="HQ112" t="s">
        <v>117</v>
      </c>
      <c r="IK112">
        <v>0</v>
      </c>
    </row>
    <row r="113" spans="1:255" ht="12.75">
      <c r="A113" s="2">
        <v>17</v>
      </c>
      <c r="B113" s="2">
        <v>1</v>
      </c>
      <c r="C113" s="2">
        <f>ROW(SmtRes!A122)</f>
        <v>122</v>
      </c>
      <c r="D113" s="2">
        <f>ROW(EtalonRes!A119)</f>
        <v>119</v>
      </c>
      <c r="E113" s="2" t="s">
        <v>194</v>
      </c>
      <c r="F113" s="2" t="s">
        <v>195</v>
      </c>
      <c r="G113" s="2" t="s">
        <v>196</v>
      </c>
      <c r="H113" s="2" t="s">
        <v>186</v>
      </c>
      <c r="I113" s="2">
        <f>ROUND(50/100,7)</f>
        <v>0.5</v>
      </c>
      <c r="J113" s="2">
        <v>0</v>
      </c>
      <c r="K113" s="2">
        <f>ROUND(50/100,7)</f>
        <v>0.5</v>
      </c>
      <c r="L113" s="2"/>
      <c r="M113" s="2"/>
      <c r="N113" s="2"/>
      <c r="O113" s="2">
        <f t="shared" si="108"/>
        <v>693</v>
      </c>
      <c r="P113" s="2">
        <f t="shared" si="109"/>
        <v>369</v>
      </c>
      <c r="Q113" s="2">
        <f t="shared" si="110"/>
        <v>241</v>
      </c>
      <c r="R113" s="2">
        <f t="shared" si="111"/>
        <v>0</v>
      </c>
      <c r="S113" s="2">
        <f t="shared" si="112"/>
        <v>83</v>
      </c>
      <c r="T113" s="2">
        <f t="shared" si="113"/>
        <v>0</v>
      </c>
      <c r="U113" s="2">
        <f t="shared" si="114"/>
        <v>9.1425</v>
      </c>
      <c r="V113" s="2">
        <f t="shared" si="115"/>
        <v>0</v>
      </c>
      <c r="W113" s="2">
        <f t="shared" si="116"/>
        <v>0</v>
      </c>
      <c r="X113" s="2">
        <f t="shared" si="117"/>
        <v>91</v>
      </c>
      <c r="Y113" s="2">
        <f t="shared" si="118"/>
        <v>61</v>
      </c>
      <c r="Z113" s="2"/>
      <c r="AA113" s="2">
        <v>55110074</v>
      </c>
      <c r="AB113" s="2">
        <f t="shared" si="119"/>
        <v>1385.23</v>
      </c>
      <c r="AC113" s="2">
        <f t="shared" si="98"/>
        <v>737.25</v>
      </c>
      <c r="AD113" s="2">
        <f>ROUND(((((ET113*ROUND(1.25,7)))-((EU113*ROUND(1.25,7))))+AE113),2)</f>
        <v>482.14</v>
      </c>
      <c r="AE113" s="2">
        <f>ROUND(((EU113*ROUND(1.25,7))),2)</f>
        <v>0</v>
      </c>
      <c r="AF113" s="2">
        <f>ROUND(((EV113*ROUND(1.15,7))),2)</f>
        <v>165.84</v>
      </c>
      <c r="AG113" s="2">
        <f t="shared" si="120"/>
        <v>0</v>
      </c>
      <c r="AH113" s="2">
        <f>((EW113*ROUND(1.15,7)))</f>
        <v>18.285</v>
      </c>
      <c r="AI113" s="2">
        <f>((EX113*ROUND(1.25,7)))</f>
        <v>0</v>
      </c>
      <c r="AJ113" s="2">
        <f t="shared" si="121"/>
        <v>0</v>
      </c>
      <c r="AK113" s="2">
        <v>1267.17</v>
      </c>
      <c r="AL113" s="2">
        <v>737.25</v>
      </c>
      <c r="AM113" s="2">
        <v>385.71</v>
      </c>
      <c r="AN113" s="2">
        <v>0</v>
      </c>
      <c r="AO113" s="2">
        <v>144.21</v>
      </c>
      <c r="AP113" s="2">
        <v>0</v>
      </c>
      <c r="AQ113" s="2">
        <v>15.9</v>
      </c>
      <c r="AR113" s="2">
        <v>0</v>
      </c>
      <c r="AS113" s="2">
        <v>0</v>
      </c>
      <c r="AT113" s="2">
        <v>110</v>
      </c>
      <c r="AU113" s="2">
        <v>73</v>
      </c>
      <c r="AV113" s="2">
        <v>1</v>
      </c>
      <c r="AW113" s="2">
        <v>1</v>
      </c>
      <c r="AX113" s="2"/>
      <c r="AY113" s="2"/>
      <c r="AZ113" s="2">
        <v>1</v>
      </c>
      <c r="BA113" s="2">
        <v>1</v>
      </c>
      <c r="BB113" s="2">
        <v>1</v>
      </c>
      <c r="BC113" s="2">
        <v>1</v>
      </c>
      <c r="BD113" s="2" t="s">
        <v>3</v>
      </c>
      <c r="BE113" s="2" t="s">
        <v>3</v>
      </c>
      <c r="BF113" s="2" t="s">
        <v>3</v>
      </c>
      <c r="BG113" s="2" t="s">
        <v>3</v>
      </c>
      <c r="BH113" s="2">
        <v>0</v>
      </c>
      <c r="BI113" s="2">
        <v>1</v>
      </c>
      <c r="BJ113" s="2" t="s">
        <v>197</v>
      </c>
      <c r="BK113" s="2"/>
      <c r="BL113" s="2"/>
      <c r="BM113" s="2">
        <v>7001</v>
      </c>
      <c r="BN113" s="2">
        <v>0</v>
      </c>
      <c r="BO113" s="2" t="s">
        <v>3</v>
      </c>
      <c r="BP113" s="2">
        <v>0</v>
      </c>
      <c r="BQ113" s="2">
        <v>2</v>
      </c>
      <c r="BR113" s="2">
        <v>0</v>
      </c>
      <c r="BS113" s="2">
        <v>1</v>
      </c>
      <c r="BT113" s="2">
        <v>1</v>
      </c>
      <c r="BU113" s="2">
        <v>1</v>
      </c>
      <c r="BV113" s="2">
        <v>1</v>
      </c>
      <c r="BW113" s="2">
        <v>1</v>
      </c>
      <c r="BX113" s="2">
        <v>1</v>
      </c>
      <c r="BY113" s="2" t="s">
        <v>3</v>
      </c>
      <c r="BZ113" s="2">
        <v>110</v>
      </c>
      <c r="CA113" s="2">
        <v>73</v>
      </c>
      <c r="CB113" s="2" t="s">
        <v>3</v>
      </c>
      <c r="CC113" s="2"/>
      <c r="CD113" s="2"/>
      <c r="CE113" s="2">
        <v>0</v>
      </c>
      <c r="CF113" s="2">
        <v>0</v>
      </c>
      <c r="CG113" s="2">
        <v>0</v>
      </c>
      <c r="CH113" s="2"/>
      <c r="CI113" s="2"/>
      <c r="CJ113" s="2"/>
      <c r="CK113" s="2"/>
      <c r="CL113" s="2"/>
      <c r="CM113" s="2">
        <v>0</v>
      </c>
      <c r="CN113" s="2" t="s">
        <v>114</v>
      </c>
      <c r="CO113" s="2">
        <v>0</v>
      </c>
      <c r="CP113" s="2">
        <f t="shared" si="122"/>
        <v>693</v>
      </c>
      <c r="CQ113" s="2">
        <f t="shared" si="123"/>
        <v>737.25</v>
      </c>
      <c r="CR113" s="2">
        <f t="shared" si="124"/>
        <v>482.14</v>
      </c>
      <c r="CS113" s="2">
        <f t="shared" si="125"/>
        <v>0</v>
      </c>
      <c r="CT113" s="2">
        <f t="shared" si="126"/>
        <v>165.84</v>
      </c>
      <c r="CU113" s="2">
        <f t="shared" si="127"/>
        <v>0</v>
      </c>
      <c r="CV113" s="2">
        <f t="shared" si="128"/>
        <v>18.285</v>
      </c>
      <c r="CW113" s="2">
        <f t="shared" si="129"/>
        <v>0</v>
      </c>
      <c r="CX113" s="2">
        <f t="shared" si="130"/>
        <v>0</v>
      </c>
      <c r="CY113" s="2">
        <f t="shared" si="131"/>
        <v>91.3</v>
      </c>
      <c r="CZ113" s="2">
        <f t="shared" si="132"/>
        <v>60.59</v>
      </c>
      <c r="DA113" s="2"/>
      <c r="DB113" s="2"/>
      <c r="DC113" s="2" t="s">
        <v>3</v>
      </c>
      <c r="DD113" s="2" t="s">
        <v>3</v>
      </c>
      <c r="DE113" s="2" t="s">
        <v>115</v>
      </c>
      <c r="DF113" s="2" t="s">
        <v>115</v>
      </c>
      <c r="DG113" s="2" t="s">
        <v>116</v>
      </c>
      <c r="DH113" s="2" t="s">
        <v>3</v>
      </c>
      <c r="DI113" s="2" t="s">
        <v>116</v>
      </c>
      <c r="DJ113" s="2" t="s">
        <v>115</v>
      </c>
      <c r="DK113" s="2" t="s">
        <v>3</v>
      </c>
      <c r="DL113" s="2" t="s">
        <v>3</v>
      </c>
      <c r="DM113" s="2" t="s">
        <v>3</v>
      </c>
      <c r="DN113" s="2">
        <v>0</v>
      </c>
      <c r="DO113" s="2">
        <v>0</v>
      </c>
      <c r="DP113" s="2">
        <v>1</v>
      </c>
      <c r="DQ113" s="2">
        <v>1</v>
      </c>
      <c r="DR113" s="2"/>
      <c r="DS113" s="2"/>
      <c r="DT113" s="2"/>
      <c r="DU113" s="2">
        <v>1003</v>
      </c>
      <c r="DV113" s="2" t="s">
        <v>186</v>
      </c>
      <c r="DW113" s="2" t="s">
        <v>186</v>
      </c>
      <c r="DX113" s="2">
        <v>100</v>
      </c>
      <c r="DY113" s="2"/>
      <c r="DZ113" s="2" t="s">
        <v>3</v>
      </c>
      <c r="EA113" s="2" t="s">
        <v>3</v>
      </c>
      <c r="EB113" s="2" t="s">
        <v>3</v>
      </c>
      <c r="EC113" s="2" t="s">
        <v>3</v>
      </c>
      <c r="ED113" s="2"/>
      <c r="EE113" s="2">
        <v>53507557</v>
      </c>
      <c r="EF113" s="2">
        <v>2</v>
      </c>
      <c r="EG113" s="2" t="s">
        <v>26</v>
      </c>
      <c r="EH113" s="2">
        <v>7</v>
      </c>
      <c r="EI113" s="2" t="s">
        <v>198</v>
      </c>
      <c r="EJ113" s="2">
        <v>1</v>
      </c>
      <c r="EK113" s="2">
        <v>7001</v>
      </c>
      <c r="EL113" s="2" t="s">
        <v>198</v>
      </c>
      <c r="EM113" s="2" t="s">
        <v>199</v>
      </c>
      <c r="EN113" s="2"/>
      <c r="EO113" s="2" t="s">
        <v>119</v>
      </c>
      <c r="EP113" s="2"/>
      <c r="EQ113" s="2">
        <v>0</v>
      </c>
      <c r="ER113" s="2">
        <v>1267.17</v>
      </c>
      <c r="ES113" s="2">
        <v>737.25</v>
      </c>
      <c r="ET113" s="2">
        <v>385.71</v>
      </c>
      <c r="EU113" s="2">
        <v>0</v>
      </c>
      <c r="EV113" s="2">
        <v>144.21</v>
      </c>
      <c r="EW113" s="2">
        <v>15.9</v>
      </c>
      <c r="EX113" s="2">
        <v>0</v>
      </c>
      <c r="EY113" s="2">
        <v>0</v>
      </c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>
        <v>0</v>
      </c>
      <c r="FR113" s="2">
        <f t="shared" si="133"/>
        <v>0</v>
      </c>
      <c r="FS113" s="2">
        <v>0</v>
      </c>
      <c r="FT113" s="2"/>
      <c r="FU113" s="2"/>
      <c r="FV113" s="2"/>
      <c r="FW113" s="2"/>
      <c r="FX113" s="2">
        <v>110</v>
      </c>
      <c r="FY113" s="2">
        <v>73</v>
      </c>
      <c r="FZ113" s="2"/>
      <c r="GA113" s="2" t="s">
        <v>3</v>
      </c>
      <c r="GB113" s="2"/>
      <c r="GC113" s="2"/>
      <c r="GD113" s="2">
        <v>1</v>
      </c>
      <c r="GE113" s="2"/>
      <c r="GF113" s="2">
        <v>879018493</v>
      </c>
      <c r="GG113" s="2">
        <v>2</v>
      </c>
      <c r="GH113" s="2">
        <v>1</v>
      </c>
      <c r="GI113" s="2">
        <v>-2</v>
      </c>
      <c r="GJ113" s="2">
        <v>0</v>
      </c>
      <c r="GK113" s="2">
        <v>0</v>
      </c>
      <c r="GL113" s="2">
        <f t="shared" si="134"/>
        <v>0</v>
      </c>
      <c r="GM113" s="2">
        <f t="shared" si="135"/>
        <v>845</v>
      </c>
      <c r="GN113" s="2">
        <f t="shared" si="136"/>
        <v>845</v>
      </c>
      <c r="GO113" s="2">
        <f t="shared" si="137"/>
        <v>0</v>
      </c>
      <c r="GP113" s="2">
        <f t="shared" si="138"/>
        <v>0</v>
      </c>
      <c r="GQ113" s="2"/>
      <c r="GR113" s="2">
        <v>0</v>
      </c>
      <c r="GS113" s="2">
        <v>0</v>
      </c>
      <c r="GT113" s="2">
        <v>0</v>
      </c>
      <c r="GU113" s="2" t="s">
        <v>3</v>
      </c>
      <c r="GV113" s="2">
        <f t="shared" si="139"/>
        <v>0</v>
      </c>
      <c r="GW113" s="2">
        <v>1</v>
      </c>
      <c r="GX113" s="2">
        <f t="shared" si="140"/>
        <v>0</v>
      </c>
      <c r="GY113" s="2"/>
      <c r="GZ113" s="2"/>
      <c r="HA113" s="2">
        <v>0</v>
      </c>
      <c r="HB113" s="2">
        <v>0</v>
      </c>
      <c r="HC113" s="2">
        <f t="shared" si="141"/>
        <v>0</v>
      </c>
      <c r="HD113" s="2"/>
      <c r="HE113" s="2" t="s">
        <v>3</v>
      </c>
      <c r="HF113" s="2" t="s">
        <v>3</v>
      </c>
      <c r="HG113" s="2"/>
      <c r="HH113" s="2"/>
      <c r="HI113" s="2"/>
      <c r="HJ113" s="2"/>
      <c r="HK113" s="2"/>
      <c r="HL113" s="2"/>
      <c r="HM113" s="2" t="s">
        <v>3</v>
      </c>
      <c r="HN113" s="2" t="s">
        <v>200</v>
      </c>
      <c r="HO113" s="2" t="s">
        <v>201</v>
      </c>
      <c r="HP113" s="2" t="s">
        <v>198</v>
      </c>
      <c r="HQ113" s="2" t="s">
        <v>198</v>
      </c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>
        <v>0</v>
      </c>
      <c r="IL113" s="2"/>
      <c r="IM113" s="2"/>
      <c r="IN113" s="2"/>
      <c r="IO113" s="2"/>
      <c r="IP113" s="2"/>
      <c r="IQ113" s="2"/>
      <c r="IR113" s="2"/>
      <c r="IS113" s="2"/>
      <c r="IT113" s="2"/>
      <c r="IU113" s="2"/>
    </row>
    <row r="114" spans="1:245" ht="12.75">
      <c r="A114">
        <v>17</v>
      </c>
      <c r="B114">
        <v>1</v>
      </c>
      <c r="C114">
        <f>ROW(SmtRes!A126)</f>
        <v>126</v>
      </c>
      <c r="D114">
        <f>ROW(EtalonRes!A122)</f>
        <v>122</v>
      </c>
      <c r="E114" t="s">
        <v>194</v>
      </c>
      <c r="F114" t="s">
        <v>195</v>
      </c>
      <c r="G114" t="s">
        <v>196</v>
      </c>
      <c r="H114" t="s">
        <v>186</v>
      </c>
      <c r="I114">
        <f>ROUND(50/100,7)</f>
        <v>0.5</v>
      </c>
      <c r="J114">
        <v>0</v>
      </c>
      <c r="K114">
        <f>ROUND(50/100,7)</f>
        <v>0.5</v>
      </c>
      <c r="O114">
        <f t="shared" si="108"/>
        <v>7328</v>
      </c>
      <c r="P114">
        <f t="shared" si="109"/>
        <v>3233</v>
      </c>
      <c r="Q114">
        <f t="shared" si="110"/>
        <v>1107</v>
      </c>
      <c r="R114">
        <f t="shared" si="111"/>
        <v>0</v>
      </c>
      <c r="S114">
        <f t="shared" si="112"/>
        <v>2988</v>
      </c>
      <c r="T114">
        <f t="shared" si="113"/>
        <v>0</v>
      </c>
      <c r="U114">
        <f t="shared" si="114"/>
        <v>9.1425</v>
      </c>
      <c r="V114">
        <f t="shared" si="115"/>
        <v>0</v>
      </c>
      <c r="W114">
        <f t="shared" si="116"/>
        <v>0</v>
      </c>
      <c r="X114">
        <f t="shared" si="117"/>
        <v>3287</v>
      </c>
      <c r="Y114">
        <f t="shared" si="118"/>
        <v>2181</v>
      </c>
      <c r="AA114">
        <v>55110083</v>
      </c>
      <c r="AB114">
        <f t="shared" si="119"/>
        <v>1385.23</v>
      </c>
      <c r="AC114">
        <f t="shared" si="98"/>
        <v>737.25</v>
      </c>
      <c r="AD114">
        <f>ROUND(((((ET114*ROUND(1.25,7)))-((EU114*ROUND(1.25,7))))+AE114),2)</f>
        <v>482.14</v>
      </c>
      <c r="AE114">
        <f>ROUND(((EU114*ROUND(1.25,7))),2)</f>
        <v>0</v>
      </c>
      <c r="AF114">
        <f>ROUND(((EV114*ROUND(1.15,7))),2)</f>
        <v>165.84</v>
      </c>
      <c r="AG114">
        <f t="shared" si="120"/>
        <v>0</v>
      </c>
      <c r="AH114">
        <f>((EW114*ROUND(1.15,7)))</f>
        <v>18.285</v>
      </c>
      <c r="AI114">
        <f>((EX114*ROUND(1.25,7)))</f>
        <v>0</v>
      </c>
      <c r="AJ114">
        <f t="shared" si="121"/>
        <v>0</v>
      </c>
      <c r="AK114">
        <v>1267.17</v>
      </c>
      <c r="AL114">
        <v>737.25</v>
      </c>
      <c r="AM114">
        <v>385.71</v>
      </c>
      <c r="AN114">
        <v>0</v>
      </c>
      <c r="AO114">
        <v>144.21</v>
      </c>
      <c r="AP114">
        <v>0</v>
      </c>
      <c r="AQ114">
        <v>15.9</v>
      </c>
      <c r="AR114">
        <v>0</v>
      </c>
      <c r="AS114">
        <v>0</v>
      </c>
      <c r="AT114">
        <v>110</v>
      </c>
      <c r="AU114">
        <v>73</v>
      </c>
      <c r="AV114">
        <v>1</v>
      </c>
      <c r="AW114">
        <v>1</v>
      </c>
      <c r="AZ114">
        <v>1</v>
      </c>
      <c r="BA114">
        <v>36.03</v>
      </c>
      <c r="BB114">
        <v>4.59</v>
      </c>
      <c r="BC114">
        <v>8.77</v>
      </c>
      <c r="BH114">
        <v>0</v>
      </c>
      <c r="BI114">
        <v>1</v>
      </c>
      <c r="BJ114" t="s">
        <v>197</v>
      </c>
      <c r="BM114">
        <v>7001</v>
      </c>
      <c r="BN114">
        <v>0</v>
      </c>
      <c r="BO114" t="s">
        <v>195</v>
      </c>
      <c r="BP114">
        <v>1</v>
      </c>
      <c r="BQ114">
        <v>2</v>
      </c>
      <c r="BR114">
        <v>0</v>
      </c>
      <c r="BS114">
        <v>36.03</v>
      </c>
      <c r="BT114">
        <v>1</v>
      </c>
      <c r="BU114">
        <v>1</v>
      </c>
      <c r="BV114">
        <v>1</v>
      </c>
      <c r="BW114">
        <v>1</v>
      </c>
      <c r="BX114">
        <v>1</v>
      </c>
      <c r="BZ114">
        <v>110</v>
      </c>
      <c r="CA114">
        <v>73</v>
      </c>
      <c r="CE114">
        <v>0</v>
      </c>
      <c r="CF114">
        <v>0</v>
      </c>
      <c r="CG114">
        <v>0</v>
      </c>
      <c r="CM114">
        <v>0</v>
      </c>
      <c r="CN114" t="s">
        <v>114</v>
      </c>
      <c r="CO114">
        <v>0</v>
      </c>
      <c r="CP114">
        <f t="shared" si="122"/>
        <v>7328</v>
      </c>
      <c r="CQ114">
        <f t="shared" si="123"/>
        <v>6465.6825</v>
      </c>
      <c r="CR114">
        <f t="shared" si="124"/>
        <v>2213.0226</v>
      </c>
      <c r="CS114">
        <f t="shared" si="125"/>
        <v>0</v>
      </c>
      <c r="CT114">
        <f t="shared" si="126"/>
        <v>5975.215200000001</v>
      </c>
      <c r="CU114">
        <f t="shared" si="127"/>
        <v>0</v>
      </c>
      <c r="CV114">
        <f t="shared" si="128"/>
        <v>18.285</v>
      </c>
      <c r="CW114">
        <f t="shared" si="129"/>
        <v>0</v>
      </c>
      <c r="CX114">
        <f t="shared" si="130"/>
        <v>0</v>
      </c>
      <c r="CY114">
        <f t="shared" si="131"/>
        <v>3286.8</v>
      </c>
      <c r="CZ114">
        <f t="shared" si="132"/>
        <v>2181.24</v>
      </c>
      <c r="DE114" t="s">
        <v>115</v>
      </c>
      <c r="DF114" t="s">
        <v>115</v>
      </c>
      <c r="DG114" t="s">
        <v>116</v>
      </c>
      <c r="DI114" t="s">
        <v>116</v>
      </c>
      <c r="DJ114" t="s">
        <v>115</v>
      </c>
      <c r="DN114">
        <v>0</v>
      </c>
      <c r="DO114">
        <v>0</v>
      </c>
      <c r="DP114">
        <v>1</v>
      </c>
      <c r="DQ114">
        <v>1</v>
      </c>
      <c r="DU114">
        <v>1003</v>
      </c>
      <c r="DV114" t="s">
        <v>186</v>
      </c>
      <c r="DW114" t="s">
        <v>186</v>
      </c>
      <c r="DX114">
        <v>100</v>
      </c>
      <c r="EE114">
        <v>53507557</v>
      </c>
      <c r="EF114">
        <v>2</v>
      </c>
      <c r="EG114" t="s">
        <v>26</v>
      </c>
      <c r="EH114">
        <v>7</v>
      </c>
      <c r="EI114" t="s">
        <v>198</v>
      </c>
      <c r="EJ114">
        <v>1</v>
      </c>
      <c r="EK114">
        <v>7001</v>
      </c>
      <c r="EL114" t="s">
        <v>198</v>
      </c>
      <c r="EM114" t="s">
        <v>199</v>
      </c>
      <c r="EO114" t="s">
        <v>119</v>
      </c>
      <c r="EQ114">
        <v>0</v>
      </c>
      <c r="ER114">
        <v>1267.17</v>
      </c>
      <c r="ES114">
        <v>737.25</v>
      </c>
      <c r="ET114">
        <v>385.71</v>
      </c>
      <c r="EU114">
        <v>0</v>
      </c>
      <c r="EV114">
        <v>144.21</v>
      </c>
      <c r="EW114">
        <v>15.9</v>
      </c>
      <c r="EX114">
        <v>0</v>
      </c>
      <c r="EY114">
        <v>0</v>
      </c>
      <c r="FQ114">
        <v>0</v>
      </c>
      <c r="FR114">
        <f t="shared" si="133"/>
        <v>0</v>
      </c>
      <c r="FS114">
        <v>0</v>
      </c>
      <c r="FX114">
        <v>110</v>
      </c>
      <c r="FY114">
        <v>73</v>
      </c>
      <c r="GD114">
        <v>1</v>
      </c>
      <c r="GF114">
        <v>879018493</v>
      </c>
      <c r="GG114">
        <v>2</v>
      </c>
      <c r="GH114">
        <v>1</v>
      </c>
      <c r="GI114">
        <v>2</v>
      </c>
      <c r="GJ114">
        <v>0</v>
      </c>
      <c r="GK114">
        <v>0</v>
      </c>
      <c r="GL114">
        <f t="shared" si="134"/>
        <v>0</v>
      </c>
      <c r="GM114">
        <f t="shared" si="135"/>
        <v>12796</v>
      </c>
      <c r="GN114">
        <f t="shared" si="136"/>
        <v>12796</v>
      </c>
      <c r="GO114">
        <f t="shared" si="137"/>
        <v>0</v>
      </c>
      <c r="GP114">
        <f t="shared" si="138"/>
        <v>0</v>
      </c>
      <c r="GR114">
        <v>0</v>
      </c>
      <c r="GS114">
        <v>0</v>
      </c>
      <c r="GT114">
        <v>0</v>
      </c>
      <c r="GV114">
        <f t="shared" si="139"/>
        <v>0</v>
      </c>
      <c r="GW114">
        <v>1</v>
      </c>
      <c r="GX114">
        <f t="shared" si="140"/>
        <v>0</v>
      </c>
      <c r="HA114">
        <v>0</v>
      </c>
      <c r="HB114">
        <v>0</v>
      </c>
      <c r="HC114">
        <f t="shared" si="141"/>
        <v>0</v>
      </c>
      <c r="HN114" t="s">
        <v>200</v>
      </c>
      <c r="HO114" t="s">
        <v>201</v>
      </c>
      <c r="HP114" t="s">
        <v>198</v>
      </c>
      <c r="HQ114" t="s">
        <v>198</v>
      </c>
      <c r="IK114">
        <v>0</v>
      </c>
    </row>
    <row r="115" spans="1:255" ht="12.75">
      <c r="A115" s="2">
        <v>18</v>
      </c>
      <c r="B115" s="2">
        <v>1</v>
      </c>
      <c r="C115" s="2">
        <v>121</v>
      </c>
      <c r="D115" s="2"/>
      <c r="E115" s="2" t="s">
        <v>202</v>
      </c>
      <c r="F115" s="2" t="s">
        <v>203</v>
      </c>
      <c r="G115" s="2" t="s">
        <v>204</v>
      </c>
      <c r="H115" s="2" t="s">
        <v>205</v>
      </c>
      <c r="I115" s="2">
        <f>I113*J115</f>
        <v>9.75</v>
      </c>
      <c r="J115" s="2">
        <v>19.5</v>
      </c>
      <c r="K115" s="2">
        <v>19.5</v>
      </c>
      <c r="L115" s="2"/>
      <c r="M115" s="2"/>
      <c r="N115" s="2"/>
      <c r="O115" s="2">
        <f t="shared" si="108"/>
        <v>303</v>
      </c>
      <c r="P115" s="2">
        <f t="shared" si="109"/>
        <v>303</v>
      </c>
      <c r="Q115" s="2">
        <f t="shared" si="110"/>
        <v>0</v>
      </c>
      <c r="R115" s="2">
        <f t="shared" si="111"/>
        <v>0</v>
      </c>
      <c r="S115" s="2">
        <f t="shared" si="112"/>
        <v>0</v>
      </c>
      <c r="T115" s="2">
        <f t="shared" si="113"/>
        <v>0</v>
      </c>
      <c r="U115" s="2">
        <f t="shared" si="114"/>
        <v>0</v>
      </c>
      <c r="V115" s="2">
        <f t="shared" si="115"/>
        <v>0</v>
      </c>
      <c r="W115" s="2">
        <f t="shared" si="116"/>
        <v>0</v>
      </c>
      <c r="X115" s="2">
        <f t="shared" si="117"/>
        <v>0</v>
      </c>
      <c r="Y115" s="2">
        <f t="shared" si="118"/>
        <v>0</v>
      </c>
      <c r="Z115" s="2"/>
      <c r="AA115" s="2">
        <v>55110074</v>
      </c>
      <c r="AB115" s="2">
        <f t="shared" si="119"/>
        <v>31.08</v>
      </c>
      <c r="AC115" s="2">
        <f t="shared" si="98"/>
        <v>31.08</v>
      </c>
      <c r="AD115" s="2">
        <f>ROUND((((ET115)-(EU115))+AE115),2)</f>
        <v>0</v>
      </c>
      <c r="AE115" s="2">
        <f aca="true" t="shared" si="145" ref="AE115:AF118">ROUND((EU115),2)</f>
        <v>0</v>
      </c>
      <c r="AF115" s="2">
        <f t="shared" si="145"/>
        <v>0</v>
      </c>
      <c r="AG115" s="2">
        <f t="shared" si="120"/>
        <v>0</v>
      </c>
      <c r="AH115" s="2">
        <f aca="true" t="shared" si="146" ref="AH115:AI118">(EW115)</f>
        <v>0</v>
      </c>
      <c r="AI115" s="2">
        <f t="shared" si="146"/>
        <v>0</v>
      </c>
      <c r="AJ115" s="2">
        <f t="shared" si="121"/>
        <v>0</v>
      </c>
      <c r="AK115" s="2">
        <v>31.08</v>
      </c>
      <c r="AL115" s="2">
        <v>31.08</v>
      </c>
      <c r="AM115" s="2">
        <v>0</v>
      </c>
      <c r="AN115" s="2">
        <v>0</v>
      </c>
      <c r="AO115" s="2">
        <v>0</v>
      </c>
      <c r="AP115" s="2">
        <v>0</v>
      </c>
      <c r="AQ115" s="2">
        <v>0</v>
      </c>
      <c r="AR115" s="2">
        <v>0</v>
      </c>
      <c r="AS115" s="2">
        <v>0</v>
      </c>
      <c r="AT115" s="2">
        <v>103</v>
      </c>
      <c r="AU115" s="2">
        <v>73</v>
      </c>
      <c r="AV115" s="2">
        <v>1</v>
      </c>
      <c r="AW115" s="2">
        <v>1</v>
      </c>
      <c r="AX115" s="2"/>
      <c r="AY115" s="2"/>
      <c r="AZ115" s="2">
        <v>1</v>
      </c>
      <c r="BA115" s="2">
        <v>1</v>
      </c>
      <c r="BB115" s="2">
        <v>1</v>
      </c>
      <c r="BC115" s="2">
        <v>1</v>
      </c>
      <c r="BD115" s="2" t="s">
        <v>3</v>
      </c>
      <c r="BE115" s="2" t="s">
        <v>3</v>
      </c>
      <c r="BF115" s="2" t="s">
        <v>3</v>
      </c>
      <c r="BG115" s="2" t="s">
        <v>3</v>
      </c>
      <c r="BH115" s="2">
        <v>3</v>
      </c>
      <c r="BI115" s="2">
        <v>1</v>
      </c>
      <c r="BJ115" s="2" t="s">
        <v>206</v>
      </c>
      <c r="BK115" s="2"/>
      <c r="BL115" s="2"/>
      <c r="BM115" s="2">
        <v>46001</v>
      </c>
      <c r="BN115" s="2">
        <v>0</v>
      </c>
      <c r="BO115" s="2" t="s">
        <v>3</v>
      </c>
      <c r="BP115" s="2">
        <v>0</v>
      </c>
      <c r="BQ115" s="2">
        <v>2</v>
      </c>
      <c r="BR115" s="2">
        <v>0</v>
      </c>
      <c r="BS115" s="2">
        <v>1</v>
      </c>
      <c r="BT115" s="2">
        <v>1</v>
      </c>
      <c r="BU115" s="2">
        <v>1</v>
      </c>
      <c r="BV115" s="2">
        <v>1</v>
      </c>
      <c r="BW115" s="2">
        <v>1</v>
      </c>
      <c r="BX115" s="2">
        <v>1</v>
      </c>
      <c r="BY115" s="2" t="s">
        <v>3</v>
      </c>
      <c r="BZ115" s="2">
        <v>103</v>
      </c>
      <c r="CA115" s="2">
        <v>73</v>
      </c>
      <c r="CB115" s="2" t="s">
        <v>3</v>
      </c>
      <c r="CC115" s="2"/>
      <c r="CD115" s="2"/>
      <c r="CE115" s="2">
        <v>0</v>
      </c>
      <c r="CF115" s="2">
        <v>0</v>
      </c>
      <c r="CG115" s="2">
        <v>0</v>
      </c>
      <c r="CH115" s="2"/>
      <c r="CI115" s="2"/>
      <c r="CJ115" s="2"/>
      <c r="CK115" s="2"/>
      <c r="CL115" s="2"/>
      <c r="CM115" s="2">
        <v>0</v>
      </c>
      <c r="CN115" s="2" t="s">
        <v>3</v>
      </c>
      <c r="CO115" s="2">
        <v>0</v>
      </c>
      <c r="CP115" s="2">
        <f t="shared" si="122"/>
        <v>303</v>
      </c>
      <c r="CQ115" s="2">
        <f t="shared" si="123"/>
        <v>31.08</v>
      </c>
      <c r="CR115" s="2">
        <f t="shared" si="124"/>
        <v>0</v>
      </c>
      <c r="CS115" s="2">
        <f t="shared" si="125"/>
        <v>0</v>
      </c>
      <c r="CT115" s="2">
        <f t="shared" si="126"/>
        <v>0</v>
      </c>
      <c r="CU115" s="2">
        <f t="shared" si="127"/>
        <v>0</v>
      </c>
      <c r="CV115" s="2">
        <f t="shared" si="128"/>
        <v>0</v>
      </c>
      <c r="CW115" s="2">
        <f t="shared" si="129"/>
        <v>0</v>
      </c>
      <c r="CX115" s="2">
        <f t="shared" si="130"/>
        <v>0</v>
      </c>
      <c r="CY115" s="2">
        <f t="shared" si="131"/>
        <v>0</v>
      </c>
      <c r="CZ115" s="2">
        <f t="shared" si="132"/>
        <v>0</v>
      </c>
      <c r="DA115" s="2"/>
      <c r="DB115" s="2"/>
      <c r="DC115" s="2" t="s">
        <v>3</v>
      </c>
      <c r="DD115" s="2" t="s">
        <v>3</v>
      </c>
      <c r="DE115" s="2" t="s">
        <v>3</v>
      </c>
      <c r="DF115" s="2" t="s">
        <v>3</v>
      </c>
      <c r="DG115" s="2" t="s">
        <v>3</v>
      </c>
      <c r="DH115" s="2" t="s">
        <v>3</v>
      </c>
      <c r="DI115" s="2" t="s">
        <v>3</v>
      </c>
      <c r="DJ115" s="2" t="s">
        <v>3</v>
      </c>
      <c r="DK115" s="2" t="s">
        <v>3</v>
      </c>
      <c r="DL115" s="2" t="s">
        <v>3</v>
      </c>
      <c r="DM115" s="2" t="s">
        <v>3</v>
      </c>
      <c r="DN115" s="2">
        <v>0</v>
      </c>
      <c r="DO115" s="2">
        <v>0</v>
      </c>
      <c r="DP115" s="2">
        <v>1</v>
      </c>
      <c r="DQ115" s="2">
        <v>1</v>
      </c>
      <c r="DR115" s="2"/>
      <c r="DS115" s="2"/>
      <c r="DT115" s="2"/>
      <c r="DU115" s="2">
        <v>1009</v>
      </c>
      <c r="DV115" s="2" t="s">
        <v>205</v>
      </c>
      <c r="DW115" s="2" t="s">
        <v>205</v>
      </c>
      <c r="DX115" s="2">
        <v>1</v>
      </c>
      <c r="DY115" s="2"/>
      <c r="DZ115" s="2" t="s">
        <v>3</v>
      </c>
      <c r="EA115" s="2" t="s">
        <v>3</v>
      </c>
      <c r="EB115" s="2" t="s">
        <v>3</v>
      </c>
      <c r="EC115" s="2" t="s">
        <v>3</v>
      </c>
      <c r="ED115" s="2"/>
      <c r="EE115" s="2">
        <v>53507673</v>
      </c>
      <c r="EF115" s="2">
        <v>2</v>
      </c>
      <c r="EG115" s="2" t="s">
        <v>26</v>
      </c>
      <c r="EH115" s="2">
        <v>40</v>
      </c>
      <c r="EI115" s="2" t="s">
        <v>27</v>
      </c>
      <c r="EJ115" s="2">
        <v>1</v>
      </c>
      <c r="EK115" s="2">
        <v>46001</v>
      </c>
      <c r="EL115" s="2" t="s">
        <v>36</v>
      </c>
      <c r="EM115" s="2" t="s">
        <v>29</v>
      </c>
      <c r="EN115" s="2"/>
      <c r="EO115" s="2" t="s">
        <v>3</v>
      </c>
      <c r="EP115" s="2"/>
      <c r="EQ115" s="2">
        <v>0</v>
      </c>
      <c r="ER115" s="2">
        <v>31.08</v>
      </c>
      <c r="ES115" s="2">
        <v>31.08</v>
      </c>
      <c r="ET115" s="2">
        <v>0</v>
      </c>
      <c r="EU115" s="2">
        <v>0</v>
      </c>
      <c r="EV115" s="2">
        <v>0</v>
      </c>
      <c r="EW115" s="2">
        <v>0</v>
      </c>
      <c r="EX115" s="2">
        <v>0</v>
      </c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>
        <v>0</v>
      </c>
      <c r="FR115" s="2">
        <f t="shared" si="133"/>
        <v>0</v>
      </c>
      <c r="FS115" s="2">
        <v>0</v>
      </c>
      <c r="FT115" s="2"/>
      <c r="FU115" s="2"/>
      <c r="FV115" s="2"/>
      <c r="FW115" s="2"/>
      <c r="FX115" s="2">
        <v>103</v>
      </c>
      <c r="FY115" s="2">
        <v>73</v>
      </c>
      <c r="FZ115" s="2"/>
      <c r="GA115" s="2" t="s">
        <v>3</v>
      </c>
      <c r="GB115" s="2"/>
      <c r="GC115" s="2"/>
      <c r="GD115" s="2">
        <v>1</v>
      </c>
      <c r="GE115" s="2"/>
      <c r="GF115" s="2">
        <v>624972744</v>
      </c>
      <c r="GG115" s="2">
        <v>2</v>
      </c>
      <c r="GH115" s="2">
        <v>1</v>
      </c>
      <c r="GI115" s="2">
        <v>-2</v>
      </c>
      <c r="GJ115" s="2">
        <v>0</v>
      </c>
      <c r="GK115" s="2">
        <v>0</v>
      </c>
      <c r="GL115" s="2">
        <f t="shared" si="134"/>
        <v>0</v>
      </c>
      <c r="GM115" s="2">
        <f t="shared" si="135"/>
        <v>303</v>
      </c>
      <c r="GN115" s="2">
        <f t="shared" si="136"/>
        <v>303</v>
      </c>
      <c r="GO115" s="2">
        <f t="shared" si="137"/>
        <v>0</v>
      </c>
      <c r="GP115" s="2">
        <f t="shared" si="138"/>
        <v>0</v>
      </c>
      <c r="GQ115" s="2"/>
      <c r="GR115" s="2">
        <v>0</v>
      </c>
      <c r="GS115" s="2">
        <v>0</v>
      </c>
      <c r="GT115" s="2">
        <v>0</v>
      </c>
      <c r="GU115" s="2" t="s">
        <v>3</v>
      </c>
      <c r="GV115" s="2">
        <f t="shared" si="139"/>
        <v>0</v>
      </c>
      <c r="GW115" s="2">
        <v>1</v>
      </c>
      <c r="GX115" s="2">
        <f t="shared" si="140"/>
        <v>0</v>
      </c>
      <c r="GY115" s="2"/>
      <c r="GZ115" s="2"/>
      <c r="HA115" s="2">
        <v>0</v>
      </c>
      <c r="HB115" s="2">
        <v>0</v>
      </c>
      <c r="HC115" s="2">
        <f t="shared" si="141"/>
        <v>0</v>
      </c>
      <c r="HD115" s="2"/>
      <c r="HE115" s="2" t="s">
        <v>3</v>
      </c>
      <c r="HF115" s="2" t="s">
        <v>3</v>
      </c>
      <c r="HG115" s="2"/>
      <c r="HH115" s="2"/>
      <c r="HI115" s="2"/>
      <c r="HJ115" s="2"/>
      <c r="HK115" s="2"/>
      <c r="HL115" s="2"/>
      <c r="HM115" s="2" t="s">
        <v>3</v>
      </c>
      <c r="HN115" s="2" t="s">
        <v>37</v>
      </c>
      <c r="HO115" s="2" t="s">
        <v>38</v>
      </c>
      <c r="HP115" s="2" t="s">
        <v>36</v>
      </c>
      <c r="HQ115" s="2" t="s">
        <v>36</v>
      </c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>
        <v>0</v>
      </c>
      <c r="IL115" s="2"/>
      <c r="IM115" s="2"/>
      <c r="IN115" s="2"/>
      <c r="IO115" s="2"/>
      <c r="IP115" s="2"/>
      <c r="IQ115" s="2"/>
      <c r="IR115" s="2"/>
      <c r="IS115" s="2"/>
      <c r="IT115" s="2"/>
      <c r="IU115" s="2"/>
    </row>
    <row r="116" spans="1:245" ht="12.75">
      <c r="A116">
        <v>18</v>
      </c>
      <c r="B116">
        <v>1</v>
      </c>
      <c r="C116">
        <v>125</v>
      </c>
      <c r="E116" t="s">
        <v>202</v>
      </c>
      <c r="F116" t="s">
        <v>203</v>
      </c>
      <c r="G116" t="s">
        <v>204</v>
      </c>
      <c r="H116" t="s">
        <v>205</v>
      </c>
      <c r="I116">
        <f>I114*J116</f>
        <v>9.75</v>
      </c>
      <c r="J116">
        <v>19.5</v>
      </c>
      <c r="K116">
        <v>19.5</v>
      </c>
      <c r="O116">
        <f t="shared" si="108"/>
        <v>1561</v>
      </c>
      <c r="P116">
        <f t="shared" si="109"/>
        <v>1561</v>
      </c>
      <c r="Q116">
        <f t="shared" si="110"/>
        <v>0</v>
      </c>
      <c r="R116">
        <f t="shared" si="111"/>
        <v>0</v>
      </c>
      <c r="S116">
        <f t="shared" si="112"/>
        <v>0</v>
      </c>
      <c r="T116">
        <f t="shared" si="113"/>
        <v>0</v>
      </c>
      <c r="U116">
        <f t="shared" si="114"/>
        <v>0</v>
      </c>
      <c r="V116">
        <f t="shared" si="115"/>
        <v>0</v>
      </c>
      <c r="W116">
        <f t="shared" si="116"/>
        <v>0</v>
      </c>
      <c r="X116">
        <f t="shared" si="117"/>
        <v>0</v>
      </c>
      <c r="Y116">
        <f t="shared" si="118"/>
        <v>0</v>
      </c>
      <c r="AA116">
        <v>55110083</v>
      </c>
      <c r="AB116">
        <f t="shared" si="119"/>
        <v>31.08</v>
      </c>
      <c r="AC116">
        <f t="shared" si="98"/>
        <v>31.08</v>
      </c>
      <c r="AD116">
        <f>ROUND((((ET116)-(EU116))+AE116),2)</f>
        <v>0</v>
      </c>
      <c r="AE116">
        <f t="shared" si="145"/>
        <v>0</v>
      </c>
      <c r="AF116">
        <f t="shared" si="145"/>
        <v>0</v>
      </c>
      <c r="AG116">
        <f t="shared" si="120"/>
        <v>0</v>
      </c>
      <c r="AH116">
        <f t="shared" si="146"/>
        <v>0</v>
      </c>
      <c r="AI116">
        <f t="shared" si="146"/>
        <v>0</v>
      </c>
      <c r="AJ116">
        <f t="shared" si="121"/>
        <v>0</v>
      </c>
      <c r="AK116">
        <v>31.08</v>
      </c>
      <c r="AL116">
        <v>31.08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  <c r="AS116">
        <v>0</v>
      </c>
      <c r="AT116">
        <v>103</v>
      </c>
      <c r="AU116">
        <v>73</v>
      </c>
      <c r="AV116">
        <v>1</v>
      </c>
      <c r="AW116">
        <v>1</v>
      </c>
      <c r="AZ116">
        <v>1</v>
      </c>
      <c r="BA116">
        <v>1</v>
      </c>
      <c r="BB116">
        <v>1</v>
      </c>
      <c r="BC116">
        <v>5.15</v>
      </c>
      <c r="BH116">
        <v>3</v>
      </c>
      <c r="BI116">
        <v>1</v>
      </c>
      <c r="BJ116" t="s">
        <v>206</v>
      </c>
      <c r="BM116">
        <v>46001</v>
      </c>
      <c r="BN116">
        <v>0</v>
      </c>
      <c r="BO116" t="s">
        <v>203</v>
      </c>
      <c r="BP116">
        <v>1</v>
      </c>
      <c r="BQ116">
        <v>2</v>
      </c>
      <c r="BR116">
        <v>0</v>
      </c>
      <c r="BS116">
        <v>1</v>
      </c>
      <c r="BT116">
        <v>1</v>
      </c>
      <c r="BU116">
        <v>1</v>
      </c>
      <c r="BV116">
        <v>1</v>
      </c>
      <c r="BW116">
        <v>1</v>
      </c>
      <c r="BX116">
        <v>1</v>
      </c>
      <c r="BZ116">
        <v>103</v>
      </c>
      <c r="CA116">
        <v>73</v>
      </c>
      <c r="CE116">
        <v>0</v>
      </c>
      <c r="CF116">
        <v>0</v>
      </c>
      <c r="CG116">
        <v>0</v>
      </c>
      <c r="CM116">
        <v>0</v>
      </c>
      <c r="CO116">
        <v>0</v>
      </c>
      <c r="CP116">
        <f t="shared" si="122"/>
        <v>1561</v>
      </c>
      <c r="CQ116">
        <f t="shared" si="123"/>
        <v>160.062</v>
      </c>
      <c r="CR116">
        <f t="shared" si="124"/>
        <v>0</v>
      </c>
      <c r="CS116">
        <f t="shared" si="125"/>
        <v>0</v>
      </c>
      <c r="CT116">
        <f t="shared" si="126"/>
        <v>0</v>
      </c>
      <c r="CU116">
        <f t="shared" si="127"/>
        <v>0</v>
      </c>
      <c r="CV116">
        <f t="shared" si="128"/>
        <v>0</v>
      </c>
      <c r="CW116">
        <f t="shared" si="129"/>
        <v>0</v>
      </c>
      <c r="CX116">
        <f t="shared" si="130"/>
        <v>0</v>
      </c>
      <c r="CY116">
        <f t="shared" si="131"/>
        <v>0</v>
      </c>
      <c r="CZ116">
        <f t="shared" si="132"/>
        <v>0</v>
      </c>
      <c r="DN116">
        <v>0</v>
      </c>
      <c r="DO116">
        <v>0</v>
      </c>
      <c r="DP116">
        <v>1</v>
      </c>
      <c r="DQ116">
        <v>1</v>
      </c>
      <c r="DU116">
        <v>1009</v>
      </c>
      <c r="DV116" t="s">
        <v>205</v>
      </c>
      <c r="DW116" t="s">
        <v>205</v>
      </c>
      <c r="DX116">
        <v>1</v>
      </c>
      <c r="EE116">
        <v>53507673</v>
      </c>
      <c r="EF116">
        <v>2</v>
      </c>
      <c r="EG116" t="s">
        <v>26</v>
      </c>
      <c r="EH116">
        <v>40</v>
      </c>
      <c r="EI116" t="s">
        <v>27</v>
      </c>
      <c r="EJ116">
        <v>1</v>
      </c>
      <c r="EK116">
        <v>46001</v>
      </c>
      <c r="EL116" t="s">
        <v>36</v>
      </c>
      <c r="EM116" t="s">
        <v>29</v>
      </c>
      <c r="EQ116">
        <v>0</v>
      </c>
      <c r="ER116">
        <v>31.08</v>
      </c>
      <c r="ES116">
        <v>31.08</v>
      </c>
      <c r="ET116">
        <v>0</v>
      </c>
      <c r="EU116">
        <v>0</v>
      </c>
      <c r="EV116">
        <v>0</v>
      </c>
      <c r="EW116">
        <v>0</v>
      </c>
      <c r="EX116">
        <v>0</v>
      </c>
      <c r="FQ116">
        <v>0</v>
      </c>
      <c r="FR116">
        <f t="shared" si="133"/>
        <v>0</v>
      </c>
      <c r="FS116">
        <v>0</v>
      </c>
      <c r="FX116">
        <v>103</v>
      </c>
      <c r="FY116">
        <v>73</v>
      </c>
      <c r="GD116">
        <v>1</v>
      </c>
      <c r="GF116">
        <v>624972744</v>
      </c>
      <c r="GG116">
        <v>2</v>
      </c>
      <c r="GH116">
        <v>1</v>
      </c>
      <c r="GI116">
        <v>2</v>
      </c>
      <c r="GJ116">
        <v>0</v>
      </c>
      <c r="GK116">
        <v>0</v>
      </c>
      <c r="GL116">
        <f t="shared" si="134"/>
        <v>0</v>
      </c>
      <c r="GM116">
        <f t="shared" si="135"/>
        <v>1561</v>
      </c>
      <c r="GN116">
        <f t="shared" si="136"/>
        <v>1561</v>
      </c>
      <c r="GO116">
        <f t="shared" si="137"/>
        <v>0</v>
      </c>
      <c r="GP116">
        <f t="shared" si="138"/>
        <v>0</v>
      </c>
      <c r="GR116">
        <v>0</v>
      </c>
      <c r="GS116">
        <v>0</v>
      </c>
      <c r="GT116">
        <v>0</v>
      </c>
      <c r="GV116">
        <f t="shared" si="139"/>
        <v>0</v>
      </c>
      <c r="GW116">
        <v>1</v>
      </c>
      <c r="GX116">
        <f t="shared" si="140"/>
        <v>0</v>
      </c>
      <c r="HA116">
        <v>0</v>
      </c>
      <c r="HB116">
        <v>0</v>
      </c>
      <c r="HC116">
        <f t="shared" si="141"/>
        <v>0</v>
      </c>
      <c r="HN116" t="s">
        <v>37</v>
      </c>
      <c r="HO116" t="s">
        <v>38</v>
      </c>
      <c r="HP116" t="s">
        <v>36</v>
      </c>
      <c r="HQ116" t="s">
        <v>36</v>
      </c>
      <c r="IK116">
        <v>0</v>
      </c>
    </row>
    <row r="117" spans="1:255" ht="12.75">
      <c r="A117" s="2">
        <v>18</v>
      </c>
      <c r="B117" s="2">
        <v>1</v>
      </c>
      <c r="C117" s="2">
        <v>122</v>
      </c>
      <c r="D117" s="2"/>
      <c r="E117" s="2" t="s">
        <v>207</v>
      </c>
      <c r="F117" s="2" t="s">
        <v>208</v>
      </c>
      <c r="G117" s="2" t="s">
        <v>209</v>
      </c>
      <c r="H117" s="2" t="s">
        <v>125</v>
      </c>
      <c r="I117" s="2">
        <f>I113*J117</f>
        <v>-0.0375</v>
      </c>
      <c r="J117" s="2">
        <v>-0.075</v>
      </c>
      <c r="K117" s="2">
        <v>-0.075</v>
      </c>
      <c r="L117" s="2"/>
      <c r="M117" s="2"/>
      <c r="N117" s="2"/>
      <c r="O117" s="2">
        <f t="shared" si="108"/>
        <v>-369</v>
      </c>
      <c r="P117" s="2">
        <f t="shared" si="109"/>
        <v>-369</v>
      </c>
      <c r="Q117" s="2">
        <f t="shared" si="110"/>
        <v>0</v>
      </c>
      <c r="R117" s="2">
        <f t="shared" si="111"/>
        <v>0</v>
      </c>
      <c r="S117" s="2">
        <f t="shared" si="112"/>
        <v>0</v>
      </c>
      <c r="T117" s="2">
        <f t="shared" si="113"/>
        <v>0</v>
      </c>
      <c r="U117" s="2">
        <f t="shared" si="114"/>
        <v>0</v>
      </c>
      <c r="V117" s="2">
        <f t="shared" si="115"/>
        <v>0</v>
      </c>
      <c r="W117" s="2">
        <f t="shared" si="116"/>
        <v>0</v>
      </c>
      <c r="X117" s="2">
        <f t="shared" si="117"/>
        <v>0</v>
      </c>
      <c r="Y117" s="2">
        <f t="shared" si="118"/>
        <v>0</v>
      </c>
      <c r="Z117" s="2"/>
      <c r="AA117" s="2">
        <v>55110074</v>
      </c>
      <c r="AB117" s="2">
        <f t="shared" si="119"/>
        <v>9830</v>
      </c>
      <c r="AC117" s="2">
        <f t="shared" si="98"/>
        <v>9830</v>
      </c>
      <c r="AD117" s="2">
        <f>ROUND((((ET117)-(EU117))+AE117),2)</f>
        <v>0</v>
      </c>
      <c r="AE117" s="2">
        <f t="shared" si="145"/>
        <v>0</v>
      </c>
      <c r="AF117" s="2">
        <f t="shared" si="145"/>
        <v>0</v>
      </c>
      <c r="AG117" s="2">
        <f t="shared" si="120"/>
        <v>0</v>
      </c>
      <c r="AH117" s="2">
        <f t="shared" si="146"/>
        <v>0</v>
      </c>
      <c r="AI117" s="2">
        <f t="shared" si="146"/>
        <v>0</v>
      </c>
      <c r="AJ117" s="2">
        <f t="shared" si="121"/>
        <v>0</v>
      </c>
      <c r="AK117" s="2">
        <v>9830</v>
      </c>
      <c r="AL117" s="2">
        <v>9830</v>
      </c>
      <c r="AM117" s="2">
        <v>0</v>
      </c>
      <c r="AN117" s="2">
        <v>0</v>
      </c>
      <c r="AO117" s="2">
        <v>0</v>
      </c>
      <c r="AP117" s="2">
        <v>0</v>
      </c>
      <c r="AQ117" s="2">
        <v>0</v>
      </c>
      <c r="AR117" s="2">
        <v>0</v>
      </c>
      <c r="AS117" s="2">
        <v>0</v>
      </c>
      <c r="AT117" s="2">
        <v>110</v>
      </c>
      <c r="AU117" s="2">
        <v>73</v>
      </c>
      <c r="AV117" s="2">
        <v>1</v>
      </c>
      <c r="AW117" s="2">
        <v>1</v>
      </c>
      <c r="AX117" s="2"/>
      <c r="AY117" s="2"/>
      <c r="AZ117" s="2">
        <v>1</v>
      </c>
      <c r="BA117" s="2">
        <v>1</v>
      </c>
      <c r="BB117" s="2">
        <v>1</v>
      </c>
      <c r="BC117" s="2">
        <v>1</v>
      </c>
      <c r="BD117" s="2" t="s">
        <v>3</v>
      </c>
      <c r="BE117" s="2" t="s">
        <v>3</v>
      </c>
      <c r="BF117" s="2" t="s">
        <v>3</v>
      </c>
      <c r="BG117" s="2" t="s">
        <v>3</v>
      </c>
      <c r="BH117" s="2">
        <v>3</v>
      </c>
      <c r="BI117" s="2">
        <v>1</v>
      </c>
      <c r="BJ117" s="2" t="s">
        <v>210</v>
      </c>
      <c r="BK117" s="2"/>
      <c r="BL117" s="2"/>
      <c r="BM117" s="2">
        <v>7001</v>
      </c>
      <c r="BN117" s="2">
        <v>0</v>
      </c>
      <c r="BO117" s="2" t="s">
        <v>3</v>
      </c>
      <c r="BP117" s="2">
        <v>0</v>
      </c>
      <c r="BQ117" s="2">
        <v>2</v>
      </c>
      <c r="BR117" s="2">
        <v>1</v>
      </c>
      <c r="BS117" s="2">
        <v>1</v>
      </c>
      <c r="BT117" s="2">
        <v>1</v>
      </c>
      <c r="BU117" s="2">
        <v>1</v>
      </c>
      <c r="BV117" s="2">
        <v>1</v>
      </c>
      <c r="BW117" s="2">
        <v>1</v>
      </c>
      <c r="BX117" s="2">
        <v>1</v>
      </c>
      <c r="BY117" s="2" t="s">
        <v>3</v>
      </c>
      <c r="BZ117" s="2">
        <v>110</v>
      </c>
      <c r="CA117" s="2">
        <v>73</v>
      </c>
      <c r="CB117" s="2" t="s">
        <v>3</v>
      </c>
      <c r="CC117" s="2"/>
      <c r="CD117" s="2"/>
      <c r="CE117" s="2">
        <v>0</v>
      </c>
      <c r="CF117" s="2">
        <v>0</v>
      </c>
      <c r="CG117" s="2">
        <v>0</v>
      </c>
      <c r="CH117" s="2"/>
      <c r="CI117" s="2"/>
      <c r="CJ117" s="2"/>
      <c r="CK117" s="2"/>
      <c r="CL117" s="2"/>
      <c r="CM117" s="2">
        <v>0</v>
      </c>
      <c r="CN117" s="2" t="s">
        <v>3</v>
      </c>
      <c r="CO117" s="2">
        <v>0</v>
      </c>
      <c r="CP117" s="2">
        <f t="shared" si="122"/>
        <v>-369</v>
      </c>
      <c r="CQ117" s="2">
        <f t="shared" si="123"/>
        <v>9830</v>
      </c>
      <c r="CR117" s="2">
        <f t="shared" si="124"/>
        <v>0</v>
      </c>
      <c r="CS117" s="2">
        <f t="shared" si="125"/>
        <v>0</v>
      </c>
      <c r="CT117" s="2">
        <f t="shared" si="126"/>
        <v>0</v>
      </c>
      <c r="CU117" s="2">
        <f t="shared" si="127"/>
        <v>0</v>
      </c>
      <c r="CV117" s="2">
        <f t="shared" si="128"/>
        <v>0</v>
      </c>
      <c r="CW117" s="2">
        <f t="shared" si="129"/>
        <v>0</v>
      </c>
      <c r="CX117" s="2">
        <f t="shared" si="130"/>
        <v>0</v>
      </c>
      <c r="CY117" s="2">
        <f t="shared" si="131"/>
        <v>0</v>
      </c>
      <c r="CZ117" s="2">
        <f t="shared" si="132"/>
        <v>0</v>
      </c>
      <c r="DA117" s="2"/>
      <c r="DB117" s="2"/>
      <c r="DC117" s="2" t="s">
        <v>3</v>
      </c>
      <c r="DD117" s="2" t="s">
        <v>3</v>
      </c>
      <c r="DE117" s="2" t="s">
        <v>3</v>
      </c>
      <c r="DF117" s="2" t="s">
        <v>3</v>
      </c>
      <c r="DG117" s="2" t="s">
        <v>3</v>
      </c>
      <c r="DH117" s="2" t="s">
        <v>3</v>
      </c>
      <c r="DI117" s="2" t="s">
        <v>3</v>
      </c>
      <c r="DJ117" s="2" t="s">
        <v>3</v>
      </c>
      <c r="DK117" s="2" t="s">
        <v>3</v>
      </c>
      <c r="DL117" s="2" t="s">
        <v>3</v>
      </c>
      <c r="DM117" s="2" t="s">
        <v>3</v>
      </c>
      <c r="DN117" s="2">
        <v>0</v>
      </c>
      <c r="DO117" s="2">
        <v>0</v>
      </c>
      <c r="DP117" s="2">
        <v>1</v>
      </c>
      <c r="DQ117" s="2">
        <v>1</v>
      </c>
      <c r="DR117" s="2"/>
      <c r="DS117" s="2"/>
      <c r="DT117" s="2"/>
      <c r="DU117" s="2">
        <v>1009</v>
      </c>
      <c r="DV117" s="2" t="s">
        <v>125</v>
      </c>
      <c r="DW117" s="2" t="s">
        <v>125</v>
      </c>
      <c r="DX117" s="2">
        <v>1000</v>
      </c>
      <c r="DY117" s="2"/>
      <c r="DZ117" s="2" t="s">
        <v>3</v>
      </c>
      <c r="EA117" s="2" t="s">
        <v>3</v>
      </c>
      <c r="EB117" s="2" t="s">
        <v>3</v>
      </c>
      <c r="EC117" s="2" t="s">
        <v>3</v>
      </c>
      <c r="ED117" s="2"/>
      <c r="EE117" s="2">
        <v>53507557</v>
      </c>
      <c r="EF117" s="2">
        <v>2</v>
      </c>
      <c r="EG117" s="2" t="s">
        <v>26</v>
      </c>
      <c r="EH117" s="2">
        <v>7</v>
      </c>
      <c r="EI117" s="2" t="s">
        <v>198</v>
      </c>
      <c r="EJ117" s="2">
        <v>1</v>
      </c>
      <c r="EK117" s="2">
        <v>7001</v>
      </c>
      <c r="EL117" s="2" t="s">
        <v>198</v>
      </c>
      <c r="EM117" s="2" t="s">
        <v>199</v>
      </c>
      <c r="EN117" s="2"/>
      <c r="EO117" s="2" t="s">
        <v>3</v>
      </c>
      <c r="EP117" s="2"/>
      <c r="EQ117" s="2">
        <v>0</v>
      </c>
      <c r="ER117" s="2">
        <v>9830</v>
      </c>
      <c r="ES117" s="2">
        <v>9830</v>
      </c>
      <c r="ET117" s="2">
        <v>0</v>
      </c>
      <c r="EU117" s="2">
        <v>0</v>
      </c>
      <c r="EV117" s="2">
        <v>0</v>
      </c>
      <c r="EW117" s="2">
        <v>0</v>
      </c>
      <c r="EX117" s="2">
        <v>0</v>
      </c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>
        <v>0</v>
      </c>
      <c r="FR117" s="2">
        <f t="shared" si="133"/>
        <v>0</v>
      </c>
      <c r="FS117" s="2">
        <v>0</v>
      </c>
      <c r="FT117" s="2"/>
      <c r="FU117" s="2"/>
      <c r="FV117" s="2"/>
      <c r="FW117" s="2"/>
      <c r="FX117" s="2">
        <v>110</v>
      </c>
      <c r="FY117" s="2">
        <v>73</v>
      </c>
      <c r="FZ117" s="2"/>
      <c r="GA117" s="2" t="s">
        <v>3</v>
      </c>
      <c r="GB117" s="2"/>
      <c r="GC117" s="2"/>
      <c r="GD117" s="2">
        <v>1</v>
      </c>
      <c r="GE117" s="2"/>
      <c r="GF117" s="2">
        <v>-1989106859</v>
      </c>
      <c r="GG117" s="2">
        <v>2</v>
      </c>
      <c r="GH117" s="2">
        <v>1</v>
      </c>
      <c r="GI117" s="2">
        <v>-2</v>
      </c>
      <c r="GJ117" s="2">
        <v>0</v>
      </c>
      <c r="GK117" s="2">
        <v>0</v>
      </c>
      <c r="GL117" s="2">
        <f t="shared" si="134"/>
        <v>0</v>
      </c>
      <c r="GM117" s="2">
        <f t="shared" si="135"/>
        <v>-369</v>
      </c>
      <c r="GN117" s="2">
        <f t="shared" si="136"/>
        <v>-369</v>
      </c>
      <c r="GO117" s="2">
        <f t="shared" si="137"/>
        <v>0</v>
      </c>
      <c r="GP117" s="2">
        <f t="shared" si="138"/>
        <v>0</v>
      </c>
      <c r="GQ117" s="2"/>
      <c r="GR117" s="2">
        <v>0</v>
      </c>
      <c r="GS117" s="2">
        <v>0</v>
      </c>
      <c r="GT117" s="2">
        <v>0</v>
      </c>
      <c r="GU117" s="2" t="s">
        <v>3</v>
      </c>
      <c r="GV117" s="2">
        <f t="shared" si="139"/>
        <v>0</v>
      </c>
      <c r="GW117" s="2">
        <v>1</v>
      </c>
      <c r="GX117" s="2">
        <f t="shared" si="140"/>
        <v>0</v>
      </c>
      <c r="GY117" s="2"/>
      <c r="GZ117" s="2"/>
      <c r="HA117" s="2">
        <v>0</v>
      </c>
      <c r="HB117" s="2">
        <v>0</v>
      </c>
      <c r="HC117" s="2">
        <f t="shared" si="141"/>
        <v>0</v>
      </c>
      <c r="HD117" s="2"/>
      <c r="HE117" s="2" t="s">
        <v>3</v>
      </c>
      <c r="HF117" s="2" t="s">
        <v>3</v>
      </c>
      <c r="HG117" s="2"/>
      <c r="HH117" s="2"/>
      <c r="HI117" s="2"/>
      <c r="HJ117" s="2"/>
      <c r="HK117" s="2"/>
      <c r="HL117" s="2"/>
      <c r="HM117" s="2" t="s">
        <v>3</v>
      </c>
      <c r="HN117" s="2" t="s">
        <v>200</v>
      </c>
      <c r="HO117" s="2" t="s">
        <v>201</v>
      </c>
      <c r="HP117" s="2" t="s">
        <v>198</v>
      </c>
      <c r="HQ117" s="2" t="s">
        <v>198</v>
      </c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>
        <v>0</v>
      </c>
      <c r="IL117" s="2"/>
      <c r="IM117" s="2"/>
      <c r="IN117" s="2"/>
      <c r="IO117" s="2"/>
      <c r="IP117" s="2"/>
      <c r="IQ117" s="2"/>
      <c r="IR117" s="2"/>
      <c r="IS117" s="2"/>
      <c r="IT117" s="2"/>
      <c r="IU117" s="2"/>
    </row>
    <row r="118" spans="1:245" ht="12.75">
      <c r="A118">
        <v>18</v>
      </c>
      <c r="B118">
        <v>1</v>
      </c>
      <c r="C118">
        <v>126</v>
      </c>
      <c r="E118" t="s">
        <v>207</v>
      </c>
      <c r="F118" t="s">
        <v>208</v>
      </c>
      <c r="G118" t="s">
        <v>209</v>
      </c>
      <c r="H118" t="s">
        <v>125</v>
      </c>
      <c r="I118">
        <f>I114*J118</f>
        <v>-0.0375</v>
      </c>
      <c r="J118">
        <v>-0.075</v>
      </c>
      <c r="K118">
        <v>-0.075</v>
      </c>
      <c r="O118">
        <f t="shared" si="108"/>
        <v>-3233</v>
      </c>
      <c r="P118">
        <f t="shared" si="109"/>
        <v>-3233</v>
      </c>
      <c r="Q118">
        <f t="shared" si="110"/>
        <v>0</v>
      </c>
      <c r="R118">
        <f t="shared" si="111"/>
        <v>0</v>
      </c>
      <c r="S118">
        <f t="shared" si="112"/>
        <v>0</v>
      </c>
      <c r="T118">
        <f t="shared" si="113"/>
        <v>0</v>
      </c>
      <c r="U118">
        <f t="shared" si="114"/>
        <v>0</v>
      </c>
      <c r="V118">
        <f t="shared" si="115"/>
        <v>0</v>
      </c>
      <c r="W118">
        <f t="shared" si="116"/>
        <v>0</v>
      </c>
      <c r="X118">
        <f t="shared" si="117"/>
        <v>0</v>
      </c>
      <c r="Y118">
        <f t="shared" si="118"/>
        <v>0</v>
      </c>
      <c r="AA118">
        <v>55110083</v>
      </c>
      <c r="AB118">
        <f t="shared" si="119"/>
        <v>9830</v>
      </c>
      <c r="AC118">
        <f t="shared" si="98"/>
        <v>9830</v>
      </c>
      <c r="AD118">
        <f>ROUND((((ET118)-(EU118))+AE118),2)</f>
        <v>0</v>
      </c>
      <c r="AE118">
        <f t="shared" si="145"/>
        <v>0</v>
      </c>
      <c r="AF118">
        <f t="shared" si="145"/>
        <v>0</v>
      </c>
      <c r="AG118">
        <f t="shared" si="120"/>
        <v>0</v>
      </c>
      <c r="AH118">
        <f t="shared" si="146"/>
        <v>0</v>
      </c>
      <c r="AI118">
        <f t="shared" si="146"/>
        <v>0</v>
      </c>
      <c r="AJ118">
        <f t="shared" si="121"/>
        <v>0</v>
      </c>
      <c r="AK118">
        <v>9830</v>
      </c>
      <c r="AL118">
        <v>9830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  <c r="AS118">
        <v>0</v>
      </c>
      <c r="AT118">
        <v>110</v>
      </c>
      <c r="AU118">
        <v>73</v>
      </c>
      <c r="AV118">
        <v>1</v>
      </c>
      <c r="AW118">
        <v>1</v>
      </c>
      <c r="AZ118">
        <v>1</v>
      </c>
      <c r="BA118">
        <v>1</v>
      </c>
      <c r="BB118">
        <v>1</v>
      </c>
      <c r="BC118">
        <v>8.77</v>
      </c>
      <c r="BH118">
        <v>3</v>
      </c>
      <c r="BI118">
        <v>1</v>
      </c>
      <c r="BJ118" t="s">
        <v>210</v>
      </c>
      <c r="BM118">
        <v>7001</v>
      </c>
      <c r="BN118">
        <v>0</v>
      </c>
      <c r="BO118" t="s">
        <v>208</v>
      </c>
      <c r="BP118">
        <v>1</v>
      </c>
      <c r="BQ118">
        <v>2</v>
      </c>
      <c r="BR118">
        <v>1</v>
      </c>
      <c r="BS118">
        <v>1</v>
      </c>
      <c r="BT118">
        <v>1</v>
      </c>
      <c r="BU118">
        <v>1</v>
      </c>
      <c r="BV118">
        <v>1</v>
      </c>
      <c r="BW118">
        <v>1</v>
      </c>
      <c r="BX118">
        <v>1</v>
      </c>
      <c r="BZ118">
        <v>110</v>
      </c>
      <c r="CA118">
        <v>73</v>
      </c>
      <c r="CE118">
        <v>0</v>
      </c>
      <c r="CF118">
        <v>0</v>
      </c>
      <c r="CG118">
        <v>0</v>
      </c>
      <c r="CM118">
        <v>0</v>
      </c>
      <c r="CO118">
        <v>0</v>
      </c>
      <c r="CP118">
        <f t="shared" si="122"/>
        <v>-3233</v>
      </c>
      <c r="CQ118">
        <f t="shared" si="123"/>
        <v>86209.09999999999</v>
      </c>
      <c r="CR118">
        <f t="shared" si="124"/>
        <v>0</v>
      </c>
      <c r="CS118">
        <f t="shared" si="125"/>
        <v>0</v>
      </c>
      <c r="CT118">
        <f t="shared" si="126"/>
        <v>0</v>
      </c>
      <c r="CU118">
        <f t="shared" si="127"/>
        <v>0</v>
      </c>
      <c r="CV118">
        <f t="shared" si="128"/>
        <v>0</v>
      </c>
      <c r="CW118">
        <f t="shared" si="129"/>
        <v>0</v>
      </c>
      <c r="CX118">
        <f t="shared" si="130"/>
        <v>0</v>
      </c>
      <c r="CY118">
        <f t="shared" si="131"/>
        <v>0</v>
      </c>
      <c r="CZ118">
        <f t="shared" si="132"/>
        <v>0</v>
      </c>
      <c r="DN118">
        <v>0</v>
      </c>
      <c r="DO118">
        <v>0</v>
      </c>
      <c r="DP118">
        <v>1</v>
      </c>
      <c r="DQ118">
        <v>1</v>
      </c>
      <c r="DU118">
        <v>1009</v>
      </c>
      <c r="DV118" t="s">
        <v>125</v>
      </c>
      <c r="DW118" t="s">
        <v>125</v>
      </c>
      <c r="DX118">
        <v>1000</v>
      </c>
      <c r="EE118">
        <v>53507557</v>
      </c>
      <c r="EF118">
        <v>2</v>
      </c>
      <c r="EG118" t="s">
        <v>26</v>
      </c>
      <c r="EH118">
        <v>7</v>
      </c>
      <c r="EI118" t="s">
        <v>198</v>
      </c>
      <c r="EJ118">
        <v>1</v>
      </c>
      <c r="EK118">
        <v>7001</v>
      </c>
      <c r="EL118" t="s">
        <v>198</v>
      </c>
      <c r="EM118" t="s">
        <v>199</v>
      </c>
      <c r="EQ118">
        <v>0</v>
      </c>
      <c r="ER118">
        <v>9830</v>
      </c>
      <c r="ES118">
        <v>9830</v>
      </c>
      <c r="ET118">
        <v>0</v>
      </c>
      <c r="EU118">
        <v>0</v>
      </c>
      <c r="EV118">
        <v>0</v>
      </c>
      <c r="EW118">
        <v>0</v>
      </c>
      <c r="EX118">
        <v>0</v>
      </c>
      <c r="FQ118">
        <v>0</v>
      </c>
      <c r="FR118">
        <f t="shared" si="133"/>
        <v>0</v>
      </c>
      <c r="FS118">
        <v>0</v>
      </c>
      <c r="FX118">
        <v>110</v>
      </c>
      <c r="FY118">
        <v>73</v>
      </c>
      <c r="GD118">
        <v>1</v>
      </c>
      <c r="GF118">
        <v>-1989106859</v>
      </c>
      <c r="GG118">
        <v>2</v>
      </c>
      <c r="GH118">
        <v>1</v>
      </c>
      <c r="GI118">
        <v>2</v>
      </c>
      <c r="GJ118">
        <v>0</v>
      </c>
      <c r="GK118">
        <v>0</v>
      </c>
      <c r="GL118">
        <f t="shared" si="134"/>
        <v>0</v>
      </c>
      <c r="GM118">
        <f t="shared" si="135"/>
        <v>-3233</v>
      </c>
      <c r="GN118">
        <f t="shared" si="136"/>
        <v>-3233</v>
      </c>
      <c r="GO118">
        <f t="shared" si="137"/>
        <v>0</v>
      </c>
      <c r="GP118">
        <f t="shared" si="138"/>
        <v>0</v>
      </c>
      <c r="GR118">
        <v>0</v>
      </c>
      <c r="GS118">
        <v>0</v>
      </c>
      <c r="GT118">
        <v>0</v>
      </c>
      <c r="GV118">
        <f t="shared" si="139"/>
        <v>0</v>
      </c>
      <c r="GW118">
        <v>1</v>
      </c>
      <c r="GX118">
        <f t="shared" si="140"/>
        <v>0</v>
      </c>
      <c r="HA118">
        <v>0</v>
      </c>
      <c r="HB118">
        <v>0</v>
      </c>
      <c r="HC118">
        <f t="shared" si="141"/>
        <v>0</v>
      </c>
      <c r="HN118" t="s">
        <v>200</v>
      </c>
      <c r="HO118" t="s">
        <v>201</v>
      </c>
      <c r="HP118" t="s">
        <v>198</v>
      </c>
      <c r="HQ118" t="s">
        <v>198</v>
      </c>
      <c r="IK118">
        <v>0</v>
      </c>
    </row>
    <row r="119" spans="1:255" ht="12.75">
      <c r="A119" s="2">
        <v>17</v>
      </c>
      <c r="B119" s="2">
        <v>1</v>
      </c>
      <c r="C119" s="2">
        <f>ROW(SmtRes!A130)</f>
        <v>130</v>
      </c>
      <c r="D119" s="2">
        <f>ROW(EtalonRes!A125)</f>
        <v>125</v>
      </c>
      <c r="E119" s="2" t="s">
        <v>211</v>
      </c>
      <c r="F119" s="2" t="s">
        <v>212</v>
      </c>
      <c r="G119" s="2" t="s">
        <v>213</v>
      </c>
      <c r="H119" s="2" t="s">
        <v>186</v>
      </c>
      <c r="I119" s="2">
        <f>ROUND(70/100,7)</f>
        <v>0.7</v>
      </c>
      <c r="J119" s="2">
        <v>0</v>
      </c>
      <c r="K119" s="2">
        <f>ROUND(70/100,7)</f>
        <v>0.7</v>
      </c>
      <c r="L119" s="2"/>
      <c r="M119" s="2"/>
      <c r="N119" s="2"/>
      <c r="O119" s="2">
        <f t="shared" si="108"/>
        <v>1130</v>
      </c>
      <c r="P119" s="2">
        <f t="shared" si="109"/>
        <v>585</v>
      </c>
      <c r="Q119" s="2">
        <f t="shared" si="110"/>
        <v>403</v>
      </c>
      <c r="R119" s="2">
        <f t="shared" si="111"/>
        <v>0</v>
      </c>
      <c r="S119" s="2">
        <f t="shared" si="112"/>
        <v>142</v>
      </c>
      <c r="T119" s="2">
        <f t="shared" si="113"/>
        <v>0</v>
      </c>
      <c r="U119" s="2">
        <f t="shared" si="114"/>
        <v>15.294999999999998</v>
      </c>
      <c r="V119" s="2">
        <f t="shared" si="115"/>
        <v>0</v>
      </c>
      <c r="W119" s="2">
        <f t="shared" si="116"/>
        <v>0</v>
      </c>
      <c r="X119" s="2">
        <f t="shared" si="117"/>
        <v>156</v>
      </c>
      <c r="Y119" s="2">
        <f t="shared" si="118"/>
        <v>104</v>
      </c>
      <c r="Z119" s="2"/>
      <c r="AA119" s="2">
        <v>55110074</v>
      </c>
      <c r="AB119" s="2">
        <f t="shared" si="119"/>
        <v>1614.28</v>
      </c>
      <c r="AC119" s="2">
        <f t="shared" si="98"/>
        <v>835.55</v>
      </c>
      <c r="AD119" s="2">
        <f>ROUND(((((ET119*ROUND(1.25,7)))-((EU119*ROUND(1.25,7))))+AE119),2)</f>
        <v>575.74</v>
      </c>
      <c r="AE119" s="2">
        <f>ROUND(((EU119*ROUND(1.25,7))),2)</f>
        <v>0</v>
      </c>
      <c r="AF119" s="2">
        <f>ROUND(((EV119*ROUND(1.15,7))),2)</f>
        <v>202.99</v>
      </c>
      <c r="AG119" s="2">
        <f t="shared" si="120"/>
        <v>0</v>
      </c>
      <c r="AH119" s="2">
        <f>((EW119*ROUND(1.15,7)))</f>
        <v>21.849999999999998</v>
      </c>
      <c r="AI119" s="2">
        <f>((EX119*ROUND(1.25,7)))</f>
        <v>0</v>
      </c>
      <c r="AJ119" s="2">
        <f t="shared" si="121"/>
        <v>0</v>
      </c>
      <c r="AK119" s="2">
        <v>1472.65</v>
      </c>
      <c r="AL119" s="2">
        <v>835.55</v>
      </c>
      <c r="AM119" s="2">
        <v>460.59</v>
      </c>
      <c r="AN119" s="2">
        <v>0</v>
      </c>
      <c r="AO119" s="2">
        <v>176.51</v>
      </c>
      <c r="AP119" s="2">
        <v>0</v>
      </c>
      <c r="AQ119" s="2">
        <v>19</v>
      </c>
      <c r="AR119" s="2">
        <v>0</v>
      </c>
      <c r="AS119" s="2">
        <v>0</v>
      </c>
      <c r="AT119" s="2">
        <v>110</v>
      </c>
      <c r="AU119" s="2">
        <v>73</v>
      </c>
      <c r="AV119" s="2">
        <v>1</v>
      </c>
      <c r="AW119" s="2">
        <v>1</v>
      </c>
      <c r="AX119" s="2"/>
      <c r="AY119" s="2"/>
      <c r="AZ119" s="2">
        <v>1</v>
      </c>
      <c r="BA119" s="2">
        <v>1</v>
      </c>
      <c r="BB119" s="2">
        <v>1</v>
      </c>
      <c r="BC119" s="2">
        <v>1</v>
      </c>
      <c r="BD119" s="2" t="s">
        <v>3</v>
      </c>
      <c r="BE119" s="2" t="s">
        <v>3</v>
      </c>
      <c r="BF119" s="2" t="s">
        <v>3</v>
      </c>
      <c r="BG119" s="2" t="s">
        <v>3</v>
      </c>
      <c r="BH119" s="2">
        <v>0</v>
      </c>
      <c r="BI119" s="2">
        <v>1</v>
      </c>
      <c r="BJ119" s="2" t="s">
        <v>214</v>
      </c>
      <c r="BK119" s="2"/>
      <c r="BL119" s="2"/>
      <c r="BM119" s="2">
        <v>7001</v>
      </c>
      <c r="BN119" s="2">
        <v>0</v>
      </c>
      <c r="BO119" s="2" t="s">
        <v>3</v>
      </c>
      <c r="BP119" s="2">
        <v>0</v>
      </c>
      <c r="BQ119" s="2">
        <v>2</v>
      </c>
      <c r="BR119" s="2">
        <v>0</v>
      </c>
      <c r="BS119" s="2">
        <v>1</v>
      </c>
      <c r="BT119" s="2">
        <v>1</v>
      </c>
      <c r="BU119" s="2">
        <v>1</v>
      </c>
      <c r="BV119" s="2">
        <v>1</v>
      </c>
      <c r="BW119" s="2">
        <v>1</v>
      </c>
      <c r="BX119" s="2">
        <v>1</v>
      </c>
      <c r="BY119" s="2" t="s">
        <v>3</v>
      </c>
      <c r="BZ119" s="2">
        <v>110</v>
      </c>
      <c r="CA119" s="2">
        <v>73</v>
      </c>
      <c r="CB119" s="2" t="s">
        <v>3</v>
      </c>
      <c r="CC119" s="2"/>
      <c r="CD119" s="2"/>
      <c r="CE119" s="2">
        <v>0</v>
      </c>
      <c r="CF119" s="2">
        <v>0</v>
      </c>
      <c r="CG119" s="2">
        <v>0</v>
      </c>
      <c r="CH119" s="2"/>
      <c r="CI119" s="2"/>
      <c r="CJ119" s="2"/>
      <c r="CK119" s="2"/>
      <c r="CL119" s="2"/>
      <c r="CM119" s="2">
        <v>0</v>
      </c>
      <c r="CN119" s="2" t="s">
        <v>114</v>
      </c>
      <c r="CO119" s="2">
        <v>0</v>
      </c>
      <c r="CP119" s="2">
        <f t="shared" si="122"/>
        <v>1130</v>
      </c>
      <c r="CQ119" s="2">
        <f t="shared" si="123"/>
        <v>835.55</v>
      </c>
      <c r="CR119" s="2">
        <f t="shared" si="124"/>
        <v>575.74</v>
      </c>
      <c r="CS119" s="2">
        <f t="shared" si="125"/>
        <v>0</v>
      </c>
      <c r="CT119" s="2">
        <f t="shared" si="126"/>
        <v>202.99</v>
      </c>
      <c r="CU119" s="2">
        <f t="shared" si="127"/>
        <v>0</v>
      </c>
      <c r="CV119" s="2">
        <f t="shared" si="128"/>
        <v>21.849999999999998</v>
      </c>
      <c r="CW119" s="2">
        <f t="shared" si="129"/>
        <v>0</v>
      </c>
      <c r="CX119" s="2">
        <f t="shared" si="130"/>
        <v>0</v>
      </c>
      <c r="CY119" s="2">
        <f t="shared" si="131"/>
        <v>156.2</v>
      </c>
      <c r="CZ119" s="2">
        <f t="shared" si="132"/>
        <v>103.66</v>
      </c>
      <c r="DA119" s="2"/>
      <c r="DB119" s="2"/>
      <c r="DC119" s="2" t="s">
        <v>3</v>
      </c>
      <c r="DD119" s="2" t="s">
        <v>3</v>
      </c>
      <c r="DE119" s="2" t="s">
        <v>115</v>
      </c>
      <c r="DF119" s="2" t="s">
        <v>115</v>
      </c>
      <c r="DG119" s="2" t="s">
        <v>116</v>
      </c>
      <c r="DH119" s="2" t="s">
        <v>3</v>
      </c>
      <c r="DI119" s="2" t="s">
        <v>116</v>
      </c>
      <c r="DJ119" s="2" t="s">
        <v>115</v>
      </c>
      <c r="DK119" s="2" t="s">
        <v>3</v>
      </c>
      <c r="DL119" s="2" t="s">
        <v>3</v>
      </c>
      <c r="DM119" s="2" t="s">
        <v>3</v>
      </c>
      <c r="DN119" s="2">
        <v>0</v>
      </c>
      <c r="DO119" s="2">
        <v>0</v>
      </c>
      <c r="DP119" s="2">
        <v>1</v>
      </c>
      <c r="DQ119" s="2">
        <v>1</v>
      </c>
      <c r="DR119" s="2"/>
      <c r="DS119" s="2"/>
      <c r="DT119" s="2"/>
      <c r="DU119" s="2">
        <v>1003</v>
      </c>
      <c r="DV119" s="2" t="s">
        <v>186</v>
      </c>
      <c r="DW119" s="2" t="s">
        <v>186</v>
      </c>
      <c r="DX119" s="2">
        <v>100</v>
      </c>
      <c r="DY119" s="2"/>
      <c r="DZ119" s="2" t="s">
        <v>3</v>
      </c>
      <c r="EA119" s="2" t="s">
        <v>3</v>
      </c>
      <c r="EB119" s="2" t="s">
        <v>3</v>
      </c>
      <c r="EC119" s="2" t="s">
        <v>3</v>
      </c>
      <c r="ED119" s="2"/>
      <c r="EE119" s="2">
        <v>53507557</v>
      </c>
      <c r="EF119" s="2">
        <v>2</v>
      </c>
      <c r="EG119" s="2" t="s">
        <v>26</v>
      </c>
      <c r="EH119" s="2">
        <v>7</v>
      </c>
      <c r="EI119" s="2" t="s">
        <v>198</v>
      </c>
      <c r="EJ119" s="2">
        <v>1</v>
      </c>
      <c r="EK119" s="2">
        <v>7001</v>
      </c>
      <c r="EL119" s="2" t="s">
        <v>198</v>
      </c>
      <c r="EM119" s="2" t="s">
        <v>199</v>
      </c>
      <c r="EN119" s="2"/>
      <c r="EO119" s="2" t="s">
        <v>119</v>
      </c>
      <c r="EP119" s="2"/>
      <c r="EQ119" s="2">
        <v>0</v>
      </c>
      <c r="ER119" s="2">
        <v>1472.65</v>
      </c>
      <c r="ES119" s="2">
        <v>835.55</v>
      </c>
      <c r="ET119" s="2">
        <v>460.59</v>
      </c>
      <c r="EU119" s="2">
        <v>0</v>
      </c>
      <c r="EV119" s="2">
        <v>176.51</v>
      </c>
      <c r="EW119" s="2">
        <v>19</v>
      </c>
      <c r="EX119" s="2">
        <v>0</v>
      </c>
      <c r="EY119" s="2">
        <v>0</v>
      </c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>
        <v>0</v>
      </c>
      <c r="FR119" s="2">
        <f t="shared" si="133"/>
        <v>0</v>
      </c>
      <c r="FS119" s="2">
        <v>0</v>
      </c>
      <c r="FT119" s="2"/>
      <c r="FU119" s="2"/>
      <c r="FV119" s="2"/>
      <c r="FW119" s="2"/>
      <c r="FX119" s="2">
        <v>110</v>
      </c>
      <c r="FY119" s="2">
        <v>73</v>
      </c>
      <c r="FZ119" s="2"/>
      <c r="GA119" s="2" t="s">
        <v>3</v>
      </c>
      <c r="GB119" s="2"/>
      <c r="GC119" s="2"/>
      <c r="GD119" s="2">
        <v>1</v>
      </c>
      <c r="GE119" s="2"/>
      <c r="GF119" s="2">
        <v>93645835</v>
      </c>
      <c r="GG119" s="2">
        <v>2</v>
      </c>
      <c r="GH119" s="2">
        <v>1</v>
      </c>
      <c r="GI119" s="2">
        <v>-2</v>
      </c>
      <c r="GJ119" s="2">
        <v>0</v>
      </c>
      <c r="GK119" s="2">
        <v>0</v>
      </c>
      <c r="GL119" s="2">
        <f t="shared" si="134"/>
        <v>0</v>
      </c>
      <c r="GM119" s="2">
        <f t="shared" si="135"/>
        <v>1390</v>
      </c>
      <c r="GN119" s="2">
        <f t="shared" si="136"/>
        <v>1390</v>
      </c>
      <c r="GO119" s="2">
        <f t="shared" si="137"/>
        <v>0</v>
      </c>
      <c r="GP119" s="2">
        <f t="shared" si="138"/>
        <v>0</v>
      </c>
      <c r="GQ119" s="2"/>
      <c r="GR119" s="2">
        <v>0</v>
      </c>
      <c r="GS119" s="2">
        <v>0</v>
      </c>
      <c r="GT119" s="2">
        <v>0</v>
      </c>
      <c r="GU119" s="2" t="s">
        <v>3</v>
      </c>
      <c r="GV119" s="2">
        <f t="shared" si="139"/>
        <v>0</v>
      </c>
      <c r="GW119" s="2">
        <v>1</v>
      </c>
      <c r="GX119" s="2">
        <f t="shared" si="140"/>
        <v>0</v>
      </c>
      <c r="GY119" s="2"/>
      <c r="GZ119" s="2"/>
      <c r="HA119" s="2">
        <v>0</v>
      </c>
      <c r="HB119" s="2">
        <v>0</v>
      </c>
      <c r="HC119" s="2">
        <f t="shared" si="141"/>
        <v>0</v>
      </c>
      <c r="HD119" s="2"/>
      <c r="HE119" s="2" t="s">
        <v>3</v>
      </c>
      <c r="HF119" s="2" t="s">
        <v>3</v>
      </c>
      <c r="HG119" s="2"/>
      <c r="HH119" s="2"/>
      <c r="HI119" s="2"/>
      <c r="HJ119" s="2"/>
      <c r="HK119" s="2"/>
      <c r="HL119" s="2"/>
      <c r="HM119" s="2" t="s">
        <v>3</v>
      </c>
      <c r="HN119" s="2" t="s">
        <v>200</v>
      </c>
      <c r="HO119" s="2" t="s">
        <v>201</v>
      </c>
      <c r="HP119" s="2" t="s">
        <v>198</v>
      </c>
      <c r="HQ119" s="2" t="s">
        <v>198</v>
      </c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>
        <v>0</v>
      </c>
      <c r="IL119" s="2"/>
      <c r="IM119" s="2"/>
      <c r="IN119" s="2"/>
      <c r="IO119" s="2"/>
      <c r="IP119" s="2"/>
      <c r="IQ119" s="2"/>
      <c r="IR119" s="2"/>
      <c r="IS119" s="2"/>
      <c r="IT119" s="2"/>
      <c r="IU119" s="2"/>
    </row>
    <row r="120" spans="1:245" ht="12.75">
      <c r="A120">
        <v>17</v>
      </c>
      <c r="B120">
        <v>1</v>
      </c>
      <c r="C120">
        <f>ROW(SmtRes!A134)</f>
        <v>134</v>
      </c>
      <c r="D120">
        <f>ROW(EtalonRes!A128)</f>
        <v>128</v>
      </c>
      <c r="E120" t="s">
        <v>211</v>
      </c>
      <c r="F120" t="s">
        <v>212</v>
      </c>
      <c r="G120" t="s">
        <v>213</v>
      </c>
      <c r="H120" t="s">
        <v>186</v>
      </c>
      <c r="I120">
        <f>ROUND(70/100,7)</f>
        <v>0.7</v>
      </c>
      <c r="J120">
        <v>0</v>
      </c>
      <c r="K120">
        <f>ROUND(70/100,7)</f>
        <v>0.7</v>
      </c>
      <c r="O120">
        <f t="shared" si="108"/>
        <v>12099</v>
      </c>
      <c r="P120">
        <f t="shared" si="109"/>
        <v>5129</v>
      </c>
      <c r="Q120">
        <f t="shared" si="110"/>
        <v>1850</v>
      </c>
      <c r="R120">
        <f t="shared" si="111"/>
        <v>0</v>
      </c>
      <c r="S120">
        <f t="shared" si="112"/>
        <v>5120</v>
      </c>
      <c r="T120">
        <f t="shared" si="113"/>
        <v>0</v>
      </c>
      <c r="U120">
        <f t="shared" si="114"/>
        <v>15.294999999999998</v>
      </c>
      <c r="V120">
        <f t="shared" si="115"/>
        <v>0</v>
      </c>
      <c r="W120">
        <f t="shared" si="116"/>
        <v>0</v>
      </c>
      <c r="X120">
        <f t="shared" si="117"/>
        <v>5632</v>
      </c>
      <c r="Y120">
        <f t="shared" si="118"/>
        <v>3738</v>
      </c>
      <c r="AA120">
        <v>55110083</v>
      </c>
      <c r="AB120">
        <f t="shared" si="119"/>
        <v>1614.28</v>
      </c>
      <c r="AC120">
        <f t="shared" si="98"/>
        <v>835.55</v>
      </c>
      <c r="AD120">
        <f>ROUND(((((ET120*ROUND(1.25,7)))-((EU120*ROUND(1.25,7))))+AE120),2)</f>
        <v>575.74</v>
      </c>
      <c r="AE120">
        <f>ROUND(((EU120*ROUND(1.25,7))),2)</f>
        <v>0</v>
      </c>
      <c r="AF120">
        <f>ROUND(((EV120*ROUND(1.15,7))),2)</f>
        <v>202.99</v>
      </c>
      <c r="AG120">
        <f t="shared" si="120"/>
        <v>0</v>
      </c>
      <c r="AH120">
        <f>((EW120*ROUND(1.15,7)))</f>
        <v>21.849999999999998</v>
      </c>
      <c r="AI120">
        <f>((EX120*ROUND(1.25,7)))</f>
        <v>0</v>
      </c>
      <c r="AJ120">
        <f t="shared" si="121"/>
        <v>0</v>
      </c>
      <c r="AK120">
        <v>1472.65</v>
      </c>
      <c r="AL120">
        <v>835.55</v>
      </c>
      <c r="AM120">
        <v>460.59</v>
      </c>
      <c r="AN120">
        <v>0</v>
      </c>
      <c r="AO120">
        <v>176.51</v>
      </c>
      <c r="AP120">
        <v>0</v>
      </c>
      <c r="AQ120">
        <v>19</v>
      </c>
      <c r="AR120">
        <v>0</v>
      </c>
      <c r="AS120">
        <v>0</v>
      </c>
      <c r="AT120">
        <v>110</v>
      </c>
      <c r="AU120">
        <v>73</v>
      </c>
      <c r="AV120">
        <v>1</v>
      </c>
      <c r="AW120">
        <v>1</v>
      </c>
      <c r="AZ120">
        <v>1</v>
      </c>
      <c r="BA120">
        <v>36.03</v>
      </c>
      <c r="BB120">
        <v>4.59</v>
      </c>
      <c r="BC120">
        <v>8.77</v>
      </c>
      <c r="BH120">
        <v>0</v>
      </c>
      <c r="BI120">
        <v>1</v>
      </c>
      <c r="BJ120" t="s">
        <v>214</v>
      </c>
      <c r="BM120">
        <v>7001</v>
      </c>
      <c r="BN120">
        <v>0</v>
      </c>
      <c r="BO120" t="s">
        <v>212</v>
      </c>
      <c r="BP120">
        <v>1</v>
      </c>
      <c r="BQ120">
        <v>2</v>
      </c>
      <c r="BR120">
        <v>0</v>
      </c>
      <c r="BS120">
        <v>36.03</v>
      </c>
      <c r="BT120">
        <v>1</v>
      </c>
      <c r="BU120">
        <v>1</v>
      </c>
      <c r="BV120">
        <v>1</v>
      </c>
      <c r="BW120">
        <v>1</v>
      </c>
      <c r="BX120">
        <v>1</v>
      </c>
      <c r="BZ120">
        <v>110</v>
      </c>
      <c r="CA120">
        <v>73</v>
      </c>
      <c r="CE120">
        <v>0</v>
      </c>
      <c r="CF120">
        <v>0</v>
      </c>
      <c r="CG120">
        <v>0</v>
      </c>
      <c r="CM120">
        <v>0</v>
      </c>
      <c r="CN120" t="s">
        <v>114</v>
      </c>
      <c r="CO120">
        <v>0</v>
      </c>
      <c r="CP120">
        <f t="shared" si="122"/>
        <v>12099</v>
      </c>
      <c r="CQ120">
        <f t="shared" si="123"/>
        <v>7327.773499999999</v>
      </c>
      <c r="CR120">
        <f t="shared" si="124"/>
        <v>2642.6466</v>
      </c>
      <c r="CS120">
        <f t="shared" si="125"/>
        <v>0</v>
      </c>
      <c r="CT120">
        <f t="shared" si="126"/>
        <v>7313.729700000001</v>
      </c>
      <c r="CU120">
        <f t="shared" si="127"/>
        <v>0</v>
      </c>
      <c r="CV120">
        <f t="shared" si="128"/>
        <v>21.849999999999998</v>
      </c>
      <c r="CW120">
        <f t="shared" si="129"/>
        <v>0</v>
      </c>
      <c r="CX120">
        <f t="shared" si="130"/>
        <v>0</v>
      </c>
      <c r="CY120">
        <f t="shared" si="131"/>
        <v>5632</v>
      </c>
      <c r="CZ120">
        <f t="shared" si="132"/>
        <v>3737.6</v>
      </c>
      <c r="DE120" t="s">
        <v>115</v>
      </c>
      <c r="DF120" t="s">
        <v>115</v>
      </c>
      <c r="DG120" t="s">
        <v>116</v>
      </c>
      <c r="DI120" t="s">
        <v>116</v>
      </c>
      <c r="DJ120" t="s">
        <v>115</v>
      </c>
      <c r="DN120">
        <v>0</v>
      </c>
      <c r="DO120">
        <v>0</v>
      </c>
      <c r="DP120">
        <v>1</v>
      </c>
      <c r="DQ120">
        <v>1</v>
      </c>
      <c r="DU120">
        <v>1003</v>
      </c>
      <c r="DV120" t="s">
        <v>186</v>
      </c>
      <c r="DW120" t="s">
        <v>186</v>
      </c>
      <c r="DX120">
        <v>100</v>
      </c>
      <c r="EE120">
        <v>53507557</v>
      </c>
      <c r="EF120">
        <v>2</v>
      </c>
      <c r="EG120" t="s">
        <v>26</v>
      </c>
      <c r="EH120">
        <v>7</v>
      </c>
      <c r="EI120" t="s">
        <v>198</v>
      </c>
      <c r="EJ120">
        <v>1</v>
      </c>
      <c r="EK120">
        <v>7001</v>
      </c>
      <c r="EL120" t="s">
        <v>198</v>
      </c>
      <c r="EM120" t="s">
        <v>199</v>
      </c>
      <c r="EO120" t="s">
        <v>119</v>
      </c>
      <c r="EQ120">
        <v>0</v>
      </c>
      <c r="ER120">
        <v>1472.65</v>
      </c>
      <c r="ES120">
        <v>835.55</v>
      </c>
      <c r="ET120">
        <v>460.59</v>
      </c>
      <c r="EU120">
        <v>0</v>
      </c>
      <c r="EV120">
        <v>176.51</v>
      </c>
      <c r="EW120">
        <v>19</v>
      </c>
      <c r="EX120">
        <v>0</v>
      </c>
      <c r="EY120">
        <v>0</v>
      </c>
      <c r="FQ120">
        <v>0</v>
      </c>
      <c r="FR120">
        <f t="shared" si="133"/>
        <v>0</v>
      </c>
      <c r="FS120">
        <v>0</v>
      </c>
      <c r="FX120">
        <v>110</v>
      </c>
      <c r="FY120">
        <v>73</v>
      </c>
      <c r="GD120">
        <v>1</v>
      </c>
      <c r="GF120">
        <v>93645835</v>
      </c>
      <c r="GG120">
        <v>2</v>
      </c>
      <c r="GH120">
        <v>1</v>
      </c>
      <c r="GI120">
        <v>2</v>
      </c>
      <c r="GJ120">
        <v>0</v>
      </c>
      <c r="GK120">
        <v>0</v>
      </c>
      <c r="GL120">
        <f t="shared" si="134"/>
        <v>0</v>
      </c>
      <c r="GM120">
        <f t="shared" si="135"/>
        <v>21469</v>
      </c>
      <c r="GN120">
        <f t="shared" si="136"/>
        <v>21469</v>
      </c>
      <c r="GO120">
        <f t="shared" si="137"/>
        <v>0</v>
      </c>
      <c r="GP120">
        <f t="shared" si="138"/>
        <v>0</v>
      </c>
      <c r="GR120">
        <v>0</v>
      </c>
      <c r="GS120">
        <v>0</v>
      </c>
      <c r="GT120">
        <v>0</v>
      </c>
      <c r="GV120">
        <f t="shared" si="139"/>
        <v>0</v>
      </c>
      <c r="GW120">
        <v>1</v>
      </c>
      <c r="GX120">
        <f t="shared" si="140"/>
        <v>0</v>
      </c>
      <c r="HA120">
        <v>0</v>
      </c>
      <c r="HB120">
        <v>0</v>
      </c>
      <c r="HC120">
        <f t="shared" si="141"/>
        <v>0</v>
      </c>
      <c r="HN120" t="s">
        <v>200</v>
      </c>
      <c r="HO120" t="s">
        <v>201</v>
      </c>
      <c r="HP120" t="s">
        <v>198</v>
      </c>
      <c r="HQ120" t="s">
        <v>198</v>
      </c>
      <c r="IK120">
        <v>0</v>
      </c>
    </row>
    <row r="121" spans="1:255" ht="12.75">
      <c r="A121" s="2">
        <v>18</v>
      </c>
      <c r="B121" s="2">
        <v>1</v>
      </c>
      <c r="C121" s="2">
        <v>129</v>
      </c>
      <c r="D121" s="2"/>
      <c r="E121" s="2" t="s">
        <v>215</v>
      </c>
      <c r="F121" s="2" t="s">
        <v>203</v>
      </c>
      <c r="G121" s="2" t="s">
        <v>204</v>
      </c>
      <c r="H121" s="2" t="s">
        <v>205</v>
      </c>
      <c r="I121" s="2">
        <f>I119*J121</f>
        <v>13.649999999999999</v>
      </c>
      <c r="J121" s="2">
        <v>19.5</v>
      </c>
      <c r="K121" s="2">
        <v>19.5</v>
      </c>
      <c r="L121" s="2"/>
      <c r="M121" s="2"/>
      <c r="N121" s="2"/>
      <c r="O121" s="2">
        <f t="shared" si="108"/>
        <v>424</v>
      </c>
      <c r="P121" s="2">
        <f t="shared" si="109"/>
        <v>424</v>
      </c>
      <c r="Q121" s="2">
        <f t="shared" si="110"/>
        <v>0</v>
      </c>
      <c r="R121" s="2">
        <f t="shared" si="111"/>
        <v>0</v>
      </c>
      <c r="S121" s="2">
        <f t="shared" si="112"/>
        <v>0</v>
      </c>
      <c r="T121" s="2">
        <f t="shared" si="113"/>
        <v>0</v>
      </c>
      <c r="U121" s="2">
        <f t="shared" si="114"/>
        <v>0</v>
      </c>
      <c r="V121" s="2">
        <f t="shared" si="115"/>
        <v>0</v>
      </c>
      <c r="W121" s="2">
        <f t="shared" si="116"/>
        <v>0</v>
      </c>
      <c r="X121" s="2">
        <f t="shared" si="117"/>
        <v>0</v>
      </c>
      <c r="Y121" s="2">
        <f t="shared" si="118"/>
        <v>0</v>
      </c>
      <c r="Z121" s="2"/>
      <c r="AA121" s="2">
        <v>55110074</v>
      </c>
      <c r="AB121" s="2">
        <f t="shared" si="119"/>
        <v>31.08</v>
      </c>
      <c r="AC121" s="2">
        <f t="shared" si="98"/>
        <v>31.08</v>
      </c>
      <c r="AD121" s="2">
        <f>ROUND((((ET121)-(EU121))+AE121),2)</f>
        <v>0</v>
      </c>
      <c r="AE121" s="2">
        <f aca="true" t="shared" si="147" ref="AE121:AF124">ROUND((EU121),2)</f>
        <v>0</v>
      </c>
      <c r="AF121" s="2">
        <f t="shared" si="147"/>
        <v>0</v>
      </c>
      <c r="AG121" s="2">
        <f t="shared" si="120"/>
        <v>0</v>
      </c>
      <c r="AH121" s="2">
        <f aca="true" t="shared" si="148" ref="AH121:AI124">(EW121)</f>
        <v>0</v>
      </c>
      <c r="AI121" s="2">
        <f t="shared" si="148"/>
        <v>0</v>
      </c>
      <c r="AJ121" s="2">
        <f t="shared" si="121"/>
        <v>0</v>
      </c>
      <c r="AK121" s="2">
        <v>31.08</v>
      </c>
      <c r="AL121" s="2">
        <v>31.08</v>
      </c>
      <c r="AM121" s="2">
        <v>0</v>
      </c>
      <c r="AN121" s="2">
        <v>0</v>
      </c>
      <c r="AO121" s="2">
        <v>0</v>
      </c>
      <c r="AP121" s="2">
        <v>0</v>
      </c>
      <c r="AQ121" s="2">
        <v>0</v>
      </c>
      <c r="AR121" s="2">
        <v>0</v>
      </c>
      <c r="AS121" s="2">
        <v>0</v>
      </c>
      <c r="AT121" s="2">
        <v>103</v>
      </c>
      <c r="AU121" s="2">
        <v>73</v>
      </c>
      <c r="AV121" s="2">
        <v>1</v>
      </c>
      <c r="AW121" s="2">
        <v>1</v>
      </c>
      <c r="AX121" s="2"/>
      <c r="AY121" s="2"/>
      <c r="AZ121" s="2">
        <v>1</v>
      </c>
      <c r="BA121" s="2">
        <v>1</v>
      </c>
      <c r="BB121" s="2">
        <v>1</v>
      </c>
      <c r="BC121" s="2">
        <v>1</v>
      </c>
      <c r="BD121" s="2" t="s">
        <v>3</v>
      </c>
      <c r="BE121" s="2" t="s">
        <v>3</v>
      </c>
      <c r="BF121" s="2" t="s">
        <v>3</v>
      </c>
      <c r="BG121" s="2" t="s">
        <v>3</v>
      </c>
      <c r="BH121" s="2">
        <v>3</v>
      </c>
      <c r="BI121" s="2">
        <v>1</v>
      </c>
      <c r="BJ121" s="2" t="s">
        <v>206</v>
      </c>
      <c r="BK121" s="2"/>
      <c r="BL121" s="2"/>
      <c r="BM121" s="2">
        <v>46001</v>
      </c>
      <c r="BN121" s="2">
        <v>0</v>
      </c>
      <c r="BO121" s="2" t="s">
        <v>3</v>
      </c>
      <c r="BP121" s="2">
        <v>0</v>
      </c>
      <c r="BQ121" s="2">
        <v>2</v>
      </c>
      <c r="BR121" s="2">
        <v>0</v>
      </c>
      <c r="BS121" s="2">
        <v>1</v>
      </c>
      <c r="BT121" s="2">
        <v>1</v>
      </c>
      <c r="BU121" s="2">
        <v>1</v>
      </c>
      <c r="BV121" s="2">
        <v>1</v>
      </c>
      <c r="BW121" s="2">
        <v>1</v>
      </c>
      <c r="BX121" s="2">
        <v>1</v>
      </c>
      <c r="BY121" s="2" t="s">
        <v>3</v>
      </c>
      <c r="BZ121" s="2">
        <v>103</v>
      </c>
      <c r="CA121" s="2">
        <v>73</v>
      </c>
      <c r="CB121" s="2" t="s">
        <v>3</v>
      </c>
      <c r="CC121" s="2"/>
      <c r="CD121" s="2"/>
      <c r="CE121" s="2">
        <v>0</v>
      </c>
      <c r="CF121" s="2">
        <v>0</v>
      </c>
      <c r="CG121" s="2">
        <v>0</v>
      </c>
      <c r="CH121" s="2"/>
      <c r="CI121" s="2"/>
      <c r="CJ121" s="2"/>
      <c r="CK121" s="2"/>
      <c r="CL121" s="2"/>
      <c r="CM121" s="2">
        <v>0</v>
      </c>
      <c r="CN121" s="2" t="s">
        <v>3</v>
      </c>
      <c r="CO121" s="2">
        <v>0</v>
      </c>
      <c r="CP121" s="2">
        <f t="shared" si="122"/>
        <v>424</v>
      </c>
      <c r="CQ121" s="2">
        <f t="shared" si="123"/>
        <v>31.08</v>
      </c>
      <c r="CR121" s="2">
        <f t="shared" si="124"/>
        <v>0</v>
      </c>
      <c r="CS121" s="2">
        <f t="shared" si="125"/>
        <v>0</v>
      </c>
      <c r="CT121" s="2">
        <f t="shared" si="126"/>
        <v>0</v>
      </c>
      <c r="CU121" s="2">
        <f t="shared" si="127"/>
        <v>0</v>
      </c>
      <c r="CV121" s="2">
        <f t="shared" si="128"/>
        <v>0</v>
      </c>
      <c r="CW121" s="2">
        <f t="shared" si="129"/>
        <v>0</v>
      </c>
      <c r="CX121" s="2">
        <f t="shared" si="130"/>
        <v>0</v>
      </c>
      <c r="CY121" s="2">
        <f t="shared" si="131"/>
        <v>0</v>
      </c>
      <c r="CZ121" s="2">
        <f t="shared" si="132"/>
        <v>0</v>
      </c>
      <c r="DA121" s="2"/>
      <c r="DB121" s="2"/>
      <c r="DC121" s="2" t="s">
        <v>3</v>
      </c>
      <c r="DD121" s="2" t="s">
        <v>3</v>
      </c>
      <c r="DE121" s="2" t="s">
        <v>3</v>
      </c>
      <c r="DF121" s="2" t="s">
        <v>3</v>
      </c>
      <c r="DG121" s="2" t="s">
        <v>3</v>
      </c>
      <c r="DH121" s="2" t="s">
        <v>3</v>
      </c>
      <c r="DI121" s="2" t="s">
        <v>3</v>
      </c>
      <c r="DJ121" s="2" t="s">
        <v>3</v>
      </c>
      <c r="DK121" s="2" t="s">
        <v>3</v>
      </c>
      <c r="DL121" s="2" t="s">
        <v>3</v>
      </c>
      <c r="DM121" s="2" t="s">
        <v>3</v>
      </c>
      <c r="DN121" s="2">
        <v>0</v>
      </c>
      <c r="DO121" s="2">
        <v>0</v>
      </c>
      <c r="DP121" s="2">
        <v>1</v>
      </c>
      <c r="DQ121" s="2">
        <v>1</v>
      </c>
      <c r="DR121" s="2"/>
      <c r="DS121" s="2"/>
      <c r="DT121" s="2"/>
      <c r="DU121" s="2">
        <v>1009</v>
      </c>
      <c r="DV121" s="2" t="s">
        <v>205</v>
      </c>
      <c r="DW121" s="2" t="s">
        <v>205</v>
      </c>
      <c r="DX121" s="2">
        <v>1</v>
      </c>
      <c r="DY121" s="2"/>
      <c r="DZ121" s="2" t="s">
        <v>3</v>
      </c>
      <c r="EA121" s="2" t="s">
        <v>3</v>
      </c>
      <c r="EB121" s="2" t="s">
        <v>3</v>
      </c>
      <c r="EC121" s="2" t="s">
        <v>3</v>
      </c>
      <c r="ED121" s="2"/>
      <c r="EE121" s="2">
        <v>53507673</v>
      </c>
      <c r="EF121" s="2">
        <v>2</v>
      </c>
      <c r="EG121" s="2" t="s">
        <v>26</v>
      </c>
      <c r="EH121" s="2">
        <v>40</v>
      </c>
      <c r="EI121" s="2" t="s">
        <v>27</v>
      </c>
      <c r="EJ121" s="2">
        <v>1</v>
      </c>
      <c r="EK121" s="2">
        <v>46001</v>
      </c>
      <c r="EL121" s="2" t="s">
        <v>36</v>
      </c>
      <c r="EM121" s="2" t="s">
        <v>29</v>
      </c>
      <c r="EN121" s="2"/>
      <c r="EO121" s="2" t="s">
        <v>3</v>
      </c>
      <c r="EP121" s="2"/>
      <c r="EQ121" s="2">
        <v>0</v>
      </c>
      <c r="ER121" s="2">
        <v>31.08</v>
      </c>
      <c r="ES121" s="2">
        <v>31.08</v>
      </c>
      <c r="ET121" s="2">
        <v>0</v>
      </c>
      <c r="EU121" s="2">
        <v>0</v>
      </c>
      <c r="EV121" s="2">
        <v>0</v>
      </c>
      <c r="EW121" s="2">
        <v>0</v>
      </c>
      <c r="EX121" s="2">
        <v>0</v>
      </c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>
        <v>0</v>
      </c>
      <c r="FR121" s="2">
        <f t="shared" si="133"/>
        <v>0</v>
      </c>
      <c r="FS121" s="2">
        <v>0</v>
      </c>
      <c r="FT121" s="2"/>
      <c r="FU121" s="2"/>
      <c r="FV121" s="2"/>
      <c r="FW121" s="2"/>
      <c r="FX121" s="2">
        <v>103</v>
      </c>
      <c r="FY121" s="2">
        <v>73</v>
      </c>
      <c r="FZ121" s="2"/>
      <c r="GA121" s="2" t="s">
        <v>3</v>
      </c>
      <c r="GB121" s="2"/>
      <c r="GC121" s="2"/>
      <c r="GD121" s="2">
        <v>1</v>
      </c>
      <c r="GE121" s="2"/>
      <c r="GF121" s="2">
        <v>624972744</v>
      </c>
      <c r="GG121" s="2">
        <v>2</v>
      </c>
      <c r="GH121" s="2">
        <v>1</v>
      </c>
      <c r="GI121" s="2">
        <v>-2</v>
      </c>
      <c r="GJ121" s="2">
        <v>0</v>
      </c>
      <c r="GK121" s="2">
        <v>0</v>
      </c>
      <c r="GL121" s="2">
        <f t="shared" si="134"/>
        <v>0</v>
      </c>
      <c r="GM121" s="2">
        <f t="shared" si="135"/>
        <v>424</v>
      </c>
      <c r="GN121" s="2">
        <f t="shared" si="136"/>
        <v>424</v>
      </c>
      <c r="GO121" s="2">
        <f t="shared" si="137"/>
        <v>0</v>
      </c>
      <c r="GP121" s="2">
        <f t="shared" si="138"/>
        <v>0</v>
      </c>
      <c r="GQ121" s="2"/>
      <c r="GR121" s="2">
        <v>0</v>
      </c>
      <c r="GS121" s="2">
        <v>0</v>
      </c>
      <c r="GT121" s="2">
        <v>0</v>
      </c>
      <c r="GU121" s="2" t="s">
        <v>3</v>
      </c>
      <c r="GV121" s="2">
        <f t="shared" si="139"/>
        <v>0</v>
      </c>
      <c r="GW121" s="2">
        <v>1</v>
      </c>
      <c r="GX121" s="2">
        <f t="shared" si="140"/>
        <v>0</v>
      </c>
      <c r="GY121" s="2"/>
      <c r="GZ121" s="2"/>
      <c r="HA121" s="2">
        <v>0</v>
      </c>
      <c r="HB121" s="2">
        <v>0</v>
      </c>
      <c r="HC121" s="2">
        <f t="shared" si="141"/>
        <v>0</v>
      </c>
      <c r="HD121" s="2"/>
      <c r="HE121" s="2" t="s">
        <v>3</v>
      </c>
      <c r="HF121" s="2" t="s">
        <v>3</v>
      </c>
      <c r="HG121" s="2"/>
      <c r="HH121" s="2"/>
      <c r="HI121" s="2"/>
      <c r="HJ121" s="2"/>
      <c r="HK121" s="2"/>
      <c r="HL121" s="2"/>
      <c r="HM121" s="2" t="s">
        <v>3</v>
      </c>
      <c r="HN121" s="2" t="s">
        <v>37</v>
      </c>
      <c r="HO121" s="2" t="s">
        <v>38</v>
      </c>
      <c r="HP121" s="2" t="s">
        <v>36</v>
      </c>
      <c r="HQ121" s="2" t="s">
        <v>36</v>
      </c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>
        <v>0</v>
      </c>
      <c r="IL121" s="2"/>
      <c r="IM121" s="2"/>
      <c r="IN121" s="2"/>
      <c r="IO121" s="2"/>
      <c r="IP121" s="2"/>
      <c r="IQ121" s="2"/>
      <c r="IR121" s="2"/>
      <c r="IS121" s="2"/>
      <c r="IT121" s="2"/>
      <c r="IU121" s="2"/>
    </row>
    <row r="122" spans="1:245" ht="12.75">
      <c r="A122">
        <v>18</v>
      </c>
      <c r="B122">
        <v>1</v>
      </c>
      <c r="C122">
        <v>133</v>
      </c>
      <c r="E122" t="s">
        <v>215</v>
      </c>
      <c r="F122" t="s">
        <v>203</v>
      </c>
      <c r="G122" t="s">
        <v>204</v>
      </c>
      <c r="H122" t="s">
        <v>205</v>
      </c>
      <c r="I122">
        <f>I120*J122</f>
        <v>13.649999999999999</v>
      </c>
      <c r="J122">
        <v>19.5</v>
      </c>
      <c r="K122">
        <v>19.5</v>
      </c>
      <c r="O122">
        <f t="shared" si="108"/>
        <v>2185</v>
      </c>
      <c r="P122">
        <f t="shared" si="109"/>
        <v>2185</v>
      </c>
      <c r="Q122">
        <f t="shared" si="110"/>
        <v>0</v>
      </c>
      <c r="R122">
        <f t="shared" si="111"/>
        <v>0</v>
      </c>
      <c r="S122">
        <f t="shared" si="112"/>
        <v>0</v>
      </c>
      <c r="T122">
        <f t="shared" si="113"/>
        <v>0</v>
      </c>
      <c r="U122">
        <f t="shared" si="114"/>
        <v>0</v>
      </c>
      <c r="V122">
        <f t="shared" si="115"/>
        <v>0</v>
      </c>
      <c r="W122">
        <f t="shared" si="116"/>
        <v>0</v>
      </c>
      <c r="X122">
        <f t="shared" si="117"/>
        <v>0</v>
      </c>
      <c r="Y122">
        <f t="shared" si="118"/>
        <v>0</v>
      </c>
      <c r="AA122">
        <v>55110083</v>
      </c>
      <c r="AB122">
        <f t="shared" si="119"/>
        <v>31.08</v>
      </c>
      <c r="AC122">
        <f t="shared" si="98"/>
        <v>31.08</v>
      </c>
      <c r="AD122">
        <f>ROUND((((ET122)-(EU122))+AE122),2)</f>
        <v>0</v>
      </c>
      <c r="AE122">
        <f t="shared" si="147"/>
        <v>0</v>
      </c>
      <c r="AF122">
        <f t="shared" si="147"/>
        <v>0</v>
      </c>
      <c r="AG122">
        <f t="shared" si="120"/>
        <v>0</v>
      </c>
      <c r="AH122">
        <f t="shared" si="148"/>
        <v>0</v>
      </c>
      <c r="AI122">
        <f t="shared" si="148"/>
        <v>0</v>
      </c>
      <c r="AJ122">
        <f t="shared" si="121"/>
        <v>0</v>
      </c>
      <c r="AK122">
        <v>31.08</v>
      </c>
      <c r="AL122">
        <v>31.08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  <c r="AS122">
        <v>0</v>
      </c>
      <c r="AT122">
        <v>103</v>
      </c>
      <c r="AU122">
        <v>73</v>
      </c>
      <c r="AV122">
        <v>1</v>
      </c>
      <c r="AW122">
        <v>1</v>
      </c>
      <c r="AZ122">
        <v>1</v>
      </c>
      <c r="BA122">
        <v>1</v>
      </c>
      <c r="BB122">
        <v>1</v>
      </c>
      <c r="BC122">
        <v>5.15</v>
      </c>
      <c r="BH122">
        <v>3</v>
      </c>
      <c r="BI122">
        <v>1</v>
      </c>
      <c r="BJ122" t="s">
        <v>206</v>
      </c>
      <c r="BM122">
        <v>46001</v>
      </c>
      <c r="BN122">
        <v>0</v>
      </c>
      <c r="BO122" t="s">
        <v>203</v>
      </c>
      <c r="BP122">
        <v>1</v>
      </c>
      <c r="BQ122">
        <v>2</v>
      </c>
      <c r="BR122">
        <v>0</v>
      </c>
      <c r="BS122">
        <v>1</v>
      </c>
      <c r="BT122">
        <v>1</v>
      </c>
      <c r="BU122">
        <v>1</v>
      </c>
      <c r="BV122">
        <v>1</v>
      </c>
      <c r="BW122">
        <v>1</v>
      </c>
      <c r="BX122">
        <v>1</v>
      </c>
      <c r="BZ122">
        <v>103</v>
      </c>
      <c r="CA122">
        <v>73</v>
      </c>
      <c r="CE122">
        <v>0</v>
      </c>
      <c r="CF122">
        <v>0</v>
      </c>
      <c r="CG122">
        <v>0</v>
      </c>
      <c r="CM122">
        <v>0</v>
      </c>
      <c r="CO122">
        <v>0</v>
      </c>
      <c r="CP122">
        <f t="shared" si="122"/>
        <v>2185</v>
      </c>
      <c r="CQ122">
        <f t="shared" si="123"/>
        <v>160.062</v>
      </c>
      <c r="CR122">
        <f t="shared" si="124"/>
        <v>0</v>
      </c>
      <c r="CS122">
        <f t="shared" si="125"/>
        <v>0</v>
      </c>
      <c r="CT122">
        <f t="shared" si="126"/>
        <v>0</v>
      </c>
      <c r="CU122">
        <f t="shared" si="127"/>
        <v>0</v>
      </c>
      <c r="CV122">
        <f t="shared" si="128"/>
        <v>0</v>
      </c>
      <c r="CW122">
        <f t="shared" si="129"/>
        <v>0</v>
      </c>
      <c r="CX122">
        <f t="shared" si="130"/>
        <v>0</v>
      </c>
      <c r="CY122">
        <f t="shared" si="131"/>
        <v>0</v>
      </c>
      <c r="CZ122">
        <f t="shared" si="132"/>
        <v>0</v>
      </c>
      <c r="DN122">
        <v>0</v>
      </c>
      <c r="DO122">
        <v>0</v>
      </c>
      <c r="DP122">
        <v>1</v>
      </c>
      <c r="DQ122">
        <v>1</v>
      </c>
      <c r="DU122">
        <v>1009</v>
      </c>
      <c r="DV122" t="s">
        <v>205</v>
      </c>
      <c r="DW122" t="s">
        <v>205</v>
      </c>
      <c r="DX122">
        <v>1</v>
      </c>
      <c r="EE122">
        <v>53507673</v>
      </c>
      <c r="EF122">
        <v>2</v>
      </c>
      <c r="EG122" t="s">
        <v>26</v>
      </c>
      <c r="EH122">
        <v>40</v>
      </c>
      <c r="EI122" t="s">
        <v>27</v>
      </c>
      <c r="EJ122">
        <v>1</v>
      </c>
      <c r="EK122">
        <v>46001</v>
      </c>
      <c r="EL122" t="s">
        <v>36</v>
      </c>
      <c r="EM122" t="s">
        <v>29</v>
      </c>
      <c r="EQ122">
        <v>0</v>
      </c>
      <c r="ER122">
        <v>31.08</v>
      </c>
      <c r="ES122">
        <v>31.08</v>
      </c>
      <c r="ET122">
        <v>0</v>
      </c>
      <c r="EU122">
        <v>0</v>
      </c>
      <c r="EV122">
        <v>0</v>
      </c>
      <c r="EW122">
        <v>0</v>
      </c>
      <c r="EX122">
        <v>0</v>
      </c>
      <c r="FQ122">
        <v>0</v>
      </c>
      <c r="FR122">
        <f t="shared" si="133"/>
        <v>0</v>
      </c>
      <c r="FS122">
        <v>0</v>
      </c>
      <c r="FX122">
        <v>103</v>
      </c>
      <c r="FY122">
        <v>73</v>
      </c>
      <c r="GD122">
        <v>1</v>
      </c>
      <c r="GF122">
        <v>624972744</v>
      </c>
      <c r="GG122">
        <v>2</v>
      </c>
      <c r="GH122">
        <v>1</v>
      </c>
      <c r="GI122">
        <v>2</v>
      </c>
      <c r="GJ122">
        <v>0</v>
      </c>
      <c r="GK122">
        <v>0</v>
      </c>
      <c r="GL122">
        <f t="shared" si="134"/>
        <v>0</v>
      </c>
      <c r="GM122">
        <f t="shared" si="135"/>
        <v>2185</v>
      </c>
      <c r="GN122">
        <f t="shared" si="136"/>
        <v>2185</v>
      </c>
      <c r="GO122">
        <f t="shared" si="137"/>
        <v>0</v>
      </c>
      <c r="GP122">
        <f t="shared" si="138"/>
        <v>0</v>
      </c>
      <c r="GR122">
        <v>0</v>
      </c>
      <c r="GS122">
        <v>0</v>
      </c>
      <c r="GT122">
        <v>0</v>
      </c>
      <c r="GV122">
        <f t="shared" si="139"/>
        <v>0</v>
      </c>
      <c r="GW122">
        <v>1</v>
      </c>
      <c r="GX122">
        <f t="shared" si="140"/>
        <v>0</v>
      </c>
      <c r="HA122">
        <v>0</v>
      </c>
      <c r="HB122">
        <v>0</v>
      </c>
      <c r="HC122">
        <f t="shared" si="141"/>
        <v>0</v>
      </c>
      <c r="HN122" t="s">
        <v>37</v>
      </c>
      <c r="HO122" t="s">
        <v>38</v>
      </c>
      <c r="HP122" t="s">
        <v>36</v>
      </c>
      <c r="HQ122" t="s">
        <v>36</v>
      </c>
      <c r="IK122">
        <v>0</v>
      </c>
    </row>
    <row r="123" spans="1:255" ht="12.75">
      <c r="A123" s="2">
        <v>18</v>
      </c>
      <c r="B123" s="2">
        <v>1</v>
      </c>
      <c r="C123" s="2">
        <v>130</v>
      </c>
      <c r="D123" s="2"/>
      <c r="E123" s="2" t="s">
        <v>216</v>
      </c>
      <c r="F123" s="2" t="s">
        <v>208</v>
      </c>
      <c r="G123" s="2" t="s">
        <v>209</v>
      </c>
      <c r="H123" s="2" t="s">
        <v>125</v>
      </c>
      <c r="I123" s="2">
        <f>I119*J123</f>
        <v>-0.0595</v>
      </c>
      <c r="J123" s="2">
        <v>-0.085</v>
      </c>
      <c r="K123" s="2">
        <v>-0.085</v>
      </c>
      <c r="L123" s="2"/>
      <c r="M123" s="2"/>
      <c r="N123" s="2"/>
      <c r="O123" s="2">
        <f t="shared" si="108"/>
        <v>-585</v>
      </c>
      <c r="P123" s="2">
        <f t="shared" si="109"/>
        <v>-585</v>
      </c>
      <c r="Q123" s="2">
        <f t="shared" si="110"/>
        <v>0</v>
      </c>
      <c r="R123" s="2">
        <f t="shared" si="111"/>
        <v>0</v>
      </c>
      <c r="S123" s="2">
        <f t="shared" si="112"/>
        <v>0</v>
      </c>
      <c r="T123" s="2">
        <f t="shared" si="113"/>
        <v>0</v>
      </c>
      <c r="U123" s="2">
        <f t="shared" si="114"/>
        <v>0</v>
      </c>
      <c r="V123" s="2">
        <f t="shared" si="115"/>
        <v>0</v>
      </c>
      <c r="W123" s="2">
        <f t="shared" si="116"/>
        <v>0</v>
      </c>
      <c r="X123" s="2">
        <f t="shared" si="117"/>
        <v>0</v>
      </c>
      <c r="Y123" s="2">
        <f t="shared" si="118"/>
        <v>0</v>
      </c>
      <c r="Z123" s="2"/>
      <c r="AA123" s="2">
        <v>55110074</v>
      </c>
      <c r="AB123" s="2">
        <f t="shared" si="119"/>
        <v>9830</v>
      </c>
      <c r="AC123" s="2">
        <f t="shared" si="98"/>
        <v>9830</v>
      </c>
      <c r="AD123" s="2">
        <f>ROUND((((ET123)-(EU123))+AE123),2)</f>
        <v>0</v>
      </c>
      <c r="AE123" s="2">
        <f t="shared" si="147"/>
        <v>0</v>
      </c>
      <c r="AF123" s="2">
        <f t="shared" si="147"/>
        <v>0</v>
      </c>
      <c r="AG123" s="2">
        <f t="shared" si="120"/>
        <v>0</v>
      </c>
      <c r="AH123" s="2">
        <f t="shared" si="148"/>
        <v>0</v>
      </c>
      <c r="AI123" s="2">
        <f t="shared" si="148"/>
        <v>0</v>
      </c>
      <c r="AJ123" s="2">
        <f t="shared" si="121"/>
        <v>0</v>
      </c>
      <c r="AK123" s="2">
        <v>9830</v>
      </c>
      <c r="AL123" s="2">
        <v>9830</v>
      </c>
      <c r="AM123" s="2">
        <v>0</v>
      </c>
      <c r="AN123" s="2">
        <v>0</v>
      </c>
      <c r="AO123" s="2">
        <v>0</v>
      </c>
      <c r="AP123" s="2">
        <v>0</v>
      </c>
      <c r="AQ123" s="2">
        <v>0</v>
      </c>
      <c r="AR123" s="2">
        <v>0</v>
      </c>
      <c r="AS123" s="2">
        <v>0</v>
      </c>
      <c r="AT123" s="2">
        <v>110</v>
      </c>
      <c r="AU123" s="2">
        <v>73</v>
      </c>
      <c r="AV123" s="2">
        <v>1</v>
      </c>
      <c r="AW123" s="2">
        <v>1</v>
      </c>
      <c r="AX123" s="2"/>
      <c r="AY123" s="2"/>
      <c r="AZ123" s="2">
        <v>1</v>
      </c>
      <c r="BA123" s="2">
        <v>1</v>
      </c>
      <c r="BB123" s="2">
        <v>1</v>
      </c>
      <c r="BC123" s="2">
        <v>1</v>
      </c>
      <c r="BD123" s="2" t="s">
        <v>3</v>
      </c>
      <c r="BE123" s="2" t="s">
        <v>3</v>
      </c>
      <c r="BF123" s="2" t="s">
        <v>3</v>
      </c>
      <c r="BG123" s="2" t="s">
        <v>3</v>
      </c>
      <c r="BH123" s="2">
        <v>3</v>
      </c>
      <c r="BI123" s="2">
        <v>1</v>
      </c>
      <c r="BJ123" s="2" t="s">
        <v>210</v>
      </c>
      <c r="BK123" s="2"/>
      <c r="BL123" s="2"/>
      <c r="BM123" s="2">
        <v>7001</v>
      </c>
      <c r="BN123" s="2">
        <v>0</v>
      </c>
      <c r="BO123" s="2" t="s">
        <v>3</v>
      </c>
      <c r="BP123" s="2">
        <v>0</v>
      </c>
      <c r="BQ123" s="2">
        <v>2</v>
      </c>
      <c r="BR123" s="2">
        <v>1</v>
      </c>
      <c r="BS123" s="2">
        <v>1</v>
      </c>
      <c r="BT123" s="2">
        <v>1</v>
      </c>
      <c r="BU123" s="2">
        <v>1</v>
      </c>
      <c r="BV123" s="2">
        <v>1</v>
      </c>
      <c r="BW123" s="2">
        <v>1</v>
      </c>
      <c r="BX123" s="2">
        <v>1</v>
      </c>
      <c r="BY123" s="2" t="s">
        <v>3</v>
      </c>
      <c r="BZ123" s="2">
        <v>110</v>
      </c>
      <c r="CA123" s="2">
        <v>73</v>
      </c>
      <c r="CB123" s="2" t="s">
        <v>3</v>
      </c>
      <c r="CC123" s="2"/>
      <c r="CD123" s="2"/>
      <c r="CE123" s="2">
        <v>0</v>
      </c>
      <c r="CF123" s="2">
        <v>0</v>
      </c>
      <c r="CG123" s="2">
        <v>0</v>
      </c>
      <c r="CH123" s="2"/>
      <c r="CI123" s="2"/>
      <c r="CJ123" s="2"/>
      <c r="CK123" s="2"/>
      <c r="CL123" s="2"/>
      <c r="CM123" s="2">
        <v>0</v>
      </c>
      <c r="CN123" s="2" t="s">
        <v>3</v>
      </c>
      <c r="CO123" s="2">
        <v>0</v>
      </c>
      <c r="CP123" s="2">
        <f t="shared" si="122"/>
        <v>-585</v>
      </c>
      <c r="CQ123" s="2">
        <f t="shared" si="123"/>
        <v>9830</v>
      </c>
      <c r="CR123" s="2">
        <f t="shared" si="124"/>
        <v>0</v>
      </c>
      <c r="CS123" s="2">
        <f t="shared" si="125"/>
        <v>0</v>
      </c>
      <c r="CT123" s="2">
        <f t="shared" si="126"/>
        <v>0</v>
      </c>
      <c r="CU123" s="2">
        <f t="shared" si="127"/>
        <v>0</v>
      </c>
      <c r="CV123" s="2">
        <f t="shared" si="128"/>
        <v>0</v>
      </c>
      <c r="CW123" s="2">
        <f t="shared" si="129"/>
        <v>0</v>
      </c>
      <c r="CX123" s="2">
        <f t="shared" si="130"/>
        <v>0</v>
      </c>
      <c r="CY123" s="2">
        <f t="shared" si="131"/>
        <v>0</v>
      </c>
      <c r="CZ123" s="2">
        <f t="shared" si="132"/>
        <v>0</v>
      </c>
      <c r="DA123" s="2"/>
      <c r="DB123" s="2"/>
      <c r="DC123" s="2" t="s">
        <v>3</v>
      </c>
      <c r="DD123" s="2" t="s">
        <v>3</v>
      </c>
      <c r="DE123" s="2" t="s">
        <v>3</v>
      </c>
      <c r="DF123" s="2" t="s">
        <v>3</v>
      </c>
      <c r="DG123" s="2" t="s">
        <v>3</v>
      </c>
      <c r="DH123" s="2" t="s">
        <v>3</v>
      </c>
      <c r="DI123" s="2" t="s">
        <v>3</v>
      </c>
      <c r="DJ123" s="2" t="s">
        <v>3</v>
      </c>
      <c r="DK123" s="2" t="s">
        <v>3</v>
      </c>
      <c r="DL123" s="2" t="s">
        <v>3</v>
      </c>
      <c r="DM123" s="2" t="s">
        <v>3</v>
      </c>
      <c r="DN123" s="2">
        <v>0</v>
      </c>
      <c r="DO123" s="2">
        <v>0</v>
      </c>
      <c r="DP123" s="2">
        <v>1</v>
      </c>
      <c r="DQ123" s="2">
        <v>1</v>
      </c>
      <c r="DR123" s="2"/>
      <c r="DS123" s="2"/>
      <c r="DT123" s="2"/>
      <c r="DU123" s="2">
        <v>1009</v>
      </c>
      <c r="DV123" s="2" t="s">
        <v>125</v>
      </c>
      <c r="DW123" s="2" t="s">
        <v>125</v>
      </c>
      <c r="DX123" s="2">
        <v>1000</v>
      </c>
      <c r="DY123" s="2"/>
      <c r="DZ123" s="2" t="s">
        <v>3</v>
      </c>
      <c r="EA123" s="2" t="s">
        <v>3</v>
      </c>
      <c r="EB123" s="2" t="s">
        <v>3</v>
      </c>
      <c r="EC123" s="2" t="s">
        <v>3</v>
      </c>
      <c r="ED123" s="2"/>
      <c r="EE123" s="2">
        <v>53507557</v>
      </c>
      <c r="EF123" s="2">
        <v>2</v>
      </c>
      <c r="EG123" s="2" t="s">
        <v>26</v>
      </c>
      <c r="EH123" s="2">
        <v>7</v>
      </c>
      <c r="EI123" s="2" t="s">
        <v>198</v>
      </c>
      <c r="EJ123" s="2">
        <v>1</v>
      </c>
      <c r="EK123" s="2">
        <v>7001</v>
      </c>
      <c r="EL123" s="2" t="s">
        <v>198</v>
      </c>
      <c r="EM123" s="2" t="s">
        <v>199</v>
      </c>
      <c r="EN123" s="2"/>
      <c r="EO123" s="2" t="s">
        <v>3</v>
      </c>
      <c r="EP123" s="2"/>
      <c r="EQ123" s="2">
        <v>0</v>
      </c>
      <c r="ER123" s="2">
        <v>9830</v>
      </c>
      <c r="ES123" s="2">
        <v>9830</v>
      </c>
      <c r="ET123" s="2">
        <v>0</v>
      </c>
      <c r="EU123" s="2">
        <v>0</v>
      </c>
      <c r="EV123" s="2">
        <v>0</v>
      </c>
      <c r="EW123" s="2">
        <v>0</v>
      </c>
      <c r="EX123" s="2">
        <v>0</v>
      </c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>
        <v>0</v>
      </c>
      <c r="FR123" s="2">
        <f t="shared" si="133"/>
        <v>0</v>
      </c>
      <c r="FS123" s="2">
        <v>0</v>
      </c>
      <c r="FT123" s="2"/>
      <c r="FU123" s="2"/>
      <c r="FV123" s="2"/>
      <c r="FW123" s="2"/>
      <c r="FX123" s="2">
        <v>110</v>
      </c>
      <c r="FY123" s="2">
        <v>73</v>
      </c>
      <c r="FZ123" s="2"/>
      <c r="GA123" s="2" t="s">
        <v>3</v>
      </c>
      <c r="GB123" s="2"/>
      <c r="GC123" s="2"/>
      <c r="GD123" s="2">
        <v>1</v>
      </c>
      <c r="GE123" s="2"/>
      <c r="GF123" s="2">
        <v>-1989106859</v>
      </c>
      <c r="GG123" s="2">
        <v>2</v>
      </c>
      <c r="GH123" s="2">
        <v>1</v>
      </c>
      <c r="GI123" s="2">
        <v>-2</v>
      </c>
      <c r="GJ123" s="2">
        <v>0</v>
      </c>
      <c r="GK123" s="2">
        <v>0</v>
      </c>
      <c r="GL123" s="2">
        <f t="shared" si="134"/>
        <v>0</v>
      </c>
      <c r="GM123" s="2">
        <f t="shared" si="135"/>
        <v>-585</v>
      </c>
      <c r="GN123" s="2">
        <f t="shared" si="136"/>
        <v>-585</v>
      </c>
      <c r="GO123" s="2">
        <f t="shared" si="137"/>
        <v>0</v>
      </c>
      <c r="GP123" s="2">
        <f t="shared" si="138"/>
        <v>0</v>
      </c>
      <c r="GQ123" s="2"/>
      <c r="GR123" s="2">
        <v>0</v>
      </c>
      <c r="GS123" s="2">
        <v>0</v>
      </c>
      <c r="GT123" s="2">
        <v>0</v>
      </c>
      <c r="GU123" s="2" t="s">
        <v>3</v>
      </c>
      <c r="GV123" s="2">
        <f t="shared" si="139"/>
        <v>0</v>
      </c>
      <c r="GW123" s="2">
        <v>1</v>
      </c>
      <c r="GX123" s="2">
        <f t="shared" si="140"/>
        <v>0</v>
      </c>
      <c r="GY123" s="2"/>
      <c r="GZ123" s="2"/>
      <c r="HA123" s="2">
        <v>0</v>
      </c>
      <c r="HB123" s="2">
        <v>0</v>
      </c>
      <c r="HC123" s="2">
        <f t="shared" si="141"/>
        <v>0</v>
      </c>
      <c r="HD123" s="2"/>
      <c r="HE123" s="2" t="s">
        <v>3</v>
      </c>
      <c r="HF123" s="2" t="s">
        <v>3</v>
      </c>
      <c r="HG123" s="2"/>
      <c r="HH123" s="2"/>
      <c r="HI123" s="2"/>
      <c r="HJ123" s="2"/>
      <c r="HK123" s="2"/>
      <c r="HL123" s="2"/>
      <c r="HM123" s="2" t="s">
        <v>3</v>
      </c>
      <c r="HN123" s="2" t="s">
        <v>200</v>
      </c>
      <c r="HO123" s="2" t="s">
        <v>201</v>
      </c>
      <c r="HP123" s="2" t="s">
        <v>198</v>
      </c>
      <c r="HQ123" s="2" t="s">
        <v>198</v>
      </c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>
        <v>0</v>
      </c>
      <c r="IL123" s="2"/>
      <c r="IM123" s="2"/>
      <c r="IN123" s="2"/>
      <c r="IO123" s="2"/>
      <c r="IP123" s="2"/>
      <c r="IQ123" s="2"/>
      <c r="IR123" s="2"/>
      <c r="IS123" s="2"/>
      <c r="IT123" s="2"/>
      <c r="IU123" s="2"/>
    </row>
    <row r="124" spans="1:245" ht="12.75">
      <c r="A124">
        <v>18</v>
      </c>
      <c r="B124">
        <v>1</v>
      </c>
      <c r="C124">
        <v>134</v>
      </c>
      <c r="E124" t="s">
        <v>216</v>
      </c>
      <c r="F124" t="s">
        <v>208</v>
      </c>
      <c r="G124" t="s">
        <v>209</v>
      </c>
      <c r="H124" t="s">
        <v>125</v>
      </c>
      <c r="I124">
        <f>I120*J124</f>
        <v>-0.0595</v>
      </c>
      <c r="J124">
        <v>-0.085</v>
      </c>
      <c r="K124">
        <v>-0.085</v>
      </c>
      <c r="O124">
        <f t="shared" si="108"/>
        <v>-5129</v>
      </c>
      <c r="P124">
        <f t="shared" si="109"/>
        <v>-5129</v>
      </c>
      <c r="Q124">
        <f t="shared" si="110"/>
        <v>0</v>
      </c>
      <c r="R124">
        <f t="shared" si="111"/>
        <v>0</v>
      </c>
      <c r="S124">
        <f t="shared" si="112"/>
        <v>0</v>
      </c>
      <c r="T124">
        <f t="shared" si="113"/>
        <v>0</v>
      </c>
      <c r="U124">
        <f t="shared" si="114"/>
        <v>0</v>
      </c>
      <c r="V124">
        <f t="shared" si="115"/>
        <v>0</v>
      </c>
      <c r="W124">
        <f t="shared" si="116"/>
        <v>0</v>
      </c>
      <c r="X124">
        <f t="shared" si="117"/>
        <v>0</v>
      </c>
      <c r="Y124">
        <f t="shared" si="118"/>
        <v>0</v>
      </c>
      <c r="AA124">
        <v>55110083</v>
      </c>
      <c r="AB124">
        <f t="shared" si="119"/>
        <v>9830</v>
      </c>
      <c r="AC124">
        <f t="shared" si="98"/>
        <v>9830</v>
      </c>
      <c r="AD124">
        <f>ROUND((((ET124)-(EU124))+AE124),2)</f>
        <v>0</v>
      </c>
      <c r="AE124">
        <f t="shared" si="147"/>
        <v>0</v>
      </c>
      <c r="AF124">
        <f t="shared" si="147"/>
        <v>0</v>
      </c>
      <c r="AG124">
        <f t="shared" si="120"/>
        <v>0</v>
      </c>
      <c r="AH124">
        <f t="shared" si="148"/>
        <v>0</v>
      </c>
      <c r="AI124">
        <f t="shared" si="148"/>
        <v>0</v>
      </c>
      <c r="AJ124">
        <f t="shared" si="121"/>
        <v>0</v>
      </c>
      <c r="AK124">
        <v>9830</v>
      </c>
      <c r="AL124">
        <v>9830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  <c r="AS124">
        <v>0</v>
      </c>
      <c r="AT124">
        <v>110</v>
      </c>
      <c r="AU124">
        <v>73</v>
      </c>
      <c r="AV124">
        <v>1</v>
      </c>
      <c r="AW124">
        <v>1</v>
      </c>
      <c r="AZ124">
        <v>1</v>
      </c>
      <c r="BA124">
        <v>1</v>
      </c>
      <c r="BB124">
        <v>1</v>
      </c>
      <c r="BC124">
        <v>8.77</v>
      </c>
      <c r="BH124">
        <v>3</v>
      </c>
      <c r="BI124">
        <v>1</v>
      </c>
      <c r="BJ124" t="s">
        <v>210</v>
      </c>
      <c r="BM124">
        <v>7001</v>
      </c>
      <c r="BN124">
        <v>0</v>
      </c>
      <c r="BO124" t="s">
        <v>208</v>
      </c>
      <c r="BP124">
        <v>1</v>
      </c>
      <c r="BQ124">
        <v>2</v>
      </c>
      <c r="BR124">
        <v>1</v>
      </c>
      <c r="BS124">
        <v>1</v>
      </c>
      <c r="BT124">
        <v>1</v>
      </c>
      <c r="BU124">
        <v>1</v>
      </c>
      <c r="BV124">
        <v>1</v>
      </c>
      <c r="BW124">
        <v>1</v>
      </c>
      <c r="BX124">
        <v>1</v>
      </c>
      <c r="BZ124">
        <v>110</v>
      </c>
      <c r="CA124">
        <v>73</v>
      </c>
      <c r="CE124">
        <v>0</v>
      </c>
      <c r="CF124">
        <v>0</v>
      </c>
      <c r="CG124">
        <v>0</v>
      </c>
      <c r="CM124">
        <v>0</v>
      </c>
      <c r="CO124">
        <v>0</v>
      </c>
      <c r="CP124">
        <f t="shared" si="122"/>
        <v>-5129</v>
      </c>
      <c r="CQ124">
        <f t="shared" si="123"/>
        <v>86209.09999999999</v>
      </c>
      <c r="CR124">
        <f t="shared" si="124"/>
        <v>0</v>
      </c>
      <c r="CS124">
        <f t="shared" si="125"/>
        <v>0</v>
      </c>
      <c r="CT124">
        <f t="shared" si="126"/>
        <v>0</v>
      </c>
      <c r="CU124">
        <f t="shared" si="127"/>
        <v>0</v>
      </c>
      <c r="CV124">
        <f t="shared" si="128"/>
        <v>0</v>
      </c>
      <c r="CW124">
        <f t="shared" si="129"/>
        <v>0</v>
      </c>
      <c r="CX124">
        <f t="shared" si="130"/>
        <v>0</v>
      </c>
      <c r="CY124">
        <f t="shared" si="131"/>
        <v>0</v>
      </c>
      <c r="CZ124">
        <f t="shared" si="132"/>
        <v>0</v>
      </c>
      <c r="DN124">
        <v>0</v>
      </c>
      <c r="DO124">
        <v>0</v>
      </c>
      <c r="DP124">
        <v>1</v>
      </c>
      <c r="DQ124">
        <v>1</v>
      </c>
      <c r="DU124">
        <v>1009</v>
      </c>
      <c r="DV124" t="s">
        <v>125</v>
      </c>
      <c r="DW124" t="s">
        <v>125</v>
      </c>
      <c r="DX124">
        <v>1000</v>
      </c>
      <c r="EE124">
        <v>53507557</v>
      </c>
      <c r="EF124">
        <v>2</v>
      </c>
      <c r="EG124" t="s">
        <v>26</v>
      </c>
      <c r="EH124">
        <v>7</v>
      </c>
      <c r="EI124" t="s">
        <v>198</v>
      </c>
      <c r="EJ124">
        <v>1</v>
      </c>
      <c r="EK124">
        <v>7001</v>
      </c>
      <c r="EL124" t="s">
        <v>198</v>
      </c>
      <c r="EM124" t="s">
        <v>199</v>
      </c>
      <c r="EQ124">
        <v>0</v>
      </c>
      <c r="ER124">
        <v>9830</v>
      </c>
      <c r="ES124">
        <v>9830</v>
      </c>
      <c r="ET124">
        <v>0</v>
      </c>
      <c r="EU124">
        <v>0</v>
      </c>
      <c r="EV124">
        <v>0</v>
      </c>
      <c r="EW124">
        <v>0</v>
      </c>
      <c r="EX124">
        <v>0</v>
      </c>
      <c r="FQ124">
        <v>0</v>
      </c>
      <c r="FR124">
        <f t="shared" si="133"/>
        <v>0</v>
      </c>
      <c r="FS124">
        <v>0</v>
      </c>
      <c r="FX124">
        <v>110</v>
      </c>
      <c r="FY124">
        <v>73</v>
      </c>
      <c r="GD124">
        <v>1</v>
      </c>
      <c r="GF124">
        <v>-1989106859</v>
      </c>
      <c r="GG124">
        <v>2</v>
      </c>
      <c r="GH124">
        <v>1</v>
      </c>
      <c r="GI124">
        <v>2</v>
      </c>
      <c r="GJ124">
        <v>0</v>
      </c>
      <c r="GK124">
        <v>0</v>
      </c>
      <c r="GL124">
        <f t="shared" si="134"/>
        <v>0</v>
      </c>
      <c r="GM124">
        <f t="shared" si="135"/>
        <v>-5129</v>
      </c>
      <c r="GN124">
        <f t="shared" si="136"/>
        <v>-5129</v>
      </c>
      <c r="GO124">
        <f t="shared" si="137"/>
        <v>0</v>
      </c>
      <c r="GP124">
        <f t="shared" si="138"/>
        <v>0</v>
      </c>
      <c r="GR124">
        <v>0</v>
      </c>
      <c r="GS124">
        <v>0</v>
      </c>
      <c r="GT124">
        <v>0</v>
      </c>
      <c r="GV124">
        <f t="shared" si="139"/>
        <v>0</v>
      </c>
      <c r="GW124">
        <v>1</v>
      </c>
      <c r="GX124">
        <f t="shared" si="140"/>
        <v>0</v>
      </c>
      <c r="HA124">
        <v>0</v>
      </c>
      <c r="HB124">
        <v>0</v>
      </c>
      <c r="HC124">
        <f t="shared" si="141"/>
        <v>0</v>
      </c>
      <c r="HN124" t="s">
        <v>200</v>
      </c>
      <c r="HO124" t="s">
        <v>201</v>
      </c>
      <c r="HP124" t="s">
        <v>198</v>
      </c>
      <c r="HQ124" t="s">
        <v>198</v>
      </c>
      <c r="IK124">
        <v>0</v>
      </c>
    </row>
    <row r="126" spans="1:206" ht="12.75">
      <c r="A126" s="3">
        <v>51</v>
      </c>
      <c r="B126" s="3">
        <f>B67</f>
        <v>1</v>
      </c>
      <c r="C126" s="3">
        <f>A67</f>
        <v>4</v>
      </c>
      <c r="D126" s="3">
        <f>ROW(A67)</f>
        <v>67</v>
      </c>
      <c r="E126" s="3"/>
      <c r="F126" s="3" t="str">
        <f>IF(F67&lt;&gt;"",F67,"")</f>
        <v>Новый раздел</v>
      </c>
      <c r="G126" s="3" t="str">
        <f>IF(G67&lt;&gt;"",G67,"")</f>
        <v>Монтаж</v>
      </c>
      <c r="H126" s="3">
        <v>0</v>
      </c>
      <c r="I126" s="3"/>
      <c r="J126" s="3"/>
      <c r="K126" s="3"/>
      <c r="L126" s="3"/>
      <c r="M126" s="3"/>
      <c r="N126" s="3"/>
      <c r="O126" s="3">
        <f aca="true" t="shared" si="149" ref="O126:T126">ROUND(AB126,0)</f>
        <v>198058</v>
      </c>
      <c r="P126" s="3">
        <f t="shared" si="149"/>
        <v>184844</v>
      </c>
      <c r="Q126" s="3">
        <f t="shared" si="149"/>
        <v>4274</v>
      </c>
      <c r="R126" s="3">
        <f t="shared" si="149"/>
        <v>454</v>
      </c>
      <c r="S126" s="3">
        <f t="shared" si="149"/>
        <v>8940</v>
      </c>
      <c r="T126" s="3">
        <f t="shared" si="149"/>
        <v>0</v>
      </c>
      <c r="U126" s="3">
        <f>AH126</f>
        <v>999.3955400000001</v>
      </c>
      <c r="V126" s="3">
        <f>AI126</f>
        <v>38.819874999999996</v>
      </c>
      <c r="W126" s="3">
        <f>ROUND(AJ126,0)</f>
        <v>0</v>
      </c>
      <c r="X126" s="3">
        <f>ROUND(AK126,0)</f>
        <v>10173</v>
      </c>
      <c r="Y126" s="3">
        <f>ROUND(AL126,0)</f>
        <v>5338</v>
      </c>
      <c r="Z126" s="3"/>
      <c r="AA126" s="3"/>
      <c r="AB126" s="3">
        <f>ROUND(SUMIF(AA71:AA124,"=55110074",O71:O124),0)</f>
        <v>198058</v>
      </c>
      <c r="AC126" s="3">
        <f>ROUND(SUMIF(AA71:AA124,"=55110074",P71:P124),0)</f>
        <v>184844</v>
      </c>
      <c r="AD126" s="3">
        <f>ROUND(SUMIF(AA71:AA124,"=55110074",Q71:Q124),0)</f>
        <v>4274</v>
      </c>
      <c r="AE126" s="3">
        <f>ROUND(SUMIF(AA71:AA124,"=55110074",R71:R124),0)</f>
        <v>454</v>
      </c>
      <c r="AF126" s="3">
        <f>ROUND(SUMIF(AA71:AA124,"=55110074",S71:S124),0)</f>
        <v>8940</v>
      </c>
      <c r="AG126" s="3">
        <f>ROUND(SUMIF(AA71:AA124,"=55110074",T71:T124),0)</f>
        <v>0</v>
      </c>
      <c r="AH126" s="3">
        <f>SUMIF(AA71:AA124,"=55110074",U71:U124)</f>
        <v>999.3955400000001</v>
      </c>
      <c r="AI126" s="3">
        <f>SUMIF(AA71:AA124,"=55110074",V71:V124)</f>
        <v>38.819874999999996</v>
      </c>
      <c r="AJ126" s="3">
        <f>ROUND(SUMIF(AA71:AA124,"=55110074",W71:W124),0)</f>
        <v>0</v>
      </c>
      <c r="AK126" s="3">
        <f>ROUND(SUMIF(AA71:AA124,"=55110074",X71:X124),0)</f>
        <v>10173</v>
      </c>
      <c r="AL126" s="3">
        <f>ROUND(SUMIF(AA71:AA124,"=55110074",Y71:Y124),0)</f>
        <v>5338</v>
      </c>
      <c r="AM126" s="3"/>
      <c r="AN126" s="3"/>
      <c r="AO126" s="3">
        <f aca="true" t="shared" si="150" ref="AO126:BD126">ROUND(BX126,0)</f>
        <v>0</v>
      </c>
      <c r="AP126" s="3">
        <f t="shared" si="150"/>
        <v>0</v>
      </c>
      <c r="AQ126" s="3">
        <f t="shared" si="150"/>
        <v>0</v>
      </c>
      <c r="AR126" s="3">
        <f t="shared" si="150"/>
        <v>213569</v>
      </c>
      <c r="AS126" s="3">
        <f t="shared" si="150"/>
        <v>213569</v>
      </c>
      <c r="AT126" s="3">
        <f t="shared" si="150"/>
        <v>0</v>
      </c>
      <c r="AU126" s="3">
        <f t="shared" si="150"/>
        <v>0</v>
      </c>
      <c r="AV126" s="3">
        <f t="shared" si="150"/>
        <v>184844</v>
      </c>
      <c r="AW126" s="3">
        <f t="shared" si="150"/>
        <v>184844</v>
      </c>
      <c r="AX126" s="3">
        <f t="shared" si="150"/>
        <v>0</v>
      </c>
      <c r="AY126" s="3">
        <f t="shared" si="150"/>
        <v>184844</v>
      </c>
      <c r="AZ126" s="3">
        <f t="shared" si="150"/>
        <v>0</v>
      </c>
      <c r="BA126" s="3">
        <f t="shared" si="150"/>
        <v>0</v>
      </c>
      <c r="BB126" s="3">
        <f t="shared" si="150"/>
        <v>0</v>
      </c>
      <c r="BC126" s="3">
        <f t="shared" si="150"/>
        <v>0</v>
      </c>
      <c r="BD126" s="3">
        <f t="shared" si="150"/>
        <v>0</v>
      </c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>
        <f>ROUND(SUMIF(AA71:AA124,"=55110074",FQ71:FQ124),0)</f>
        <v>0</v>
      </c>
      <c r="BY126" s="3">
        <f>ROUND(SUMIF(AA71:AA124,"=55110074",FR71:FR124),0)</f>
        <v>0</v>
      </c>
      <c r="BZ126" s="3">
        <f>ROUND(SUMIF(AA71:AA124,"=55110074",GL71:GL124),0)</f>
        <v>0</v>
      </c>
      <c r="CA126" s="3">
        <f>ROUND(SUMIF(AA71:AA124,"=55110074",GM71:GM124),0)</f>
        <v>213569</v>
      </c>
      <c r="CB126" s="3">
        <f>ROUND(SUMIF(AA71:AA124,"=55110074",GN71:GN124),0)</f>
        <v>213569</v>
      </c>
      <c r="CC126" s="3">
        <f>ROUND(SUMIF(AA71:AA124,"=55110074",GO71:GO124),0)</f>
        <v>0</v>
      </c>
      <c r="CD126" s="3">
        <f>ROUND(SUMIF(AA71:AA124,"=55110074",GP71:GP124),0)</f>
        <v>0</v>
      </c>
      <c r="CE126" s="3">
        <f>AC126-BX126</f>
        <v>184844</v>
      </c>
      <c r="CF126" s="3">
        <f>AC126-BY126</f>
        <v>184844</v>
      </c>
      <c r="CG126" s="3">
        <f>BX126-BZ126</f>
        <v>0</v>
      </c>
      <c r="CH126" s="3">
        <f>AC126-BX126-BY126+BZ126</f>
        <v>184844</v>
      </c>
      <c r="CI126" s="3">
        <f>BY126-BZ126</f>
        <v>0</v>
      </c>
      <c r="CJ126" s="3">
        <f>ROUND(SUMIF(AA71:AA124,"=55110074",GX71:GX124),0)</f>
        <v>0</v>
      </c>
      <c r="CK126" s="3">
        <f>ROUND(SUMIF(AA71:AA124,"=55110074",GY71:GY124),0)</f>
        <v>0</v>
      </c>
      <c r="CL126" s="3">
        <f>ROUND(SUMIF(AA71:AA124,"=55110074",GZ71:GZ124),0)</f>
        <v>0</v>
      </c>
      <c r="CM126" s="3">
        <f>ROUND(SUMIF(AA71:AA124,"=55110074",HD71:HD124),0)</f>
        <v>0</v>
      </c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4">
        <f aca="true" t="shared" si="151" ref="DG126:DL126">ROUND(DT126,0)</f>
        <v>1340995</v>
      </c>
      <c r="DH126" s="4">
        <f t="shared" si="151"/>
        <v>982315</v>
      </c>
      <c r="DI126" s="4">
        <f t="shared" si="151"/>
        <v>36576</v>
      </c>
      <c r="DJ126" s="4">
        <f t="shared" si="151"/>
        <v>16383</v>
      </c>
      <c r="DK126" s="4">
        <f t="shared" si="151"/>
        <v>322104</v>
      </c>
      <c r="DL126" s="4">
        <f t="shared" si="151"/>
        <v>0</v>
      </c>
      <c r="DM126" s="4">
        <f>DZ126</f>
        <v>999.3955400000001</v>
      </c>
      <c r="DN126" s="4">
        <f>EA126</f>
        <v>38.819874999999996</v>
      </c>
      <c r="DO126" s="4">
        <f>ROUND(EB126,0)</f>
        <v>0</v>
      </c>
      <c r="DP126" s="4">
        <f>ROUND(EC126,0)</f>
        <v>366641</v>
      </c>
      <c r="DQ126" s="4">
        <f>ROUND(ED126,0)</f>
        <v>192359</v>
      </c>
      <c r="DR126" s="4"/>
      <c r="DS126" s="4"/>
      <c r="DT126" s="4">
        <f>ROUND(SUMIF(AA71:AA124,"=55110083",O71:O124),0)</f>
        <v>1340995</v>
      </c>
      <c r="DU126" s="4">
        <f>ROUND(SUMIF(AA71:AA124,"=55110083",P71:P124),0)</f>
        <v>982315</v>
      </c>
      <c r="DV126" s="4">
        <f>ROUND(SUMIF(AA71:AA124,"=55110083",Q71:Q124),0)</f>
        <v>36576</v>
      </c>
      <c r="DW126" s="4">
        <f>ROUND(SUMIF(AA71:AA124,"=55110083",R71:R124),0)</f>
        <v>16383</v>
      </c>
      <c r="DX126" s="4">
        <f>ROUND(SUMIF(AA71:AA124,"=55110083",S71:S124),0)</f>
        <v>322104</v>
      </c>
      <c r="DY126" s="4">
        <f>ROUND(SUMIF(AA71:AA124,"=55110083",T71:T124),0)</f>
        <v>0</v>
      </c>
      <c r="DZ126" s="4">
        <f>SUMIF(AA71:AA124,"=55110083",U71:U124)</f>
        <v>999.3955400000001</v>
      </c>
      <c r="EA126" s="4">
        <f>SUMIF(AA71:AA124,"=55110083",V71:V124)</f>
        <v>38.819874999999996</v>
      </c>
      <c r="EB126" s="4">
        <f>ROUND(SUMIF(AA71:AA124,"=55110083",W71:W124),0)</f>
        <v>0</v>
      </c>
      <c r="EC126" s="4">
        <f>ROUND(SUMIF(AA71:AA124,"=55110083",X71:X124),0)</f>
        <v>366641</v>
      </c>
      <c r="ED126" s="4">
        <f>ROUND(SUMIF(AA71:AA124,"=55110083",Y71:Y124),0)</f>
        <v>192359</v>
      </c>
      <c r="EE126" s="4"/>
      <c r="EF126" s="4"/>
      <c r="EG126" s="4">
        <f aca="true" t="shared" si="152" ref="EG126:EV126">ROUND(FP126,0)</f>
        <v>0</v>
      </c>
      <c r="EH126" s="4">
        <f t="shared" si="152"/>
        <v>0</v>
      </c>
      <c r="EI126" s="4">
        <f t="shared" si="152"/>
        <v>0</v>
      </c>
      <c r="EJ126" s="4">
        <f t="shared" si="152"/>
        <v>1899995</v>
      </c>
      <c r="EK126" s="4">
        <f t="shared" si="152"/>
        <v>1899995</v>
      </c>
      <c r="EL126" s="4">
        <f t="shared" si="152"/>
        <v>0</v>
      </c>
      <c r="EM126" s="4">
        <f t="shared" si="152"/>
        <v>0</v>
      </c>
      <c r="EN126" s="4">
        <f t="shared" si="152"/>
        <v>982315</v>
      </c>
      <c r="EO126" s="4">
        <f t="shared" si="152"/>
        <v>982315</v>
      </c>
      <c r="EP126" s="4">
        <f t="shared" si="152"/>
        <v>0</v>
      </c>
      <c r="EQ126" s="4">
        <f t="shared" si="152"/>
        <v>982315</v>
      </c>
      <c r="ER126" s="4">
        <f t="shared" si="152"/>
        <v>0</v>
      </c>
      <c r="ES126" s="4">
        <f t="shared" si="152"/>
        <v>0</v>
      </c>
      <c r="ET126" s="4">
        <f t="shared" si="152"/>
        <v>0</v>
      </c>
      <c r="EU126" s="4">
        <f t="shared" si="152"/>
        <v>0</v>
      </c>
      <c r="EV126" s="4">
        <f t="shared" si="152"/>
        <v>0</v>
      </c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>
        <f>ROUND(SUMIF(AA71:AA124,"=55110083",FQ71:FQ124),0)</f>
        <v>0</v>
      </c>
      <c r="FQ126" s="4">
        <f>ROUND(SUMIF(AA71:AA124,"=55110083",FR71:FR124),0)</f>
        <v>0</v>
      </c>
      <c r="FR126" s="4">
        <f>ROUND(SUMIF(AA71:AA124,"=55110083",GL71:GL124),0)</f>
        <v>0</v>
      </c>
      <c r="FS126" s="4">
        <f>ROUND(SUMIF(AA71:AA124,"=55110083",GM71:GM124),0)</f>
        <v>1899995</v>
      </c>
      <c r="FT126" s="4">
        <f>ROUND(SUMIF(AA71:AA124,"=55110083",GN71:GN124),0)</f>
        <v>1899995</v>
      </c>
      <c r="FU126" s="4">
        <f>ROUND(SUMIF(AA71:AA124,"=55110083",GO71:GO124),0)</f>
        <v>0</v>
      </c>
      <c r="FV126" s="4">
        <f>ROUND(SUMIF(AA71:AA124,"=55110083",GP71:GP124),0)</f>
        <v>0</v>
      </c>
      <c r="FW126" s="4">
        <f>DU126-FP126</f>
        <v>982315</v>
      </c>
      <c r="FX126" s="4">
        <f>DU126-FQ126</f>
        <v>982315</v>
      </c>
      <c r="FY126" s="4">
        <f>FP126-FR126</f>
        <v>0</v>
      </c>
      <c r="FZ126" s="4">
        <f>DU126-FP126-FQ126+FR126</f>
        <v>982315</v>
      </c>
      <c r="GA126" s="4">
        <f>FQ126-FR126</f>
        <v>0</v>
      </c>
      <c r="GB126" s="4">
        <f>ROUND(SUMIF(AA71:AA124,"=55110083",GX71:GX124),0)</f>
        <v>0</v>
      </c>
      <c r="GC126" s="4">
        <f>ROUND(SUMIF(AA71:AA124,"=55110083",GY71:GY124),0)</f>
        <v>0</v>
      </c>
      <c r="GD126" s="4">
        <f>ROUND(SUMIF(AA71:AA124,"=55110083",GZ71:GZ124),0)</f>
        <v>0</v>
      </c>
      <c r="GE126" s="4">
        <f>ROUND(SUMIF(AA71:AA124,"=55110083",HD71:HD124),0)</f>
        <v>0</v>
      </c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>
        <v>0</v>
      </c>
    </row>
    <row r="128" spans="1:28" ht="12.75">
      <c r="A128" s="5">
        <v>50</v>
      </c>
      <c r="B128" s="5">
        <v>0</v>
      </c>
      <c r="C128" s="5">
        <v>0</v>
      </c>
      <c r="D128" s="5">
        <v>1</v>
      </c>
      <c r="E128" s="5">
        <v>201</v>
      </c>
      <c r="F128" s="5">
        <f>ROUND(Source!O126,O128)</f>
        <v>198058</v>
      </c>
      <c r="G128" s="5" t="s">
        <v>56</v>
      </c>
      <c r="H128" s="5" t="s">
        <v>57</v>
      </c>
      <c r="I128" s="5"/>
      <c r="J128" s="5"/>
      <c r="K128" s="5">
        <v>201</v>
      </c>
      <c r="L128" s="5">
        <v>1</v>
      </c>
      <c r="M128" s="5">
        <v>3</v>
      </c>
      <c r="N128" s="5" t="s">
        <v>3</v>
      </c>
      <c r="O128" s="5">
        <v>0</v>
      </c>
      <c r="P128" s="5">
        <f>ROUND(Source!DG126,O128)</f>
        <v>1340995</v>
      </c>
      <c r="Q128" s="5"/>
      <c r="R128" s="5"/>
      <c r="S128" s="5"/>
      <c r="T128" s="5"/>
      <c r="U128" s="5"/>
      <c r="V128" s="5"/>
      <c r="W128" s="5">
        <v>198058</v>
      </c>
      <c r="X128" s="5">
        <v>1</v>
      </c>
      <c r="Y128" s="5">
        <v>198058</v>
      </c>
      <c r="Z128" s="5">
        <v>1340995</v>
      </c>
      <c r="AA128" s="5">
        <v>1</v>
      </c>
      <c r="AB128" s="5">
        <v>1340995</v>
      </c>
    </row>
    <row r="129" spans="1:28" ht="12.75">
      <c r="A129" s="5">
        <v>50</v>
      </c>
      <c r="B129" s="5">
        <v>0</v>
      </c>
      <c r="C129" s="5">
        <v>0</v>
      </c>
      <c r="D129" s="5">
        <v>1</v>
      </c>
      <c r="E129" s="5">
        <v>202</v>
      </c>
      <c r="F129" s="5">
        <f>ROUND(Source!P126,O129)</f>
        <v>184844</v>
      </c>
      <c r="G129" s="5" t="s">
        <v>58</v>
      </c>
      <c r="H129" s="5" t="s">
        <v>59</v>
      </c>
      <c r="I129" s="5"/>
      <c r="J129" s="5"/>
      <c r="K129" s="5">
        <v>202</v>
      </c>
      <c r="L129" s="5">
        <v>2</v>
      </c>
      <c r="M129" s="5">
        <v>3</v>
      </c>
      <c r="N129" s="5" t="s">
        <v>3</v>
      </c>
      <c r="O129" s="5">
        <v>0</v>
      </c>
      <c r="P129" s="5">
        <f>ROUND(Source!DH126,O129)</f>
        <v>982315</v>
      </c>
      <c r="Q129" s="5"/>
      <c r="R129" s="5"/>
      <c r="S129" s="5"/>
      <c r="T129" s="5"/>
      <c r="U129" s="5"/>
      <c r="V129" s="5"/>
      <c r="W129" s="5">
        <v>184844</v>
      </c>
      <c r="X129" s="5">
        <v>1</v>
      </c>
      <c r="Y129" s="5">
        <v>184844</v>
      </c>
      <c r="Z129" s="5">
        <v>982315</v>
      </c>
      <c r="AA129" s="5">
        <v>1</v>
      </c>
      <c r="AB129" s="5">
        <v>982315</v>
      </c>
    </row>
    <row r="130" spans="1:28" ht="12.75">
      <c r="A130" s="5">
        <v>50</v>
      </c>
      <c r="B130" s="5">
        <v>0</v>
      </c>
      <c r="C130" s="5">
        <v>0</v>
      </c>
      <c r="D130" s="5">
        <v>1</v>
      </c>
      <c r="E130" s="5">
        <v>222</v>
      </c>
      <c r="F130" s="5">
        <f>ROUND(Source!AO126,O130)</f>
        <v>0</v>
      </c>
      <c r="G130" s="5" t="s">
        <v>60</v>
      </c>
      <c r="H130" s="5" t="s">
        <v>61</v>
      </c>
      <c r="I130" s="5"/>
      <c r="J130" s="5"/>
      <c r="K130" s="5">
        <v>222</v>
      </c>
      <c r="L130" s="5">
        <v>3</v>
      </c>
      <c r="M130" s="5">
        <v>3</v>
      </c>
      <c r="N130" s="5" t="s">
        <v>3</v>
      </c>
      <c r="O130" s="5">
        <v>0</v>
      </c>
      <c r="P130" s="5">
        <f>ROUND(Source!EG126,O130)</f>
        <v>0</v>
      </c>
      <c r="Q130" s="5"/>
      <c r="R130" s="5"/>
      <c r="S130" s="5"/>
      <c r="T130" s="5"/>
      <c r="U130" s="5"/>
      <c r="V130" s="5"/>
      <c r="W130" s="5">
        <v>0</v>
      </c>
      <c r="X130" s="5">
        <v>1</v>
      </c>
      <c r="Y130" s="5">
        <v>0</v>
      </c>
      <c r="Z130" s="5">
        <v>0</v>
      </c>
      <c r="AA130" s="5">
        <v>1</v>
      </c>
      <c r="AB130" s="5">
        <v>0</v>
      </c>
    </row>
    <row r="131" spans="1:28" ht="12.75">
      <c r="A131" s="5">
        <v>50</v>
      </c>
      <c r="B131" s="5">
        <v>0</v>
      </c>
      <c r="C131" s="5">
        <v>0</v>
      </c>
      <c r="D131" s="5">
        <v>1</v>
      </c>
      <c r="E131" s="5">
        <v>225</v>
      </c>
      <c r="F131" s="5">
        <f>ROUND(Source!AV126,O131)</f>
        <v>184844</v>
      </c>
      <c r="G131" s="5" t="s">
        <v>62</v>
      </c>
      <c r="H131" s="5" t="s">
        <v>63</v>
      </c>
      <c r="I131" s="5"/>
      <c r="J131" s="5"/>
      <c r="K131" s="5">
        <v>225</v>
      </c>
      <c r="L131" s="5">
        <v>4</v>
      </c>
      <c r="M131" s="5">
        <v>3</v>
      </c>
      <c r="N131" s="5" t="s">
        <v>3</v>
      </c>
      <c r="O131" s="5">
        <v>0</v>
      </c>
      <c r="P131" s="5">
        <f>ROUND(Source!EN126,O131)</f>
        <v>982315</v>
      </c>
      <c r="Q131" s="5"/>
      <c r="R131" s="5"/>
      <c r="S131" s="5"/>
      <c r="T131" s="5"/>
      <c r="U131" s="5"/>
      <c r="V131" s="5"/>
      <c r="W131" s="5">
        <v>184844</v>
      </c>
      <c r="X131" s="5">
        <v>1</v>
      </c>
      <c r="Y131" s="5">
        <v>184844</v>
      </c>
      <c r="Z131" s="5">
        <v>982315</v>
      </c>
      <c r="AA131" s="5">
        <v>1</v>
      </c>
      <c r="AB131" s="5">
        <v>982315</v>
      </c>
    </row>
    <row r="132" spans="1:28" ht="12.75">
      <c r="A132" s="5">
        <v>50</v>
      </c>
      <c r="B132" s="5">
        <v>0</v>
      </c>
      <c r="C132" s="5">
        <v>0</v>
      </c>
      <c r="D132" s="5">
        <v>1</v>
      </c>
      <c r="E132" s="5">
        <v>226</v>
      </c>
      <c r="F132" s="5">
        <f>ROUND(Source!AW126,O132)</f>
        <v>184844</v>
      </c>
      <c r="G132" s="5" t="s">
        <v>64</v>
      </c>
      <c r="H132" s="5" t="s">
        <v>65</v>
      </c>
      <c r="I132" s="5"/>
      <c r="J132" s="5"/>
      <c r="K132" s="5">
        <v>226</v>
      </c>
      <c r="L132" s="5">
        <v>5</v>
      </c>
      <c r="M132" s="5">
        <v>3</v>
      </c>
      <c r="N132" s="5" t="s">
        <v>3</v>
      </c>
      <c r="O132" s="5">
        <v>0</v>
      </c>
      <c r="P132" s="5">
        <f>ROUND(Source!EO126,O132)</f>
        <v>982315</v>
      </c>
      <c r="Q132" s="5"/>
      <c r="R132" s="5"/>
      <c r="S132" s="5"/>
      <c r="T132" s="5"/>
      <c r="U132" s="5"/>
      <c r="V132" s="5"/>
      <c r="W132" s="5">
        <v>184844</v>
      </c>
      <c r="X132" s="5">
        <v>1</v>
      </c>
      <c r="Y132" s="5">
        <v>184844</v>
      </c>
      <c r="Z132" s="5">
        <v>982315</v>
      </c>
      <c r="AA132" s="5">
        <v>1</v>
      </c>
      <c r="AB132" s="5">
        <v>982315</v>
      </c>
    </row>
    <row r="133" spans="1:28" ht="12.75">
      <c r="A133" s="5">
        <v>50</v>
      </c>
      <c r="B133" s="5">
        <v>0</v>
      </c>
      <c r="C133" s="5">
        <v>0</v>
      </c>
      <c r="D133" s="5">
        <v>1</v>
      </c>
      <c r="E133" s="5">
        <v>227</v>
      </c>
      <c r="F133" s="5">
        <f>ROUND(Source!AX126,O133)</f>
        <v>0</v>
      </c>
      <c r="G133" s="5" t="s">
        <v>66</v>
      </c>
      <c r="H133" s="5" t="s">
        <v>67</v>
      </c>
      <c r="I133" s="5"/>
      <c r="J133" s="5"/>
      <c r="K133" s="5">
        <v>227</v>
      </c>
      <c r="L133" s="5">
        <v>6</v>
      </c>
      <c r="M133" s="5">
        <v>3</v>
      </c>
      <c r="N133" s="5" t="s">
        <v>3</v>
      </c>
      <c r="O133" s="5">
        <v>0</v>
      </c>
      <c r="P133" s="5">
        <f>ROUND(Source!EP126,O133)</f>
        <v>0</v>
      </c>
      <c r="Q133" s="5"/>
      <c r="R133" s="5"/>
      <c r="S133" s="5"/>
      <c r="T133" s="5"/>
      <c r="U133" s="5"/>
      <c r="V133" s="5"/>
      <c r="W133" s="5">
        <v>0</v>
      </c>
      <c r="X133" s="5">
        <v>1</v>
      </c>
      <c r="Y133" s="5">
        <v>0</v>
      </c>
      <c r="Z133" s="5">
        <v>0</v>
      </c>
      <c r="AA133" s="5">
        <v>1</v>
      </c>
      <c r="AB133" s="5">
        <v>0</v>
      </c>
    </row>
    <row r="134" spans="1:28" ht="12.75">
      <c r="A134" s="5">
        <v>50</v>
      </c>
      <c r="B134" s="5">
        <v>0</v>
      </c>
      <c r="C134" s="5">
        <v>0</v>
      </c>
      <c r="D134" s="5">
        <v>1</v>
      </c>
      <c r="E134" s="5">
        <v>228</v>
      </c>
      <c r="F134" s="5">
        <f>ROUND(Source!AY126,O134)</f>
        <v>184844</v>
      </c>
      <c r="G134" s="5" t="s">
        <v>68</v>
      </c>
      <c r="H134" s="5" t="s">
        <v>69</v>
      </c>
      <c r="I134" s="5"/>
      <c r="J134" s="5"/>
      <c r="K134" s="5">
        <v>228</v>
      </c>
      <c r="L134" s="5">
        <v>7</v>
      </c>
      <c r="M134" s="5">
        <v>3</v>
      </c>
      <c r="N134" s="5" t="s">
        <v>3</v>
      </c>
      <c r="O134" s="5">
        <v>0</v>
      </c>
      <c r="P134" s="5">
        <f>ROUND(Source!EQ126,O134)</f>
        <v>982315</v>
      </c>
      <c r="Q134" s="5"/>
      <c r="R134" s="5"/>
      <c r="S134" s="5"/>
      <c r="T134" s="5"/>
      <c r="U134" s="5"/>
      <c r="V134" s="5"/>
      <c r="W134" s="5">
        <v>184844</v>
      </c>
      <c r="X134" s="5">
        <v>1</v>
      </c>
      <c r="Y134" s="5">
        <v>184844</v>
      </c>
      <c r="Z134" s="5">
        <v>982315</v>
      </c>
      <c r="AA134" s="5">
        <v>1</v>
      </c>
      <c r="AB134" s="5">
        <v>982315</v>
      </c>
    </row>
    <row r="135" spans="1:28" ht="12.75">
      <c r="A135" s="5">
        <v>50</v>
      </c>
      <c r="B135" s="5">
        <v>0</v>
      </c>
      <c r="C135" s="5">
        <v>0</v>
      </c>
      <c r="D135" s="5">
        <v>1</v>
      </c>
      <c r="E135" s="5">
        <v>216</v>
      </c>
      <c r="F135" s="5">
        <f>ROUND(Source!AP126,O135)</f>
        <v>0</v>
      </c>
      <c r="G135" s="5" t="s">
        <v>70</v>
      </c>
      <c r="H135" s="5" t="s">
        <v>71</v>
      </c>
      <c r="I135" s="5"/>
      <c r="J135" s="5"/>
      <c r="K135" s="5">
        <v>216</v>
      </c>
      <c r="L135" s="5">
        <v>8</v>
      </c>
      <c r="M135" s="5">
        <v>3</v>
      </c>
      <c r="N135" s="5" t="s">
        <v>3</v>
      </c>
      <c r="O135" s="5">
        <v>0</v>
      </c>
      <c r="P135" s="5">
        <f>ROUND(Source!EH126,O135)</f>
        <v>0</v>
      </c>
      <c r="Q135" s="5"/>
      <c r="R135" s="5"/>
      <c r="S135" s="5"/>
      <c r="T135" s="5"/>
      <c r="U135" s="5"/>
      <c r="V135" s="5"/>
      <c r="W135" s="5">
        <v>0</v>
      </c>
      <c r="X135" s="5">
        <v>1</v>
      </c>
      <c r="Y135" s="5">
        <v>0</v>
      </c>
      <c r="Z135" s="5">
        <v>0</v>
      </c>
      <c r="AA135" s="5">
        <v>1</v>
      </c>
      <c r="AB135" s="5">
        <v>0</v>
      </c>
    </row>
    <row r="136" spans="1:28" ht="12.75">
      <c r="A136" s="5">
        <v>50</v>
      </c>
      <c r="B136" s="5">
        <v>0</v>
      </c>
      <c r="C136" s="5">
        <v>0</v>
      </c>
      <c r="D136" s="5">
        <v>1</v>
      </c>
      <c r="E136" s="5">
        <v>223</v>
      </c>
      <c r="F136" s="5">
        <f>ROUND(Source!AQ126,O136)</f>
        <v>0</v>
      </c>
      <c r="G136" s="5" t="s">
        <v>72</v>
      </c>
      <c r="H136" s="5" t="s">
        <v>73</v>
      </c>
      <c r="I136" s="5"/>
      <c r="J136" s="5"/>
      <c r="K136" s="5">
        <v>223</v>
      </c>
      <c r="L136" s="5">
        <v>9</v>
      </c>
      <c r="M136" s="5">
        <v>3</v>
      </c>
      <c r="N136" s="5" t="s">
        <v>3</v>
      </c>
      <c r="O136" s="5">
        <v>0</v>
      </c>
      <c r="P136" s="5">
        <f>ROUND(Source!EI126,O136)</f>
        <v>0</v>
      </c>
      <c r="Q136" s="5"/>
      <c r="R136" s="5"/>
      <c r="S136" s="5"/>
      <c r="T136" s="5"/>
      <c r="U136" s="5"/>
      <c r="V136" s="5"/>
      <c r="W136" s="5">
        <v>0</v>
      </c>
      <c r="X136" s="5">
        <v>1</v>
      </c>
      <c r="Y136" s="5">
        <v>0</v>
      </c>
      <c r="Z136" s="5">
        <v>0</v>
      </c>
      <c r="AA136" s="5">
        <v>1</v>
      </c>
      <c r="AB136" s="5">
        <v>0</v>
      </c>
    </row>
    <row r="137" spans="1:28" ht="12.75">
      <c r="A137" s="5">
        <v>50</v>
      </c>
      <c r="B137" s="5">
        <v>0</v>
      </c>
      <c r="C137" s="5">
        <v>0</v>
      </c>
      <c r="D137" s="5">
        <v>1</v>
      </c>
      <c r="E137" s="5">
        <v>229</v>
      </c>
      <c r="F137" s="5">
        <f>ROUND(Source!AZ126,O137)</f>
        <v>0</v>
      </c>
      <c r="G137" s="5" t="s">
        <v>74</v>
      </c>
      <c r="H137" s="5" t="s">
        <v>75</v>
      </c>
      <c r="I137" s="5"/>
      <c r="J137" s="5"/>
      <c r="K137" s="5">
        <v>229</v>
      </c>
      <c r="L137" s="5">
        <v>10</v>
      </c>
      <c r="M137" s="5">
        <v>3</v>
      </c>
      <c r="N137" s="5" t="s">
        <v>3</v>
      </c>
      <c r="O137" s="5">
        <v>0</v>
      </c>
      <c r="P137" s="5">
        <f>ROUND(Source!ER126,O137)</f>
        <v>0</v>
      </c>
      <c r="Q137" s="5"/>
      <c r="R137" s="5"/>
      <c r="S137" s="5"/>
      <c r="T137" s="5"/>
      <c r="U137" s="5"/>
      <c r="V137" s="5"/>
      <c r="W137" s="5">
        <v>0</v>
      </c>
      <c r="X137" s="5">
        <v>1</v>
      </c>
      <c r="Y137" s="5">
        <v>0</v>
      </c>
      <c r="Z137" s="5">
        <v>0</v>
      </c>
      <c r="AA137" s="5">
        <v>1</v>
      </c>
      <c r="AB137" s="5">
        <v>0</v>
      </c>
    </row>
    <row r="138" spans="1:28" ht="12.75">
      <c r="A138" s="5">
        <v>50</v>
      </c>
      <c r="B138" s="5">
        <v>0</v>
      </c>
      <c r="C138" s="5">
        <v>0</v>
      </c>
      <c r="D138" s="5">
        <v>1</v>
      </c>
      <c r="E138" s="5">
        <v>203</v>
      </c>
      <c r="F138" s="5">
        <f>ROUND(Source!Q126,O138)</f>
        <v>4274</v>
      </c>
      <c r="G138" s="5" t="s">
        <v>76</v>
      </c>
      <c r="H138" s="5" t="s">
        <v>77</v>
      </c>
      <c r="I138" s="5"/>
      <c r="J138" s="5"/>
      <c r="K138" s="5">
        <v>203</v>
      </c>
      <c r="L138" s="5">
        <v>11</v>
      </c>
      <c r="M138" s="5">
        <v>3</v>
      </c>
      <c r="N138" s="5" t="s">
        <v>3</v>
      </c>
      <c r="O138" s="5">
        <v>0</v>
      </c>
      <c r="P138" s="5">
        <f>ROUND(Source!DI126,O138)</f>
        <v>36576</v>
      </c>
      <c r="Q138" s="5"/>
      <c r="R138" s="5"/>
      <c r="S138" s="5"/>
      <c r="T138" s="5"/>
      <c r="U138" s="5"/>
      <c r="V138" s="5"/>
      <c r="W138" s="5">
        <v>4274</v>
      </c>
      <c r="X138" s="5">
        <v>1</v>
      </c>
      <c r="Y138" s="5">
        <v>4274</v>
      </c>
      <c r="Z138" s="5">
        <v>36576</v>
      </c>
      <c r="AA138" s="5">
        <v>1</v>
      </c>
      <c r="AB138" s="5">
        <v>36576</v>
      </c>
    </row>
    <row r="139" spans="1:28" ht="12.75">
      <c r="A139" s="5">
        <v>50</v>
      </c>
      <c r="B139" s="5">
        <v>0</v>
      </c>
      <c r="C139" s="5">
        <v>0</v>
      </c>
      <c r="D139" s="5">
        <v>1</v>
      </c>
      <c r="E139" s="5">
        <v>231</v>
      </c>
      <c r="F139" s="5">
        <f>ROUND(Source!BB126,O139)</f>
        <v>0</v>
      </c>
      <c r="G139" s="5" t="s">
        <v>78</v>
      </c>
      <c r="H139" s="5" t="s">
        <v>79</v>
      </c>
      <c r="I139" s="5"/>
      <c r="J139" s="5"/>
      <c r="K139" s="5">
        <v>231</v>
      </c>
      <c r="L139" s="5">
        <v>12</v>
      </c>
      <c r="M139" s="5">
        <v>3</v>
      </c>
      <c r="N139" s="5" t="s">
        <v>3</v>
      </c>
      <c r="O139" s="5">
        <v>0</v>
      </c>
      <c r="P139" s="5">
        <f>ROUND(Source!ET126,O139)</f>
        <v>0</v>
      </c>
      <c r="Q139" s="5"/>
      <c r="R139" s="5"/>
      <c r="S139" s="5"/>
      <c r="T139" s="5"/>
      <c r="U139" s="5"/>
      <c r="V139" s="5"/>
      <c r="W139" s="5">
        <v>0</v>
      </c>
      <c r="X139" s="5">
        <v>1</v>
      </c>
      <c r="Y139" s="5">
        <v>0</v>
      </c>
      <c r="Z139" s="5">
        <v>0</v>
      </c>
      <c r="AA139" s="5">
        <v>1</v>
      </c>
      <c r="AB139" s="5">
        <v>0</v>
      </c>
    </row>
    <row r="140" spans="1:28" ht="12.75">
      <c r="A140" s="5">
        <v>50</v>
      </c>
      <c r="B140" s="5">
        <v>0</v>
      </c>
      <c r="C140" s="5">
        <v>0</v>
      </c>
      <c r="D140" s="5">
        <v>1</v>
      </c>
      <c r="E140" s="5">
        <v>204</v>
      </c>
      <c r="F140" s="5">
        <f>ROUND(Source!R126,O140)</f>
        <v>454</v>
      </c>
      <c r="G140" s="5" t="s">
        <v>80</v>
      </c>
      <c r="H140" s="5" t="s">
        <v>81</v>
      </c>
      <c r="I140" s="5"/>
      <c r="J140" s="5"/>
      <c r="K140" s="5">
        <v>204</v>
      </c>
      <c r="L140" s="5">
        <v>13</v>
      </c>
      <c r="M140" s="5">
        <v>3</v>
      </c>
      <c r="N140" s="5" t="s">
        <v>3</v>
      </c>
      <c r="O140" s="5">
        <v>0</v>
      </c>
      <c r="P140" s="5">
        <f>ROUND(Source!DJ126,O140)</f>
        <v>16383</v>
      </c>
      <c r="Q140" s="5"/>
      <c r="R140" s="5"/>
      <c r="S140" s="5"/>
      <c r="T140" s="5"/>
      <c r="U140" s="5"/>
      <c r="V140" s="5"/>
      <c r="W140" s="5">
        <v>454</v>
      </c>
      <c r="X140" s="5">
        <v>1</v>
      </c>
      <c r="Y140" s="5">
        <v>454</v>
      </c>
      <c r="Z140" s="5">
        <v>16383</v>
      </c>
      <c r="AA140" s="5">
        <v>1</v>
      </c>
      <c r="AB140" s="5">
        <v>16383</v>
      </c>
    </row>
    <row r="141" spans="1:28" ht="12.75">
      <c r="A141" s="5">
        <v>50</v>
      </c>
      <c r="B141" s="5">
        <v>0</v>
      </c>
      <c r="C141" s="5">
        <v>0</v>
      </c>
      <c r="D141" s="5">
        <v>1</v>
      </c>
      <c r="E141" s="5">
        <v>205</v>
      </c>
      <c r="F141" s="5">
        <f>ROUND(Source!S126,O141)</f>
        <v>8940</v>
      </c>
      <c r="G141" s="5" t="s">
        <v>82</v>
      </c>
      <c r="H141" s="5" t="s">
        <v>83</v>
      </c>
      <c r="I141" s="5"/>
      <c r="J141" s="5"/>
      <c r="K141" s="5">
        <v>205</v>
      </c>
      <c r="L141" s="5">
        <v>14</v>
      </c>
      <c r="M141" s="5">
        <v>3</v>
      </c>
      <c r="N141" s="5" t="s">
        <v>3</v>
      </c>
      <c r="O141" s="5">
        <v>0</v>
      </c>
      <c r="P141" s="5">
        <f>ROUND(Source!DK126,O141)</f>
        <v>322104</v>
      </c>
      <c r="Q141" s="5"/>
      <c r="R141" s="5"/>
      <c r="S141" s="5"/>
      <c r="T141" s="5"/>
      <c r="U141" s="5"/>
      <c r="V141" s="5"/>
      <c r="W141" s="5">
        <v>8940</v>
      </c>
      <c r="X141" s="5">
        <v>1</v>
      </c>
      <c r="Y141" s="5">
        <v>8940</v>
      </c>
      <c r="Z141" s="5">
        <v>322104</v>
      </c>
      <c r="AA141" s="5">
        <v>1</v>
      </c>
      <c r="AB141" s="5">
        <v>322104</v>
      </c>
    </row>
    <row r="142" spans="1:28" ht="12.75">
      <c r="A142" s="5">
        <v>50</v>
      </c>
      <c r="B142" s="5">
        <v>0</v>
      </c>
      <c r="C142" s="5">
        <v>0</v>
      </c>
      <c r="D142" s="5">
        <v>1</v>
      </c>
      <c r="E142" s="5">
        <v>232</v>
      </c>
      <c r="F142" s="5">
        <f>ROUND(Source!BC126,O142)</f>
        <v>0</v>
      </c>
      <c r="G142" s="5" t="s">
        <v>84</v>
      </c>
      <c r="H142" s="5" t="s">
        <v>85</v>
      </c>
      <c r="I142" s="5"/>
      <c r="J142" s="5"/>
      <c r="K142" s="5">
        <v>232</v>
      </c>
      <c r="L142" s="5">
        <v>15</v>
      </c>
      <c r="M142" s="5">
        <v>3</v>
      </c>
      <c r="N142" s="5" t="s">
        <v>3</v>
      </c>
      <c r="O142" s="5">
        <v>0</v>
      </c>
      <c r="P142" s="5">
        <f>ROUND(Source!EU126,O142)</f>
        <v>0</v>
      </c>
      <c r="Q142" s="5"/>
      <c r="R142" s="5"/>
      <c r="S142" s="5"/>
      <c r="T142" s="5"/>
      <c r="U142" s="5"/>
      <c r="V142" s="5"/>
      <c r="W142" s="5">
        <v>0</v>
      </c>
      <c r="X142" s="5">
        <v>1</v>
      </c>
      <c r="Y142" s="5">
        <v>0</v>
      </c>
      <c r="Z142" s="5">
        <v>0</v>
      </c>
      <c r="AA142" s="5">
        <v>1</v>
      </c>
      <c r="AB142" s="5">
        <v>0</v>
      </c>
    </row>
    <row r="143" spans="1:28" ht="12.75">
      <c r="A143" s="5">
        <v>50</v>
      </c>
      <c r="B143" s="5">
        <v>0</v>
      </c>
      <c r="C143" s="5">
        <v>0</v>
      </c>
      <c r="D143" s="5">
        <v>1</v>
      </c>
      <c r="E143" s="5">
        <v>214</v>
      </c>
      <c r="F143" s="5">
        <f>ROUND(Source!AS126,O143)</f>
        <v>213569</v>
      </c>
      <c r="G143" s="5" t="s">
        <v>86</v>
      </c>
      <c r="H143" s="5" t="s">
        <v>87</v>
      </c>
      <c r="I143" s="5"/>
      <c r="J143" s="5"/>
      <c r="K143" s="5">
        <v>214</v>
      </c>
      <c r="L143" s="5">
        <v>16</v>
      </c>
      <c r="M143" s="5">
        <v>3</v>
      </c>
      <c r="N143" s="5" t="s">
        <v>3</v>
      </c>
      <c r="O143" s="5">
        <v>0</v>
      </c>
      <c r="P143" s="5">
        <f>ROUND(Source!EK126,O143)</f>
        <v>1899995</v>
      </c>
      <c r="Q143" s="5"/>
      <c r="R143" s="5"/>
      <c r="S143" s="5"/>
      <c r="T143" s="5"/>
      <c r="U143" s="5"/>
      <c r="V143" s="5"/>
      <c r="W143" s="5">
        <v>213569</v>
      </c>
      <c r="X143" s="5">
        <v>1</v>
      </c>
      <c r="Y143" s="5">
        <v>213569</v>
      </c>
      <c r="Z143" s="5">
        <v>1899995</v>
      </c>
      <c r="AA143" s="5">
        <v>1</v>
      </c>
      <c r="AB143" s="5">
        <v>1899995</v>
      </c>
    </row>
    <row r="144" spans="1:28" ht="12.75">
      <c r="A144" s="5">
        <v>50</v>
      </c>
      <c r="B144" s="5">
        <v>0</v>
      </c>
      <c r="C144" s="5">
        <v>0</v>
      </c>
      <c r="D144" s="5">
        <v>1</v>
      </c>
      <c r="E144" s="5">
        <v>215</v>
      </c>
      <c r="F144" s="5">
        <f>ROUND(Source!AT126,O144)</f>
        <v>0</v>
      </c>
      <c r="G144" s="5" t="s">
        <v>88</v>
      </c>
      <c r="H144" s="5" t="s">
        <v>89</v>
      </c>
      <c r="I144" s="5"/>
      <c r="J144" s="5"/>
      <c r="K144" s="5">
        <v>215</v>
      </c>
      <c r="L144" s="5">
        <v>17</v>
      </c>
      <c r="M144" s="5">
        <v>3</v>
      </c>
      <c r="N144" s="5" t="s">
        <v>3</v>
      </c>
      <c r="O144" s="5">
        <v>0</v>
      </c>
      <c r="P144" s="5">
        <f>ROUND(Source!EL126,O144)</f>
        <v>0</v>
      </c>
      <c r="Q144" s="5"/>
      <c r="R144" s="5"/>
      <c r="S144" s="5"/>
      <c r="T144" s="5"/>
      <c r="U144" s="5"/>
      <c r="V144" s="5"/>
      <c r="W144" s="5">
        <v>0</v>
      </c>
      <c r="X144" s="5">
        <v>1</v>
      </c>
      <c r="Y144" s="5">
        <v>0</v>
      </c>
      <c r="Z144" s="5">
        <v>0</v>
      </c>
      <c r="AA144" s="5">
        <v>1</v>
      </c>
      <c r="AB144" s="5">
        <v>0</v>
      </c>
    </row>
    <row r="145" spans="1:28" ht="12.75">
      <c r="A145" s="5">
        <v>50</v>
      </c>
      <c r="B145" s="5">
        <v>0</v>
      </c>
      <c r="C145" s="5">
        <v>0</v>
      </c>
      <c r="D145" s="5">
        <v>1</v>
      </c>
      <c r="E145" s="5">
        <v>217</v>
      </c>
      <c r="F145" s="5">
        <f>ROUND(Source!AU126,O145)</f>
        <v>0</v>
      </c>
      <c r="G145" s="5" t="s">
        <v>90</v>
      </c>
      <c r="H145" s="5" t="s">
        <v>91</v>
      </c>
      <c r="I145" s="5"/>
      <c r="J145" s="5"/>
      <c r="K145" s="5">
        <v>217</v>
      </c>
      <c r="L145" s="5">
        <v>18</v>
      </c>
      <c r="M145" s="5">
        <v>3</v>
      </c>
      <c r="N145" s="5" t="s">
        <v>3</v>
      </c>
      <c r="O145" s="5">
        <v>0</v>
      </c>
      <c r="P145" s="5">
        <f>ROUND(Source!EM126,O145)</f>
        <v>0</v>
      </c>
      <c r="Q145" s="5"/>
      <c r="R145" s="5"/>
      <c r="S145" s="5"/>
      <c r="T145" s="5"/>
      <c r="U145" s="5"/>
      <c r="V145" s="5"/>
      <c r="W145" s="5">
        <v>0</v>
      </c>
      <c r="X145" s="5">
        <v>1</v>
      </c>
      <c r="Y145" s="5">
        <v>0</v>
      </c>
      <c r="Z145" s="5">
        <v>0</v>
      </c>
      <c r="AA145" s="5">
        <v>1</v>
      </c>
      <c r="AB145" s="5">
        <v>0</v>
      </c>
    </row>
    <row r="146" spans="1:28" ht="12.75">
      <c r="A146" s="5">
        <v>50</v>
      </c>
      <c r="B146" s="5">
        <v>0</v>
      </c>
      <c r="C146" s="5">
        <v>0</v>
      </c>
      <c r="D146" s="5">
        <v>1</v>
      </c>
      <c r="E146" s="5">
        <v>230</v>
      </c>
      <c r="F146" s="5">
        <f>ROUND(Source!BA126,O146)</f>
        <v>0</v>
      </c>
      <c r="G146" s="5" t="s">
        <v>92</v>
      </c>
      <c r="H146" s="5" t="s">
        <v>93</v>
      </c>
      <c r="I146" s="5"/>
      <c r="J146" s="5"/>
      <c r="K146" s="5">
        <v>230</v>
      </c>
      <c r="L146" s="5">
        <v>19</v>
      </c>
      <c r="M146" s="5">
        <v>3</v>
      </c>
      <c r="N146" s="5" t="s">
        <v>3</v>
      </c>
      <c r="O146" s="5">
        <v>0</v>
      </c>
      <c r="P146" s="5">
        <f>ROUND(Source!ES126,O146)</f>
        <v>0</v>
      </c>
      <c r="Q146" s="5"/>
      <c r="R146" s="5"/>
      <c r="S146" s="5"/>
      <c r="T146" s="5"/>
      <c r="U146" s="5"/>
      <c r="V146" s="5"/>
      <c r="W146" s="5">
        <v>0</v>
      </c>
      <c r="X146" s="5">
        <v>1</v>
      </c>
      <c r="Y146" s="5">
        <v>0</v>
      </c>
      <c r="Z146" s="5">
        <v>0</v>
      </c>
      <c r="AA146" s="5">
        <v>1</v>
      </c>
      <c r="AB146" s="5">
        <v>0</v>
      </c>
    </row>
    <row r="147" spans="1:28" ht="12.75">
      <c r="A147" s="5">
        <v>50</v>
      </c>
      <c r="B147" s="5">
        <v>0</v>
      </c>
      <c r="C147" s="5">
        <v>0</v>
      </c>
      <c r="D147" s="5">
        <v>1</v>
      </c>
      <c r="E147" s="5">
        <v>206</v>
      </c>
      <c r="F147" s="5">
        <f>ROUND(Source!T126,O147)</f>
        <v>0</v>
      </c>
      <c r="G147" s="5" t="s">
        <v>94</v>
      </c>
      <c r="H147" s="5" t="s">
        <v>95</v>
      </c>
      <c r="I147" s="5"/>
      <c r="J147" s="5"/>
      <c r="K147" s="5">
        <v>206</v>
      </c>
      <c r="L147" s="5">
        <v>20</v>
      </c>
      <c r="M147" s="5">
        <v>3</v>
      </c>
      <c r="N147" s="5" t="s">
        <v>3</v>
      </c>
      <c r="O147" s="5">
        <v>0</v>
      </c>
      <c r="P147" s="5">
        <f>ROUND(Source!DL126,O147)</f>
        <v>0</v>
      </c>
      <c r="Q147" s="5"/>
      <c r="R147" s="5"/>
      <c r="S147" s="5"/>
      <c r="T147" s="5"/>
      <c r="U147" s="5"/>
      <c r="V147" s="5"/>
      <c r="W147" s="5">
        <v>0</v>
      </c>
      <c r="X147" s="5">
        <v>1</v>
      </c>
      <c r="Y147" s="5">
        <v>0</v>
      </c>
      <c r="Z147" s="5">
        <v>0</v>
      </c>
      <c r="AA147" s="5">
        <v>1</v>
      </c>
      <c r="AB147" s="5">
        <v>0</v>
      </c>
    </row>
    <row r="148" spans="1:28" ht="12.75">
      <c r="A148" s="5">
        <v>50</v>
      </c>
      <c r="B148" s="5">
        <v>0</v>
      </c>
      <c r="C148" s="5">
        <v>0</v>
      </c>
      <c r="D148" s="5">
        <v>1</v>
      </c>
      <c r="E148" s="5">
        <v>207</v>
      </c>
      <c r="F148" s="5">
        <f>Source!U126</f>
        <v>999.3955400000001</v>
      </c>
      <c r="G148" s="5" t="s">
        <v>96</v>
      </c>
      <c r="H148" s="5" t="s">
        <v>97</v>
      </c>
      <c r="I148" s="5"/>
      <c r="J148" s="5"/>
      <c r="K148" s="5">
        <v>207</v>
      </c>
      <c r="L148" s="5">
        <v>21</v>
      </c>
      <c r="M148" s="5">
        <v>3</v>
      </c>
      <c r="N148" s="5" t="s">
        <v>3</v>
      </c>
      <c r="O148" s="5">
        <v>-1</v>
      </c>
      <c r="P148" s="5">
        <f>Source!DM126</f>
        <v>999.3955400000001</v>
      </c>
      <c r="Q148" s="5"/>
      <c r="R148" s="5"/>
      <c r="S148" s="5"/>
      <c r="T148" s="5"/>
      <c r="U148" s="5"/>
      <c r="V148" s="5"/>
      <c r="W148" s="5">
        <v>999.39554</v>
      </c>
      <c r="X148" s="5">
        <v>1</v>
      </c>
      <c r="Y148" s="5">
        <v>999.39554</v>
      </c>
      <c r="Z148" s="5">
        <v>999.39554</v>
      </c>
      <c r="AA148" s="5">
        <v>1</v>
      </c>
      <c r="AB148" s="5">
        <v>999.39554</v>
      </c>
    </row>
    <row r="149" spans="1:28" ht="12.75">
      <c r="A149" s="5">
        <v>50</v>
      </c>
      <c r="B149" s="5">
        <v>0</v>
      </c>
      <c r="C149" s="5">
        <v>0</v>
      </c>
      <c r="D149" s="5">
        <v>1</v>
      </c>
      <c r="E149" s="5">
        <v>208</v>
      </c>
      <c r="F149" s="5">
        <f>Source!V126</f>
        <v>38.819874999999996</v>
      </c>
      <c r="G149" s="5" t="s">
        <v>98</v>
      </c>
      <c r="H149" s="5" t="s">
        <v>99</v>
      </c>
      <c r="I149" s="5"/>
      <c r="J149" s="5"/>
      <c r="K149" s="5">
        <v>208</v>
      </c>
      <c r="L149" s="5">
        <v>22</v>
      </c>
      <c r="M149" s="5">
        <v>3</v>
      </c>
      <c r="N149" s="5" t="s">
        <v>3</v>
      </c>
      <c r="O149" s="5">
        <v>-1</v>
      </c>
      <c r="P149" s="5">
        <f>Source!DN126</f>
        <v>38.819874999999996</v>
      </c>
      <c r="Q149" s="5"/>
      <c r="R149" s="5"/>
      <c r="S149" s="5"/>
      <c r="T149" s="5"/>
      <c r="U149" s="5"/>
      <c r="V149" s="5"/>
      <c r="W149" s="5">
        <v>38.819875</v>
      </c>
      <c r="X149" s="5">
        <v>1</v>
      </c>
      <c r="Y149" s="5">
        <v>38.819875</v>
      </c>
      <c r="Z149" s="5">
        <v>38.819875</v>
      </c>
      <c r="AA149" s="5">
        <v>1</v>
      </c>
      <c r="AB149" s="5">
        <v>38.819875</v>
      </c>
    </row>
    <row r="150" spans="1:28" ht="12.75">
      <c r="A150" s="5">
        <v>50</v>
      </c>
      <c r="B150" s="5">
        <v>0</v>
      </c>
      <c r="C150" s="5">
        <v>0</v>
      </c>
      <c r="D150" s="5">
        <v>1</v>
      </c>
      <c r="E150" s="5">
        <v>209</v>
      </c>
      <c r="F150" s="5">
        <f>ROUND(Source!W126,O150)</f>
        <v>0</v>
      </c>
      <c r="G150" s="5" t="s">
        <v>100</v>
      </c>
      <c r="H150" s="5" t="s">
        <v>101</v>
      </c>
      <c r="I150" s="5"/>
      <c r="J150" s="5"/>
      <c r="K150" s="5">
        <v>209</v>
      </c>
      <c r="L150" s="5">
        <v>23</v>
      </c>
      <c r="M150" s="5">
        <v>3</v>
      </c>
      <c r="N150" s="5" t="s">
        <v>3</v>
      </c>
      <c r="O150" s="5">
        <v>0</v>
      </c>
      <c r="P150" s="5">
        <f>ROUND(Source!DO126,O150)</f>
        <v>0</v>
      </c>
      <c r="Q150" s="5"/>
      <c r="R150" s="5"/>
      <c r="S150" s="5"/>
      <c r="T150" s="5"/>
      <c r="U150" s="5"/>
      <c r="V150" s="5"/>
      <c r="W150" s="5">
        <v>0</v>
      </c>
      <c r="X150" s="5">
        <v>1</v>
      </c>
      <c r="Y150" s="5">
        <v>0</v>
      </c>
      <c r="Z150" s="5">
        <v>0</v>
      </c>
      <c r="AA150" s="5">
        <v>1</v>
      </c>
      <c r="AB150" s="5">
        <v>0</v>
      </c>
    </row>
    <row r="151" spans="1:28" ht="12.75">
      <c r="A151" s="5">
        <v>50</v>
      </c>
      <c r="B151" s="5">
        <v>0</v>
      </c>
      <c r="C151" s="5">
        <v>0</v>
      </c>
      <c r="D151" s="5">
        <v>1</v>
      </c>
      <c r="E151" s="5">
        <v>233</v>
      </c>
      <c r="F151" s="5">
        <f>ROUND(Source!BD126,O151)</f>
        <v>0</v>
      </c>
      <c r="G151" s="5" t="s">
        <v>102</v>
      </c>
      <c r="H151" s="5" t="s">
        <v>103</v>
      </c>
      <c r="I151" s="5"/>
      <c r="J151" s="5"/>
      <c r="K151" s="5">
        <v>233</v>
      </c>
      <c r="L151" s="5">
        <v>24</v>
      </c>
      <c r="M151" s="5">
        <v>3</v>
      </c>
      <c r="N151" s="5" t="s">
        <v>3</v>
      </c>
      <c r="O151" s="5">
        <v>0</v>
      </c>
      <c r="P151" s="5">
        <f>ROUND(Source!EV126,O151)</f>
        <v>0</v>
      </c>
      <c r="Q151" s="5"/>
      <c r="R151" s="5"/>
      <c r="S151" s="5"/>
      <c r="T151" s="5"/>
      <c r="U151" s="5"/>
      <c r="V151" s="5"/>
      <c r="W151" s="5">
        <v>0</v>
      </c>
      <c r="X151" s="5">
        <v>1</v>
      </c>
      <c r="Y151" s="5">
        <v>0</v>
      </c>
      <c r="Z151" s="5">
        <v>0</v>
      </c>
      <c r="AA151" s="5">
        <v>1</v>
      </c>
      <c r="AB151" s="5">
        <v>0</v>
      </c>
    </row>
    <row r="152" spans="1:28" ht="12.75">
      <c r="A152" s="5">
        <v>50</v>
      </c>
      <c r="B152" s="5">
        <v>0</v>
      </c>
      <c r="C152" s="5">
        <v>0</v>
      </c>
      <c r="D152" s="5">
        <v>1</v>
      </c>
      <c r="E152" s="5">
        <v>210</v>
      </c>
      <c r="F152" s="5">
        <f>ROUND(Source!X126,O152)</f>
        <v>10173</v>
      </c>
      <c r="G152" s="5" t="s">
        <v>104</v>
      </c>
      <c r="H152" s="5" t="s">
        <v>105</v>
      </c>
      <c r="I152" s="5"/>
      <c r="J152" s="5"/>
      <c r="K152" s="5">
        <v>210</v>
      </c>
      <c r="L152" s="5">
        <v>25</v>
      </c>
      <c r="M152" s="5">
        <v>3</v>
      </c>
      <c r="N152" s="5" t="s">
        <v>3</v>
      </c>
      <c r="O152" s="5">
        <v>0</v>
      </c>
      <c r="P152" s="5">
        <f>ROUND(Source!DP126,O152)</f>
        <v>366641</v>
      </c>
      <c r="Q152" s="5"/>
      <c r="R152" s="5"/>
      <c r="S152" s="5"/>
      <c r="T152" s="5"/>
      <c r="U152" s="5"/>
      <c r="V152" s="5"/>
      <c r="W152" s="5">
        <v>10173</v>
      </c>
      <c r="X152" s="5">
        <v>1</v>
      </c>
      <c r="Y152" s="5">
        <v>10173</v>
      </c>
      <c r="Z152" s="5">
        <v>366641</v>
      </c>
      <c r="AA152" s="5">
        <v>1</v>
      </c>
      <c r="AB152" s="5">
        <v>366641</v>
      </c>
    </row>
    <row r="153" spans="1:28" ht="12.75">
      <c r="A153" s="5">
        <v>50</v>
      </c>
      <c r="B153" s="5">
        <v>0</v>
      </c>
      <c r="C153" s="5">
        <v>0</v>
      </c>
      <c r="D153" s="5">
        <v>1</v>
      </c>
      <c r="E153" s="5">
        <v>211</v>
      </c>
      <c r="F153" s="5">
        <f>ROUND(Source!Y126,O153)</f>
        <v>5338</v>
      </c>
      <c r="G153" s="5" t="s">
        <v>106</v>
      </c>
      <c r="H153" s="5" t="s">
        <v>107</v>
      </c>
      <c r="I153" s="5"/>
      <c r="J153" s="5"/>
      <c r="K153" s="5">
        <v>211</v>
      </c>
      <c r="L153" s="5">
        <v>26</v>
      </c>
      <c r="M153" s="5">
        <v>3</v>
      </c>
      <c r="N153" s="5" t="s">
        <v>3</v>
      </c>
      <c r="O153" s="5">
        <v>0</v>
      </c>
      <c r="P153" s="5">
        <f>ROUND(Source!DQ126,O153)</f>
        <v>192359</v>
      </c>
      <c r="Q153" s="5"/>
      <c r="R153" s="5"/>
      <c r="S153" s="5"/>
      <c r="T153" s="5"/>
      <c r="U153" s="5"/>
      <c r="V153" s="5"/>
      <c r="W153" s="5">
        <v>5338</v>
      </c>
      <c r="X153" s="5">
        <v>1</v>
      </c>
      <c r="Y153" s="5">
        <v>5338</v>
      </c>
      <c r="Z153" s="5">
        <v>192359</v>
      </c>
      <c r="AA153" s="5">
        <v>1</v>
      </c>
      <c r="AB153" s="5">
        <v>192359</v>
      </c>
    </row>
    <row r="154" spans="1:28" ht="12.75">
      <c r="A154" s="5">
        <v>50</v>
      </c>
      <c r="B154" s="5">
        <v>0</v>
      </c>
      <c r="C154" s="5">
        <v>0</v>
      </c>
      <c r="D154" s="5">
        <v>1</v>
      </c>
      <c r="E154" s="5">
        <v>224</v>
      </c>
      <c r="F154" s="5">
        <f>ROUND(Source!AR126,O154)</f>
        <v>213569</v>
      </c>
      <c r="G154" s="5" t="s">
        <v>108</v>
      </c>
      <c r="H154" s="5" t="s">
        <v>109</v>
      </c>
      <c r="I154" s="5"/>
      <c r="J154" s="5"/>
      <c r="K154" s="5">
        <v>224</v>
      </c>
      <c r="L154" s="5">
        <v>27</v>
      </c>
      <c r="M154" s="5">
        <v>3</v>
      </c>
      <c r="N154" s="5" t="s">
        <v>3</v>
      </c>
      <c r="O154" s="5">
        <v>0</v>
      </c>
      <c r="P154" s="5">
        <f>ROUND(Source!EJ126,O154)</f>
        <v>1899995</v>
      </c>
      <c r="Q154" s="5"/>
      <c r="R154" s="5"/>
      <c r="S154" s="5"/>
      <c r="T154" s="5"/>
      <c r="U154" s="5"/>
      <c r="V154" s="5"/>
      <c r="W154" s="5">
        <v>213569</v>
      </c>
      <c r="X154" s="5">
        <v>1</v>
      </c>
      <c r="Y154" s="5">
        <v>213569</v>
      </c>
      <c r="Z154" s="5">
        <v>1899995</v>
      </c>
      <c r="AA154" s="5">
        <v>1</v>
      </c>
      <c r="AB154" s="5">
        <v>1899995</v>
      </c>
    </row>
    <row r="156" spans="1:88" ht="12.75">
      <c r="A156" s="1">
        <v>4</v>
      </c>
      <c r="B156" s="1">
        <v>1</v>
      </c>
      <c r="C156" s="1"/>
      <c r="D156" s="1">
        <f>ROW(A167)</f>
        <v>167</v>
      </c>
      <c r="E156" s="1"/>
      <c r="F156" s="1" t="s">
        <v>19</v>
      </c>
      <c r="G156" s="1" t="s">
        <v>217</v>
      </c>
      <c r="H156" s="1" t="s">
        <v>3</v>
      </c>
      <c r="I156" s="1">
        <v>0</v>
      </c>
      <c r="J156" s="1"/>
      <c r="K156" s="1">
        <v>0</v>
      </c>
      <c r="L156" s="1"/>
      <c r="M156" s="1" t="s">
        <v>3</v>
      </c>
      <c r="N156" s="1"/>
      <c r="O156" s="1"/>
      <c r="P156" s="1"/>
      <c r="Q156" s="1"/>
      <c r="R156" s="1"/>
      <c r="S156" s="1">
        <v>0</v>
      </c>
      <c r="T156" s="1">
        <v>0</v>
      </c>
      <c r="U156" s="1" t="s">
        <v>3</v>
      </c>
      <c r="V156" s="1">
        <v>0</v>
      </c>
      <c r="W156" s="1"/>
      <c r="X156" s="1"/>
      <c r="Y156" s="1"/>
      <c r="Z156" s="1"/>
      <c r="AA156" s="1"/>
      <c r="AB156" s="1" t="s">
        <v>3</v>
      </c>
      <c r="AC156" s="1" t="s">
        <v>3</v>
      </c>
      <c r="AD156" s="1" t="s">
        <v>3</v>
      </c>
      <c r="AE156" s="1" t="s">
        <v>3</v>
      </c>
      <c r="AF156" s="1" t="s">
        <v>3</v>
      </c>
      <c r="AG156" s="1" t="s">
        <v>3</v>
      </c>
      <c r="AH156" s="1"/>
      <c r="AI156" s="1"/>
      <c r="AJ156" s="1"/>
      <c r="AK156" s="1"/>
      <c r="AL156" s="1"/>
      <c r="AM156" s="1"/>
      <c r="AN156" s="1"/>
      <c r="AO156" s="1"/>
      <c r="AP156" s="1" t="s">
        <v>3</v>
      </c>
      <c r="AQ156" s="1" t="s">
        <v>3</v>
      </c>
      <c r="AR156" s="1" t="s">
        <v>3</v>
      </c>
      <c r="AS156" s="1"/>
      <c r="AT156" s="1"/>
      <c r="AU156" s="1"/>
      <c r="AV156" s="1"/>
      <c r="AW156" s="1"/>
      <c r="AX156" s="1"/>
      <c r="AY156" s="1"/>
      <c r="AZ156" s="1" t="s">
        <v>3</v>
      </c>
      <c r="BA156" s="1"/>
      <c r="BB156" s="1" t="s">
        <v>3</v>
      </c>
      <c r="BC156" s="1" t="s">
        <v>3</v>
      </c>
      <c r="BD156" s="1" t="s">
        <v>3</v>
      </c>
      <c r="BE156" s="1" t="s">
        <v>3</v>
      </c>
      <c r="BF156" s="1" t="s">
        <v>3</v>
      </c>
      <c r="BG156" s="1" t="s">
        <v>3</v>
      </c>
      <c r="BH156" s="1" t="s">
        <v>3</v>
      </c>
      <c r="BI156" s="1" t="s">
        <v>3</v>
      </c>
      <c r="BJ156" s="1" t="s">
        <v>3</v>
      </c>
      <c r="BK156" s="1" t="s">
        <v>3</v>
      </c>
      <c r="BL156" s="1" t="s">
        <v>3</v>
      </c>
      <c r="BM156" s="1" t="s">
        <v>3</v>
      </c>
      <c r="BN156" s="1" t="s">
        <v>3</v>
      </c>
      <c r="BO156" s="1" t="s">
        <v>3</v>
      </c>
      <c r="BP156" s="1" t="s">
        <v>3</v>
      </c>
      <c r="BQ156" s="1"/>
      <c r="BR156" s="1"/>
      <c r="BS156" s="1"/>
      <c r="BT156" s="1"/>
      <c r="BU156" s="1"/>
      <c r="BV156" s="1"/>
      <c r="BW156" s="1"/>
      <c r="BX156" s="1">
        <v>0</v>
      </c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>
        <v>0</v>
      </c>
    </row>
    <row r="158" spans="1:206" ht="12.75">
      <c r="A158" s="3">
        <v>52</v>
      </c>
      <c r="B158" s="3">
        <f aca="true" t="shared" si="153" ref="B158:G158">B167</f>
        <v>1</v>
      </c>
      <c r="C158" s="3">
        <f t="shared" si="153"/>
        <v>4</v>
      </c>
      <c r="D158" s="3">
        <f t="shared" si="153"/>
        <v>156</v>
      </c>
      <c r="E158" s="3">
        <f t="shared" si="153"/>
        <v>0</v>
      </c>
      <c r="F158" s="3" t="str">
        <f t="shared" si="153"/>
        <v>Новый раздел</v>
      </c>
      <c r="G158" s="3" t="str">
        <f t="shared" si="153"/>
        <v>Разные работы</v>
      </c>
      <c r="H158" s="3"/>
      <c r="I158" s="3"/>
      <c r="J158" s="3"/>
      <c r="K158" s="3"/>
      <c r="L158" s="3"/>
      <c r="M158" s="3"/>
      <c r="N158" s="3"/>
      <c r="O158" s="3">
        <f aca="true" t="shared" si="154" ref="O158:AT158">O167</f>
        <v>1452</v>
      </c>
      <c r="P158" s="3">
        <f t="shared" si="154"/>
        <v>1000</v>
      </c>
      <c r="Q158" s="3">
        <f t="shared" si="154"/>
        <v>0</v>
      </c>
      <c r="R158" s="3">
        <f t="shared" si="154"/>
        <v>0</v>
      </c>
      <c r="S158" s="3">
        <f t="shared" si="154"/>
        <v>452</v>
      </c>
      <c r="T158" s="3">
        <f t="shared" si="154"/>
        <v>0</v>
      </c>
      <c r="U158" s="3">
        <f t="shared" si="154"/>
        <v>62.83</v>
      </c>
      <c r="V158" s="3">
        <f t="shared" si="154"/>
        <v>0</v>
      </c>
      <c r="W158" s="3">
        <f t="shared" si="154"/>
        <v>0</v>
      </c>
      <c r="X158" s="3">
        <f t="shared" si="154"/>
        <v>416</v>
      </c>
      <c r="Y158" s="3">
        <f t="shared" si="154"/>
        <v>199</v>
      </c>
      <c r="Z158" s="3">
        <f t="shared" si="154"/>
        <v>0</v>
      </c>
      <c r="AA158" s="3">
        <f t="shared" si="154"/>
        <v>0</v>
      </c>
      <c r="AB158" s="3">
        <f t="shared" si="154"/>
        <v>1452</v>
      </c>
      <c r="AC158" s="3">
        <f t="shared" si="154"/>
        <v>1000</v>
      </c>
      <c r="AD158" s="3">
        <f t="shared" si="154"/>
        <v>0</v>
      </c>
      <c r="AE158" s="3">
        <f t="shared" si="154"/>
        <v>0</v>
      </c>
      <c r="AF158" s="3">
        <f t="shared" si="154"/>
        <v>452</v>
      </c>
      <c r="AG158" s="3">
        <f t="shared" si="154"/>
        <v>0</v>
      </c>
      <c r="AH158" s="3">
        <f t="shared" si="154"/>
        <v>62.83</v>
      </c>
      <c r="AI158" s="3">
        <f t="shared" si="154"/>
        <v>0</v>
      </c>
      <c r="AJ158" s="3">
        <f t="shared" si="154"/>
        <v>0</v>
      </c>
      <c r="AK158" s="3">
        <f t="shared" si="154"/>
        <v>416</v>
      </c>
      <c r="AL158" s="3">
        <f t="shared" si="154"/>
        <v>199</v>
      </c>
      <c r="AM158" s="3">
        <f t="shared" si="154"/>
        <v>0</v>
      </c>
      <c r="AN158" s="3">
        <f t="shared" si="154"/>
        <v>0</v>
      </c>
      <c r="AO158" s="3">
        <f t="shared" si="154"/>
        <v>0</v>
      </c>
      <c r="AP158" s="3">
        <f t="shared" si="154"/>
        <v>0</v>
      </c>
      <c r="AQ158" s="3">
        <f t="shared" si="154"/>
        <v>0</v>
      </c>
      <c r="AR158" s="3">
        <f t="shared" si="154"/>
        <v>6133</v>
      </c>
      <c r="AS158" s="3">
        <f t="shared" si="154"/>
        <v>6133</v>
      </c>
      <c r="AT158" s="3">
        <f t="shared" si="154"/>
        <v>0</v>
      </c>
      <c r="AU158" s="3">
        <f aca="true" t="shared" si="155" ref="AU158:BZ158">AU167</f>
        <v>0</v>
      </c>
      <c r="AV158" s="3">
        <f t="shared" si="155"/>
        <v>1000</v>
      </c>
      <c r="AW158" s="3">
        <f t="shared" si="155"/>
        <v>1000</v>
      </c>
      <c r="AX158" s="3">
        <f t="shared" si="155"/>
        <v>0</v>
      </c>
      <c r="AY158" s="3">
        <f t="shared" si="155"/>
        <v>1000</v>
      </c>
      <c r="AZ158" s="3">
        <f t="shared" si="155"/>
        <v>0</v>
      </c>
      <c r="BA158" s="3">
        <f t="shared" si="155"/>
        <v>0</v>
      </c>
      <c r="BB158" s="3">
        <f t="shared" si="155"/>
        <v>0</v>
      </c>
      <c r="BC158" s="3">
        <f t="shared" si="155"/>
        <v>0</v>
      </c>
      <c r="BD158" s="3">
        <f t="shared" si="155"/>
        <v>4066</v>
      </c>
      <c r="BE158" s="3">
        <f t="shared" si="155"/>
        <v>0</v>
      </c>
      <c r="BF158" s="3">
        <f t="shared" si="155"/>
        <v>0</v>
      </c>
      <c r="BG158" s="3">
        <f t="shared" si="155"/>
        <v>0</v>
      </c>
      <c r="BH158" s="3">
        <f t="shared" si="155"/>
        <v>0</v>
      </c>
      <c r="BI158" s="3">
        <f t="shared" si="155"/>
        <v>0</v>
      </c>
      <c r="BJ158" s="3">
        <f t="shared" si="155"/>
        <v>0</v>
      </c>
      <c r="BK158" s="3">
        <f t="shared" si="155"/>
        <v>0</v>
      </c>
      <c r="BL158" s="3">
        <f t="shared" si="155"/>
        <v>0</v>
      </c>
      <c r="BM158" s="3">
        <f t="shared" si="155"/>
        <v>0</v>
      </c>
      <c r="BN158" s="3">
        <f t="shared" si="155"/>
        <v>0</v>
      </c>
      <c r="BO158" s="3">
        <f t="shared" si="155"/>
        <v>0</v>
      </c>
      <c r="BP158" s="3">
        <f t="shared" si="155"/>
        <v>0</v>
      </c>
      <c r="BQ158" s="3">
        <f t="shared" si="155"/>
        <v>0</v>
      </c>
      <c r="BR158" s="3">
        <f t="shared" si="155"/>
        <v>0</v>
      </c>
      <c r="BS158" s="3">
        <f t="shared" si="155"/>
        <v>0</v>
      </c>
      <c r="BT158" s="3">
        <f t="shared" si="155"/>
        <v>0</v>
      </c>
      <c r="BU158" s="3">
        <f t="shared" si="155"/>
        <v>0</v>
      </c>
      <c r="BV158" s="3">
        <f t="shared" si="155"/>
        <v>0</v>
      </c>
      <c r="BW158" s="3">
        <f t="shared" si="155"/>
        <v>0</v>
      </c>
      <c r="BX158" s="3">
        <f t="shared" si="155"/>
        <v>0</v>
      </c>
      <c r="BY158" s="3">
        <f t="shared" si="155"/>
        <v>0</v>
      </c>
      <c r="BZ158" s="3">
        <f t="shared" si="155"/>
        <v>0</v>
      </c>
      <c r="CA158" s="3">
        <f aca="true" t="shared" si="156" ref="CA158:DF158">CA167</f>
        <v>6133</v>
      </c>
      <c r="CB158" s="3">
        <f t="shared" si="156"/>
        <v>6133</v>
      </c>
      <c r="CC158" s="3">
        <f t="shared" si="156"/>
        <v>0</v>
      </c>
      <c r="CD158" s="3">
        <f t="shared" si="156"/>
        <v>0</v>
      </c>
      <c r="CE158" s="3">
        <f t="shared" si="156"/>
        <v>1000</v>
      </c>
      <c r="CF158" s="3">
        <f t="shared" si="156"/>
        <v>1000</v>
      </c>
      <c r="CG158" s="3">
        <f t="shared" si="156"/>
        <v>0</v>
      </c>
      <c r="CH158" s="3">
        <f t="shared" si="156"/>
        <v>1000</v>
      </c>
      <c r="CI158" s="3">
        <f t="shared" si="156"/>
        <v>0</v>
      </c>
      <c r="CJ158" s="3">
        <f t="shared" si="156"/>
        <v>0</v>
      </c>
      <c r="CK158" s="3">
        <f t="shared" si="156"/>
        <v>0</v>
      </c>
      <c r="CL158" s="3">
        <f t="shared" si="156"/>
        <v>0</v>
      </c>
      <c r="CM158" s="3">
        <f t="shared" si="156"/>
        <v>4066</v>
      </c>
      <c r="CN158" s="3">
        <f t="shared" si="156"/>
        <v>0</v>
      </c>
      <c r="CO158" s="3">
        <f t="shared" si="156"/>
        <v>0</v>
      </c>
      <c r="CP158" s="3">
        <f t="shared" si="156"/>
        <v>0</v>
      </c>
      <c r="CQ158" s="3">
        <f t="shared" si="156"/>
        <v>0</v>
      </c>
      <c r="CR158" s="3">
        <f t="shared" si="156"/>
        <v>0</v>
      </c>
      <c r="CS158" s="3">
        <f t="shared" si="156"/>
        <v>0</v>
      </c>
      <c r="CT158" s="3">
        <f t="shared" si="156"/>
        <v>0</v>
      </c>
      <c r="CU158" s="3">
        <f t="shared" si="156"/>
        <v>0</v>
      </c>
      <c r="CV158" s="3">
        <f t="shared" si="156"/>
        <v>0</v>
      </c>
      <c r="CW158" s="3">
        <f t="shared" si="156"/>
        <v>0</v>
      </c>
      <c r="CX158" s="3">
        <f t="shared" si="156"/>
        <v>0</v>
      </c>
      <c r="CY158" s="3">
        <f t="shared" si="156"/>
        <v>0</v>
      </c>
      <c r="CZ158" s="3">
        <f t="shared" si="156"/>
        <v>0</v>
      </c>
      <c r="DA158" s="3">
        <f t="shared" si="156"/>
        <v>0</v>
      </c>
      <c r="DB158" s="3">
        <f t="shared" si="156"/>
        <v>0</v>
      </c>
      <c r="DC158" s="3">
        <f t="shared" si="156"/>
        <v>0</v>
      </c>
      <c r="DD158" s="3">
        <f t="shared" si="156"/>
        <v>0</v>
      </c>
      <c r="DE158" s="3">
        <f t="shared" si="156"/>
        <v>0</v>
      </c>
      <c r="DF158" s="3">
        <f t="shared" si="156"/>
        <v>0</v>
      </c>
      <c r="DG158" s="4">
        <f aca="true" t="shared" si="157" ref="DG158:EL158">DG167</f>
        <v>23029</v>
      </c>
      <c r="DH158" s="4">
        <f t="shared" si="157"/>
        <v>6743</v>
      </c>
      <c r="DI158" s="4">
        <f t="shared" si="157"/>
        <v>0</v>
      </c>
      <c r="DJ158" s="4">
        <f t="shared" si="157"/>
        <v>0</v>
      </c>
      <c r="DK158" s="4">
        <f t="shared" si="157"/>
        <v>16286</v>
      </c>
      <c r="DL158" s="4">
        <f t="shared" si="157"/>
        <v>0</v>
      </c>
      <c r="DM158" s="4">
        <f t="shared" si="157"/>
        <v>62.83</v>
      </c>
      <c r="DN158" s="4">
        <f t="shared" si="157"/>
        <v>0</v>
      </c>
      <c r="DO158" s="4">
        <f t="shared" si="157"/>
        <v>0</v>
      </c>
      <c r="DP158" s="4">
        <f t="shared" si="157"/>
        <v>14983</v>
      </c>
      <c r="DQ158" s="4">
        <f t="shared" si="157"/>
        <v>7166</v>
      </c>
      <c r="DR158" s="4">
        <f t="shared" si="157"/>
        <v>0</v>
      </c>
      <c r="DS158" s="4">
        <f t="shared" si="157"/>
        <v>0</v>
      </c>
      <c r="DT158" s="4">
        <f t="shared" si="157"/>
        <v>23029</v>
      </c>
      <c r="DU158" s="4">
        <f t="shared" si="157"/>
        <v>6743</v>
      </c>
      <c r="DV158" s="4">
        <f t="shared" si="157"/>
        <v>0</v>
      </c>
      <c r="DW158" s="4">
        <f t="shared" si="157"/>
        <v>0</v>
      </c>
      <c r="DX158" s="4">
        <f t="shared" si="157"/>
        <v>16286</v>
      </c>
      <c r="DY158" s="4">
        <f t="shared" si="157"/>
        <v>0</v>
      </c>
      <c r="DZ158" s="4">
        <f t="shared" si="157"/>
        <v>62.83</v>
      </c>
      <c r="EA158" s="4">
        <f t="shared" si="157"/>
        <v>0</v>
      </c>
      <c r="EB158" s="4">
        <f t="shared" si="157"/>
        <v>0</v>
      </c>
      <c r="EC158" s="4">
        <f t="shared" si="157"/>
        <v>14983</v>
      </c>
      <c r="ED158" s="4">
        <f t="shared" si="157"/>
        <v>7166</v>
      </c>
      <c r="EE158" s="4">
        <f t="shared" si="157"/>
        <v>0</v>
      </c>
      <c r="EF158" s="4">
        <f t="shared" si="157"/>
        <v>0</v>
      </c>
      <c r="EG158" s="4">
        <f t="shared" si="157"/>
        <v>0</v>
      </c>
      <c r="EH158" s="4">
        <f t="shared" si="157"/>
        <v>0</v>
      </c>
      <c r="EI158" s="4">
        <f t="shared" si="157"/>
        <v>0</v>
      </c>
      <c r="EJ158" s="4">
        <f t="shared" si="157"/>
        <v>92512</v>
      </c>
      <c r="EK158" s="4">
        <f t="shared" si="157"/>
        <v>92512</v>
      </c>
      <c r="EL158" s="4">
        <f t="shared" si="157"/>
        <v>0</v>
      </c>
      <c r="EM158" s="4">
        <f aca="true" t="shared" si="158" ref="EM158:FR158">EM167</f>
        <v>0</v>
      </c>
      <c r="EN158" s="4">
        <f t="shared" si="158"/>
        <v>6743</v>
      </c>
      <c r="EO158" s="4">
        <f t="shared" si="158"/>
        <v>6743</v>
      </c>
      <c r="EP158" s="4">
        <f t="shared" si="158"/>
        <v>0</v>
      </c>
      <c r="EQ158" s="4">
        <f t="shared" si="158"/>
        <v>6743</v>
      </c>
      <c r="ER158" s="4">
        <f t="shared" si="158"/>
        <v>0</v>
      </c>
      <c r="ES158" s="4">
        <f t="shared" si="158"/>
        <v>0</v>
      </c>
      <c r="ET158" s="4">
        <f t="shared" si="158"/>
        <v>0</v>
      </c>
      <c r="EU158" s="4">
        <f t="shared" si="158"/>
        <v>0</v>
      </c>
      <c r="EV158" s="4">
        <f t="shared" si="158"/>
        <v>47334</v>
      </c>
      <c r="EW158" s="4">
        <f t="shared" si="158"/>
        <v>0</v>
      </c>
      <c r="EX158" s="4">
        <f t="shared" si="158"/>
        <v>0</v>
      </c>
      <c r="EY158" s="4">
        <f t="shared" si="158"/>
        <v>0</v>
      </c>
      <c r="EZ158" s="4">
        <f t="shared" si="158"/>
        <v>0</v>
      </c>
      <c r="FA158" s="4">
        <f t="shared" si="158"/>
        <v>0</v>
      </c>
      <c r="FB158" s="4">
        <f t="shared" si="158"/>
        <v>0</v>
      </c>
      <c r="FC158" s="4">
        <f t="shared" si="158"/>
        <v>0</v>
      </c>
      <c r="FD158" s="4">
        <f t="shared" si="158"/>
        <v>0</v>
      </c>
      <c r="FE158" s="4">
        <f t="shared" si="158"/>
        <v>0</v>
      </c>
      <c r="FF158" s="4">
        <f t="shared" si="158"/>
        <v>0</v>
      </c>
      <c r="FG158" s="4">
        <f t="shared" si="158"/>
        <v>0</v>
      </c>
      <c r="FH158" s="4">
        <f t="shared" si="158"/>
        <v>0</v>
      </c>
      <c r="FI158" s="4">
        <f t="shared" si="158"/>
        <v>0</v>
      </c>
      <c r="FJ158" s="4">
        <f t="shared" si="158"/>
        <v>0</v>
      </c>
      <c r="FK158" s="4">
        <f t="shared" si="158"/>
        <v>0</v>
      </c>
      <c r="FL158" s="4">
        <f t="shared" si="158"/>
        <v>0</v>
      </c>
      <c r="FM158" s="4">
        <f t="shared" si="158"/>
        <v>0</v>
      </c>
      <c r="FN158" s="4">
        <f t="shared" si="158"/>
        <v>0</v>
      </c>
      <c r="FO158" s="4">
        <f t="shared" si="158"/>
        <v>0</v>
      </c>
      <c r="FP158" s="4">
        <f t="shared" si="158"/>
        <v>0</v>
      </c>
      <c r="FQ158" s="4">
        <f t="shared" si="158"/>
        <v>0</v>
      </c>
      <c r="FR158" s="4">
        <f t="shared" si="158"/>
        <v>0</v>
      </c>
      <c r="FS158" s="4">
        <f aca="true" t="shared" si="159" ref="FS158:GX158">FS167</f>
        <v>92512</v>
      </c>
      <c r="FT158" s="4">
        <f t="shared" si="159"/>
        <v>92512</v>
      </c>
      <c r="FU158" s="4">
        <f t="shared" si="159"/>
        <v>0</v>
      </c>
      <c r="FV158" s="4">
        <f t="shared" si="159"/>
        <v>0</v>
      </c>
      <c r="FW158" s="4">
        <f t="shared" si="159"/>
        <v>6743</v>
      </c>
      <c r="FX158" s="4">
        <f t="shared" si="159"/>
        <v>6743</v>
      </c>
      <c r="FY158" s="4">
        <f t="shared" si="159"/>
        <v>0</v>
      </c>
      <c r="FZ158" s="4">
        <f t="shared" si="159"/>
        <v>6743</v>
      </c>
      <c r="GA158" s="4">
        <f t="shared" si="159"/>
        <v>0</v>
      </c>
      <c r="GB158" s="4">
        <f t="shared" si="159"/>
        <v>0</v>
      </c>
      <c r="GC158" s="4">
        <f t="shared" si="159"/>
        <v>0</v>
      </c>
      <c r="GD158" s="4">
        <f t="shared" si="159"/>
        <v>0</v>
      </c>
      <c r="GE158" s="4">
        <f t="shared" si="159"/>
        <v>47334</v>
      </c>
      <c r="GF158" s="4">
        <f t="shared" si="159"/>
        <v>0</v>
      </c>
      <c r="GG158" s="4">
        <f t="shared" si="159"/>
        <v>0</v>
      </c>
      <c r="GH158" s="4">
        <f t="shared" si="159"/>
        <v>0</v>
      </c>
      <c r="GI158" s="4">
        <f t="shared" si="159"/>
        <v>0</v>
      </c>
      <c r="GJ158" s="4">
        <f t="shared" si="159"/>
        <v>0</v>
      </c>
      <c r="GK158" s="4">
        <f t="shared" si="159"/>
        <v>0</v>
      </c>
      <c r="GL158" s="4">
        <f t="shared" si="159"/>
        <v>0</v>
      </c>
      <c r="GM158" s="4">
        <f t="shared" si="159"/>
        <v>0</v>
      </c>
      <c r="GN158" s="4">
        <f t="shared" si="159"/>
        <v>0</v>
      </c>
      <c r="GO158" s="4">
        <f t="shared" si="159"/>
        <v>0</v>
      </c>
      <c r="GP158" s="4">
        <f t="shared" si="159"/>
        <v>0</v>
      </c>
      <c r="GQ158" s="4">
        <f t="shared" si="159"/>
        <v>0</v>
      </c>
      <c r="GR158" s="4">
        <f t="shared" si="159"/>
        <v>0</v>
      </c>
      <c r="GS158" s="4">
        <f t="shared" si="159"/>
        <v>0</v>
      </c>
      <c r="GT158" s="4">
        <f t="shared" si="159"/>
        <v>0</v>
      </c>
      <c r="GU158" s="4">
        <f t="shared" si="159"/>
        <v>0</v>
      </c>
      <c r="GV158" s="4">
        <f t="shared" si="159"/>
        <v>0</v>
      </c>
      <c r="GW158" s="4">
        <f t="shared" si="159"/>
        <v>0</v>
      </c>
      <c r="GX158" s="4">
        <f t="shared" si="159"/>
        <v>0</v>
      </c>
    </row>
    <row r="160" spans="1:255" ht="12.75">
      <c r="A160" s="2">
        <v>17</v>
      </c>
      <c r="B160" s="2">
        <v>1</v>
      </c>
      <c r="C160" s="2">
        <f>ROW(SmtRes!A136)</f>
        <v>136</v>
      </c>
      <c r="D160" s="2">
        <f>ROW(EtalonRes!A130)</f>
        <v>130</v>
      </c>
      <c r="E160" s="2" t="s">
        <v>218</v>
      </c>
      <c r="F160" s="2" t="s">
        <v>219</v>
      </c>
      <c r="G160" s="2" t="s">
        <v>220</v>
      </c>
      <c r="H160" s="2" t="s">
        <v>125</v>
      </c>
      <c r="I160" s="2">
        <v>61</v>
      </c>
      <c r="J160" s="2">
        <v>0</v>
      </c>
      <c r="K160" s="2">
        <v>61</v>
      </c>
      <c r="L160" s="2"/>
      <c r="M160" s="2"/>
      <c r="N160" s="2"/>
      <c r="O160" s="2">
        <f>ROUND(CP160,0)</f>
        <v>1452</v>
      </c>
      <c r="P160" s="2">
        <f>ROUND(CQ160*I160,0)</f>
        <v>1000</v>
      </c>
      <c r="Q160" s="2">
        <f>ROUND(CR160*I160,0)</f>
        <v>0</v>
      </c>
      <c r="R160" s="2">
        <f>ROUND(CS160*I160,0)</f>
        <v>0</v>
      </c>
      <c r="S160" s="2">
        <f>ROUND(CT160*I160,0)</f>
        <v>452</v>
      </c>
      <c r="T160" s="2">
        <f>ROUND(CU160*I160,0)</f>
        <v>0</v>
      </c>
      <c r="U160" s="2">
        <f>CV160*I160</f>
        <v>62.83</v>
      </c>
      <c r="V160" s="2">
        <f>CW160*I160</f>
        <v>0</v>
      </c>
      <c r="W160" s="2">
        <f>ROUND(CX160*I160,0)</f>
        <v>0</v>
      </c>
      <c r="X160" s="2">
        <f>ROUND(CY160,0)</f>
        <v>416</v>
      </c>
      <c r="Y160" s="2">
        <f>ROUND(CZ160,0)</f>
        <v>199</v>
      </c>
      <c r="Z160" s="2"/>
      <c r="AA160" s="2">
        <v>55110074</v>
      </c>
      <c r="AB160" s="2">
        <f>ROUND((AC160+AD160+AF160),2)</f>
        <v>23.81</v>
      </c>
      <c r="AC160" s="2">
        <f>ROUND((ES160),2)</f>
        <v>16.4</v>
      </c>
      <c r="AD160" s="2">
        <f>ROUND((((ET160)-(EU160))+AE160),2)</f>
        <v>0</v>
      </c>
      <c r="AE160" s="2">
        <f>ROUND((EU160),2)</f>
        <v>0</v>
      </c>
      <c r="AF160" s="2">
        <f>ROUND((EV160),2)</f>
        <v>7.41</v>
      </c>
      <c r="AG160" s="2">
        <f>ROUND((AP160),2)</f>
        <v>0</v>
      </c>
      <c r="AH160" s="2">
        <f>(EW160)</f>
        <v>1.03</v>
      </c>
      <c r="AI160" s="2">
        <f>(EX160)</f>
        <v>0</v>
      </c>
      <c r="AJ160" s="2">
        <f>(AS160)</f>
        <v>0</v>
      </c>
      <c r="AK160" s="2">
        <v>23.81</v>
      </c>
      <c r="AL160" s="2">
        <v>16.4</v>
      </c>
      <c r="AM160" s="2">
        <v>0</v>
      </c>
      <c r="AN160" s="2">
        <v>0</v>
      </c>
      <c r="AO160" s="2">
        <v>7.41</v>
      </c>
      <c r="AP160" s="2">
        <v>0</v>
      </c>
      <c r="AQ160" s="2">
        <v>1.03</v>
      </c>
      <c r="AR160" s="2">
        <v>0</v>
      </c>
      <c r="AS160" s="2">
        <v>0</v>
      </c>
      <c r="AT160" s="2">
        <v>92</v>
      </c>
      <c r="AU160" s="2">
        <v>44</v>
      </c>
      <c r="AV160" s="2">
        <v>1</v>
      </c>
      <c r="AW160" s="2">
        <v>1</v>
      </c>
      <c r="AX160" s="2"/>
      <c r="AY160" s="2"/>
      <c r="AZ160" s="2">
        <v>1</v>
      </c>
      <c r="BA160" s="2">
        <v>1</v>
      </c>
      <c r="BB160" s="2">
        <v>1</v>
      </c>
      <c r="BC160" s="2">
        <v>1</v>
      </c>
      <c r="BD160" s="2" t="s">
        <v>3</v>
      </c>
      <c r="BE160" s="2" t="s">
        <v>3</v>
      </c>
      <c r="BF160" s="2" t="s">
        <v>3</v>
      </c>
      <c r="BG160" s="2" t="s">
        <v>3</v>
      </c>
      <c r="BH160" s="2">
        <v>0</v>
      </c>
      <c r="BI160" s="2">
        <v>1</v>
      </c>
      <c r="BJ160" s="2" t="s">
        <v>221</v>
      </c>
      <c r="BK160" s="2"/>
      <c r="BL160" s="2"/>
      <c r="BM160" s="2">
        <v>69001</v>
      </c>
      <c r="BN160" s="2">
        <v>0</v>
      </c>
      <c r="BO160" s="2" t="s">
        <v>3</v>
      </c>
      <c r="BP160" s="2">
        <v>0</v>
      </c>
      <c r="BQ160" s="2">
        <v>6</v>
      </c>
      <c r="BR160" s="2">
        <v>0</v>
      </c>
      <c r="BS160" s="2">
        <v>1</v>
      </c>
      <c r="BT160" s="2">
        <v>1</v>
      </c>
      <c r="BU160" s="2">
        <v>1</v>
      </c>
      <c r="BV160" s="2">
        <v>1</v>
      </c>
      <c r="BW160" s="2">
        <v>1</v>
      </c>
      <c r="BX160" s="2">
        <v>1</v>
      </c>
      <c r="BY160" s="2" t="s">
        <v>3</v>
      </c>
      <c r="BZ160" s="2">
        <v>92</v>
      </c>
      <c r="CA160" s="2">
        <v>44</v>
      </c>
      <c r="CB160" s="2" t="s">
        <v>3</v>
      </c>
      <c r="CC160" s="2"/>
      <c r="CD160" s="2"/>
      <c r="CE160" s="2">
        <v>0</v>
      </c>
      <c r="CF160" s="2">
        <v>0</v>
      </c>
      <c r="CG160" s="2">
        <v>0</v>
      </c>
      <c r="CH160" s="2"/>
      <c r="CI160" s="2"/>
      <c r="CJ160" s="2"/>
      <c r="CK160" s="2"/>
      <c r="CL160" s="2"/>
      <c r="CM160" s="2">
        <v>0</v>
      </c>
      <c r="CN160" s="2" t="s">
        <v>3</v>
      </c>
      <c r="CO160" s="2">
        <v>0</v>
      </c>
      <c r="CP160" s="2">
        <f>(P160+Q160+S160)</f>
        <v>1452</v>
      </c>
      <c r="CQ160" s="2">
        <f>AC160*BC160</f>
        <v>16.4</v>
      </c>
      <c r="CR160" s="2">
        <f>AD160*BB160</f>
        <v>0</v>
      </c>
      <c r="CS160" s="2">
        <f>AE160*BS160</f>
        <v>0</v>
      </c>
      <c r="CT160" s="2">
        <f>AF160*BA160</f>
        <v>7.41</v>
      </c>
      <c r="CU160" s="2">
        <f aca="true" t="shared" si="160" ref="CU160:CX161">AG160</f>
        <v>0</v>
      </c>
      <c r="CV160" s="2">
        <f t="shared" si="160"/>
        <v>1.03</v>
      </c>
      <c r="CW160" s="2">
        <f t="shared" si="160"/>
        <v>0</v>
      </c>
      <c r="CX160" s="2">
        <f t="shared" si="160"/>
        <v>0</v>
      </c>
      <c r="CY160" s="2">
        <f>(((S160+R160)*AT160)/100)</f>
        <v>415.84</v>
      </c>
      <c r="CZ160" s="2">
        <f>(((S160+R160)*AU160)/100)</f>
        <v>198.88</v>
      </c>
      <c r="DA160" s="2"/>
      <c r="DB160" s="2"/>
      <c r="DC160" s="2" t="s">
        <v>3</v>
      </c>
      <c r="DD160" s="2" t="s">
        <v>3</v>
      </c>
      <c r="DE160" s="2" t="s">
        <v>3</v>
      </c>
      <c r="DF160" s="2" t="s">
        <v>3</v>
      </c>
      <c r="DG160" s="2" t="s">
        <v>3</v>
      </c>
      <c r="DH160" s="2" t="s">
        <v>3</v>
      </c>
      <c r="DI160" s="2" t="s">
        <v>3</v>
      </c>
      <c r="DJ160" s="2" t="s">
        <v>3</v>
      </c>
      <c r="DK160" s="2" t="s">
        <v>3</v>
      </c>
      <c r="DL160" s="2" t="s">
        <v>3</v>
      </c>
      <c r="DM160" s="2" t="s">
        <v>3</v>
      </c>
      <c r="DN160" s="2">
        <v>0</v>
      </c>
      <c r="DO160" s="2">
        <v>0</v>
      </c>
      <c r="DP160" s="2">
        <v>1</v>
      </c>
      <c r="DQ160" s="2">
        <v>1</v>
      </c>
      <c r="DR160" s="2"/>
      <c r="DS160" s="2"/>
      <c r="DT160" s="2"/>
      <c r="DU160" s="2">
        <v>1009</v>
      </c>
      <c r="DV160" s="2" t="s">
        <v>125</v>
      </c>
      <c r="DW160" s="2" t="s">
        <v>125</v>
      </c>
      <c r="DX160" s="2">
        <v>1000</v>
      </c>
      <c r="DY160" s="2"/>
      <c r="DZ160" s="2" t="s">
        <v>3</v>
      </c>
      <c r="EA160" s="2" t="s">
        <v>3</v>
      </c>
      <c r="EB160" s="2" t="s">
        <v>3</v>
      </c>
      <c r="EC160" s="2" t="s">
        <v>3</v>
      </c>
      <c r="ED160" s="2"/>
      <c r="EE160" s="2">
        <v>53507757</v>
      </c>
      <c r="EF160" s="2">
        <v>6</v>
      </c>
      <c r="EG160" s="2" t="s">
        <v>222</v>
      </c>
      <c r="EH160" s="2">
        <v>103</v>
      </c>
      <c r="EI160" s="2" t="s">
        <v>223</v>
      </c>
      <c r="EJ160" s="2">
        <v>1</v>
      </c>
      <c r="EK160" s="2">
        <v>69001</v>
      </c>
      <c r="EL160" s="2" t="s">
        <v>223</v>
      </c>
      <c r="EM160" s="2" t="s">
        <v>224</v>
      </c>
      <c r="EN160" s="2"/>
      <c r="EO160" s="2" t="s">
        <v>3</v>
      </c>
      <c r="EP160" s="2"/>
      <c r="EQ160" s="2">
        <v>0</v>
      </c>
      <c r="ER160" s="2">
        <v>23.81</v>
      </c>
      <c r="ES160" s="2">
        <v>16.4</v>
      </c>
      <c r="ET160" s="2">
        <v>0</v>
      </c>
      <c r="EU160" s="2">
        <v>0</v>
      </c>
      <c r="EV160" s="2">
        <v>7.41</v>
      </c>
      <c r="EW160" s="2">
        <v>1.03</v>
      </c>
      <c r="EX160" s="2">
        <v>0</v>
      </c>
      <c r="EY160" s="2">
        <v>0</v>
      </c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>
        <v>0</v>
      </c>
      <c r="FR160" s="2">
        <f aca="true" t="shared" si="161" ref="FR160:FR165">ROUND(IF(AND(BH160=3,BI160=3),P160,0),0)</f>
        <v>0</v>
      </c>
      <c r="FS160" s="2">
        <v>0</v>
      </c>
      <c r="FT160" s="2"/>
      <c r="FU160" s="2"/>
      <c r="FV160" s="2"/>
      <c r="FW160" s="2"/>
      <c r="FX160" s="2">
        <v>92</v>
      </c>
      <c r="FY160" s="2">
        <v>44</v>
      </c>
      <c r="FZ160" s="2"/>
      <c r="GA160" s="2" t="s">
        <v>3</v>
      </c>
      <c r="GB160" s="2"/>
      <c r="GC160" s="2"/>
      <c r="GD160" s="2">
        <v>1</v>
      </c>
      <c r="GE160" s="2"/>
      <c r="GF160" s="2">
        <v>-1160313074</v>
      </c>
      <c r="GG160" s="2">
        <v>2</v>
      </c>
      <c r="GH160" s="2">
        <v>1</v>
      </c>
      <c r="GI160" s="2">
        <v>-2</v>
      </c>
      <c r="GJ160" s="2">
        <v>0</v>
      </c>
      <c r="GK160" s="2">
        <v>0</v>
      </c>
      <c r="GL160" s="2">
        <f aca="true" t="shared" si="162" ref="GL160:GL165">ROUND(IF(AND(BH160=3,BI160=3,FS160&lt;&gt;0),P160,0),0)</f>
        <v>0</v>
      </c>
      <c r="GM160" s="2">
        <f>ROUND(O160+X160+Y160,0)+GX160</f>
        <v>2067</v>
      </c>
      <c r="GN160" s="2">
        <f>IF(OR(BI160=0,BI160=1),ROUND(O160+X160+Y160,0),0)</f>
        <v>2067</v>
      </c>
      <c r="GO160" s="2">
        <f>IF(BI160=2,ROUND(O160+X160+Y160,0),0)</f>
        <v>0</v>
      </c>
      <c r="GP160" s="2">
        <f>IF(BI160=4,ROUND(O160+X160+Y160,0)+GX160,0)</f>
        <v>0</v>
      </c>
      <c r="GQ160" s="2"/>
      <c r="GR160" s="2">
        <v>0</v>
      </c>
      <c r="GS160" s="2">
        <v>0</v>
      </c>
      <c r="GT160" s="2">
        <v>0</v>
      </c>
      <c r="GU160" s="2" t="s">
        <v>3</v>
      </c>
      <c r="GV160" s="2">
        <f>ROUND((GT160),2)</f>
        <v>0</v>
      </c>
      <c r="GW160" s="2">
        <v>1</v>
      </c>
      <c r="GX160" s="2">
        <f>ROUND(HC160*I160,0)</f>
        <v>0</v>
      </c>
      <c r="GY160" s="2"/>
      <c r="GZ160" s="2"/>
      <c r="HA160" s="2">
        <v>0</v>
      </c>
      <c r="HB160" s="2">
        <v>0</v>
      </c>
      <c r="HC160" s="2">
        <f>GV160*GW160</f>
        <v>0</v>
      </c>
      <c r="HD160" s="2"/>
      <c r="HE160" s="2" t="s">
        <v>3</v>
      </c>
      <c r="HF160" s="2" t="s">
        <v>3</v>
      </c>
      <c r="HG160" s="2"/>
      <c r="HH160" s="2"/>
      <c r="HI160" s="2"/>
      <c r="HJ160" s="2"/>
      <c r="HK160" s="2"/>
      <c r="HL160" s="2"/>
      <c r="HM160" s="2" t="s">
        <v>3</v>
      </c>
      <c r="HN160" s="2" t="s">
        <v>225</v>
      </c>
      <c r="HO160" s="2" t="s">
        <v>226</v>
      </c>
      <c r="HP160" s="2" t="s">
        <v>223</v>
      </c>
      <c r="HQ160" s="2" t="s">
        <v>223</v>
      </c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>
        <v>0</v>
      </c>
      <c r="IL160" s="2"/>
      <c r="IM160" s="2"/>
      <c r="IN160" s="2"/>
      <c r="IO160" s="2"/>
      <c r="IP160" s="2"/>
      <c r="IQ160" s="2"/>
      <c r="IR160" s="2"/>
      <c r="IS160" s="2"/>
      <c r="IT160" s="2"/>
      <c r="IU160" s="2"/>
    </row>
    <row r="161" spans="1:245" ht="12.75">
      <c r="A161">
        <v>17</v>
      </c>
      <c r="B161">
        <v>1</v>
      </c>
      <c r="C161">
        <f>ROW(SmtRes!A138)</f>
        <v>138</v>
      </c>
      <c r="D161">
        <f>ROW(EtalonRes!A132)</f>
        <v>132</v>
      </c>
      <c r="E161" t="s">
        <v>218</v>
      </c>
      <c r="F161" t="s">
        <v>219</v>
      </c>
      <c r="G161" t="s">
        <v>220</v>
      </c>
      <c r="H161" t="s">
        <v>125</v>
      </c>
      <c r="I161">
        <v>61</v>
      </c>
      <c r="J161">
        <v>0</v>
      </c>
      <c r="K161">
        <v>61</v>
      </c>
      <c r="O161">
        <f>ROUND(CP161,0)</f>
        <v>23029</v>
      </c>
      <c r="P161">
        <f>ROUND(CQ161*I161,0)</f>
        <v>6743</v>
      </c>
      <c r="Q161">
        <f>ROUND(CR161*I161,0)</f>
        <v>0</v>
      </c>
      <c r="R161">
        <f>ROUND(CS161*I161,0)</f>
        <v>0</v>
      </c>
      <c r="S161">
        <f>ROUND(CT161*I161,0)</f>
        <v>16286</v>
      </c>
      <c r="T161">
        <f>ROUND(CU161*I161,0)</f>
        <v>0</v>
      </c>
      <c r="U161">
        <f>CV161*I161</f>
        <v>62.83</v>
      </c>
      <c r="V161">
        <f>CW161*I161</f>
        <v>0</v>
      </c>
      <c r="W161">
        <f>ROUND(CX161*I161,0)</f>
        <v>0</v>
      </c>
      <c r="X161">
        <f>ROUND(CY161,0)</f>
        <v>14983</v>
      </c>
      <c r="Y161">
        <f>ROUND(CZ161,0)</f>
        <v>7166</v>
      </c>
      <c r="AA161">
        <v>55110083</v>
      </c>
      <c r="AB161">
        <f>ROUND((AC161+AD161+AF161),2)</f>
        <v>23.81</v>
      </c>
      <c r="AC161">
        <f>ROUND((ES161),2)</f>
        <v>16.4</v>
      </c>
      <c r="AD161">
        <f>ROUND((((ET161)-(EU161))+AE161),2)</f>
        <v>0</v>
      </c>
      <c r="AE161">
        <f>ROUND((EU161),2)</f>
        <v>0</v>
      </c>
      <c r="AF161">
        <f>ROUND((EV161),2)</f>
        <v>7.41</v>
      </c>
      <c r="AG161">
        <f>ROUND((AP161),2)</f>
        <v>0</v>
      </c>
      <c r="AH161">
        <f>(EW161)</f>
        <v>1.03</v>
      </c>
      <c r="AI161">
        <f>(EX161)</f>
        <v>0</v>
      </c>
      <c r="AJ161">
        <f>(AS161)</f>
        <v>0</v>
      </c>
      <c r="AK161">
        <v>23.81</v>
      </c>
      <c r="AL161">
        <v>16.4</v>
      </c>
      <c r="AM161">
        <v>0</v>
      </c>
      <c r="AN161">
        <v>0</v>
      </c>
      <c r="AO161">
        <v>7.41</v>
      </c>
      <c r="AP161">
        <v>0</v>
      </c>
      <c r="AQ161">
        <v>1.03</v>
      </c>
      <c r="AR161">
        <v>0</v>
      </c>
      <c r="AS161">
        <v>0</v>
      </c>
      <c r="AT161">
        <v>92</v>
      </c>
      <c r="AU161">
        <v>44</v>
      </c>
      <c r="AV161">
        <v>1</v>
      </c>
      <c r="AW161">
        <v>1</v>
      </c>
      <c r="AZ161">
        <v>1</v>
      </c>
      <c r="BA161">
        <v>36.03</v>
      </c>
      <c r="BB161">
        <v>1</v>
      </c>
      <c r="BC161">
        <v>6.74</v>
      </c>
      <c r="BH161">
        <v>0</v>
      </c>
      <c r="BI161">
        <v>1</v>
      </c>
      <c r="BJ161" t="s">
        <v>221</v>
      </c>
      <c r="BM161">
        <v>69001</v>
      </c>
      <c r="BN161">
        <v>0</v>
      </c>
      <c r="BO161" t="s">
        <v>219</v>
      </c>
      <c r="BP161">
        <v>1</v>
      </c>
      <c r="BQ161">
        <v>6</v>
      </c>
      <c r="BR161">
        <v>0</v>
      </c>
      <c r="BS161">
        <v>36.03</v>
      </c>
      <c r="BT161">
        <v>1</v>
      </c>
      <c r="BU161">
        <v>1</v>
      </c>
      <c r="BV161">
        <v>1</v>
      </c>
      <c r="BW161">
        <v>1</v>
      </c>
      <c r="BX161">
        <v>1</v>
      </c>
      <c r="BZ161">
        <v>92</v>
      </c>
      <c r="CA161">
        <v>44</v>
      </c>
      <c r="CE161">
        <v>0</v>
      </c>
      <c r="CF161">
        <v>0</v>
      </c>
      <c r="CG161">
        <v>0</v>
      </c>
      <c r="CM161">
        <v>0</v>
      </c>
      <c r="CO161">
        <v>0</v>
      </c>
      <c r="CP161">
        <f>(P161+Q161+S161)</f>
        <v>23029</v>
      </c>
      <c r="CQ161">
        <f>AC161*BC161</f>
        <v>110.53599999999999</v>
      </c>
      <c r="CR161">
        <f>AD161*BB161</f>
        <v>0</v>
      </c>
      <c r="CS161">
        <f>AE161*BS161</f>
        <v>0</v>
      </c>
      <c r="CT161">
        <f>AF161*BA161</f>
        <v>266.9823</v>
      </c>
      <c r="CU161">
        <f t="shared" si="160"/>
        <v>0</v>
      </c>
      <c r="CV161">
        <f t="shared" si="160"/>
        <v>1.03</v>
      </c>
      <c r="CW161">
        <f t="shared" si="160"/>
        <v>0</v>
      </c>
      <c r="CX161">
        <f t="shared" si="160"/>
        <v>0</v>
      </c>
      <c r="CY161">
        <f>(((S161+R161)*AT161)/100)</f>
        <v>14983.12</v>
      </c>
      <c r="CZ161">
        <f>(((S161+R161)*AU161)/100)</f>
        <v>7165.84</v>
      </c>
      <c r="DN161">
        <v>0</v>
      </c>
      <c r="DO161">
        <v>0</v>
      </c>
      <c r="DP161">
        <v>1</v>
      </c>
      <c r="DQ161">
        <v>1</v>
      </c>
      <c r="DU161">
        <v>1009</v>
      </c>
      <c r="DV161" t="s">
        <v>125</v>
      </c>
      <c r="DW161" t="s">
        <v>125</v>
      </c>
      <c r="DX161">
        <v>1000</v>
      </c>
      <c r="EE161">
        <v>53507757</v>
      </c>
      <c r="EF161">
        <v>6</v>
      </c>
      <c r="EG161" t="s">
        <v>222</v>
      </c>
      <c r="EH161">
        <v>103</v>
      </c>
      <c r="EI161" t="s">
        <v>223</v>
      </c>
      <c r="EJ161">
        <v>1</v>
      </c>
      <c r="EK161">
        <v>69001</v>
      </c>
      <c r="EL161" t="s">
        <v>223</v>
      </c>
      <c r="EM161" t="s">
        <v>224</v>
      </c>
      <c r="EQ161">
        <v>0</v>
      </c>
      <c r="ER161">
        <v>23.81</v>
      </c>
      <c r="ES161">
        <v>16.4</v>
      </c>
      <c r="ET161">
        <v>0</v>
      </c>
      <c r="EU161">
        <v>0</v>
      </c>
      <c r="EV161">
        <v>7.41</v>
      </c>
      <c r="EW161">
        <v>1.03</v>
      </c>
      <c r="EX161">
        <v>0</v>
      </c>
      <c r="EY161">
        <v>0</v>
      </c>
      <c r="FQ161">
        <v>0</v>
      </c>
      <c r="FR161">
        <f t="shared" si="161"/>
        <v>0</v>
      </c>
      <c r="FS161">
        <v>0</v>
      </c>
      <c r="FX161">
        <v>92</v>
      </c>
      <c r="FY161">
        <v>44</v>
      </c>
      <c r="GD161">
        <v>1</v>
      </c>
      <c r="GF161">
        <v>-1160313074</v>
      </c>
      <c r="GG161">
        <v>2</v>
      </c>
      <c r="GH161">
        <v>1</v>
      </c>
      <c r="GI161">
        <v>2</v>
      </c>
      <c r="GJ161">
        <v>0</v>
      </c>
      <c r="GK161">
        <v>0</v>
      </c>
      <c r="GL161">
        <f t="shared" si="162"/>
        <v>0</v>
      </c>
      <c r="GM161">
        <f>ROUND(O161+X161+Y161,0)+GX161</f>
        <v>45178</v>
      </c>
      <c r="GN161">
        <f>IF(OR(BI161=0,BI161=1),ROUND(O161+X161+Y161,0),0)</f>
        <v>45178</v>
      </c>
      <c r="GO161">
        <f>IF(BI161=2,ROUND(O161+X161+Y161,0),0)</f>
        <v>0</v>
      </c>
      <c r="GP161">
        <f>IF(BI161=4,ROUND(O161+X161+Y161,0)+GX161,0)</f>
        <v>0</v>
      </c>
      <c r="GR161">
        <v>0</v>
      </c>
      <c r="GS161">
        <v>0</v>
      </c>
      <c r="GT161">
        <v>0</v>
      </c>
      <c r="GV161">
        <f>ROUND((GT161),2)</f>
        <v>0</v>
      </c>
      <c r="GW161">
        <v>1</v>
      </c>
      <c r="GX161">
        <f>ROUND(HC161*I161,0)</f>
        <v>0</v>
      </c>
      <c r="HA161">
        <v>0</v>
      </c>
      <c r="HB161">
        <v>0</v>
      </c>
      <c r="HC161">
        <f>GV161*GW161</f>
        <v>0</v>
      </c>
      <c r="HN161" t="s">
        <v>225</v>
      </c>
      <c r="HO161" t="s">
        <v>226</v>
      </c>
      <c r="HP161" t="s">
        <v>223</v>
      </c>
      <c r="HQ161" t="s">
        <v>223</v>
      </c>
      <c r="IK161">
        <v>0</v>
      </c>
    </row>
    <row r="162" spans="1:255" ht="12.75">
      <c r="A162" s="2">
        <v>17</v>
      </c>
      <c r="B162" s="2">
        <v>1</v>
      </c>
      <c r="C162" s="2"/>
      <c r="D162" s="2"/>
      <c r="E162" s="2" t="s">
        <v>227</v>
      </c>
      <c r="F162" s="2" t="s">
        <v>228</v>
      </c>
      <c r="G162" s="2" t="s">
        <v>229</v>
      </c>
      <c r="H162" s="2" t="s">
        <v>230</v>
      </c>
      <c r="I162" s="2">
        <v>61</v>
      </c>
      <c r="J162" s="2">
        <v>0</v>
      </c>
      <c r="K162" s="2">
        <v>61</v>
      </c>
      <c r="L162" s="2"/>
      <c r="M162" s="2"/>
      <c r="N162" s="2"/>
      <c r="O162" s="2">
        <f>0</f>
        <v>0</v>
      </c>
      <c r="P162" s="2">
        <f>0</f>
        <v>0</v>
      </c>
      <c r="Q162" s="2">
        <f>0</f>
        <v>0</v>
      </c>
      <c r="R162" s="2">
        <f>0</f>
        <v>0</v>
      </c>
      <c r="S162" s="2">
        <f>0</f>
        <v>0</v>
      </c>
      <c r="T162" s="2">
        <f>0</f>
        <v>0</v>
      </c>
      <c r="U162" s="2">
        <f>0</f>
        <v>0</v>
      </c>
      <c r="V162" s="2">
        <f>0</f>
        <v>0</v>
      </c>
      <c r="W162" s="2">
        <f>0</f>
        <v>0</v>
      </c>
      <c r="X162" s="2">
        <f>0</f>
        <v>0</v>
      </c>
      <c r="Y162" s="2">
        <f>0</f>
        <v>0</v>
      </c>
      <c r="Z162" s="2"/>
      <c r="AA162" s="2">
        <v>55110074</v>
      </c>
      <c r="AB162" s="2">
        <f>ROUND((AK162),2)</f>
        <v>42.98</v>
      </c>
      <c r="AC162" s="2">
        <f>0</f>
        <v>0</v>
      </c>
      <c r="AD162" s="2">
        <f>0</f>
        <v>0</v>
      </c>
      <c r="AE162" s="2">
        <f>0</f>
        <v>0</v>
      </c>
      <c r="AF162" s="2">
        <f>0</f>
        <v>0</v>
      </c>
      <c r="AG162" s="2">
        <f>0</f>
        <v>0</v>
      </c>
      <c r="AH162" s="2">
        <f>0</f>
        <v>0</v>
      </c>
      <c r="AI162" s="2">
        <f>0</f>
        <v>0</v>
      </c>
      <c r="AJ162" s="2">
        <f>0</f>
        <v>0</v>
      </c>
      <c r="AK162" s="2">
        <v>42.98</v>
      </c>
      <c r="AL162" s="2">
        <v>0</v>
      </c>
      <c r="AM162" s="2">
        <v>0</v>
      </c>
      <c r="AN162" s="2">
        <v>0</v>
      </c>
      <c r="AO162" s="2">
        <v>0</v>
      </c>
      <c r="AP162" s="2">
        <v>0</v>
      </c>
      <c r="AQ162" s="2">
        <v>0</v>
      </c>
      <c r="AR162" s="2">
        <v>0</v>
      </c>
      <c r="AS162" s="2">
        <v>0</v>
      </c>
      <c r="AT162" s="2">
        <v>0</v>
      </c>
      <c r="AU162" s="2">
        <v>0</v>
      </c>
      <c r="AV162" s="2">
        <v>1</v>
      </c>
      <c r="AW162" s="2">
        <v>1</v>
      </c>
      <c r="AX162" s="2"/>
      <c r="AY162" s="2"/>
      <c r="AZ162" s="2">
        <v>1</v>
      </c>
      <c r="BA162" s="2">
        <v>1</v>
      </c>
      <c r="BB162" s="2">
        <v>1</v>
      </c>
      <c r="BC162" s="2">
        <v>1</v>
      </c>
      <c r="BD162" s="2" t="s">
        <v>3</v>
      </c>
      <c r="BE162" s="2" t="s">
        <v>3</v>
      </c>
      <c r="BF162" s="2" t="s">
        <v>3</v>
      </c>
      <c r="BG162" s="2" t="s">
        <v>3</v>
      </c>
      <c r="BH162" s="2">
        <v>0</v>
      </c>
      <c r="BI162" s="2">
        <v>1</v>
      </c>
      <c r="BJ162" s="2" t="s">
        <v>231</v>
      </c>
      <c r="BK162" s="2"/>
      <c r="BL162" s="2"/>
      <c r="BM162" s="2">
        <v>700004</v>
      </c>
      <c r="BN162" s="2">
        <v>0</v>
      </c>
      <c r="BO162" s="2" t="s">
        <v>3</v>
      </c>
      <c r="BP162" s="2">
        <v>0</v>
      </c>
      <c r="BQ162" s="2">
        <v>19</v>
      </c>
      <c r="BR162" s="2">
        <v>0</v>
      </c>
      <c r="BS162" s="2">
        <v>1</v>
      </c>
      <c r="BT162" s="2">
        <v>1</v>
      </c>
      <c r="BU162" s="2">
        <v>1</v>
      </c>
      <c r="BV162" s="2">
        <v>1</v>
      </c>
      <c r="BW162" s="2">
        <v>1</v>
      </c>
      <c r="BX162" s="2">
        <v>1</v>
      </c>
      <c r="BY162" s="2" t="s">
        <v>3</v>
      </c>
      <c r="BZ162" s="2">
        <v>0</v>
      </c>
      <c r="CA162" s="2">
        <v>0</v>
      </c>
      <c r="CB162" s="2" t="s">
        <v>3</v>
      </c>
      <c r="CC162" s="2"/>
      <c r="CD162" s="2"/>
      <c r="CE162" s="2">
        <v>0</v>
      </c>
      <c r="CF162" s="2">
        <v>0</v>
      </c>
      <c r="CG162" s="2">
        <v>0</v>
      </c>
      <c r="CH162" s="2"/>
      <c r="CI162" s="2"/>
      <c r="CJ162" s="2"/>
      <c r="CK162" s="2"/>
      <c r="CL162" s="2"/>
      <c r="CM162" s="2">
        <v>0</v>
      </c>
      <c r="CN162" s="2" t="s">
        <v>3</v>
      </c>
      <c r="CO162" s="2">
        <v>0</v>
      </c>
      <c r="CP162" s="2">
        <f>AB162*AZ162</f>
        <v>42.98</v>
      </c>
      <c r="CQ162" s="2">
        <v>0</v>
      </c>
      <c r="CR162" s="2">
        <v>0</v>
      </c>
      <c r="CS162" s="2">
        <v>0</v>
      </c>
      <c r="CT162" s="2">
        <v>0</v>
      </c>
      <c r="CU162" s="2">
        <v>0</v>
      </c>
      <c r="CV162" s="2">
        <v>0</v>
      </c>
      <c r="CW162" s="2">
        <v>0</v>
      </c>
      <c r="CX162" s="2">
        <v>0</v>
      </c>
      <c r="CY162" s="2">
        <v>0</v>
      </c>
      <c r="CZ162" s="2">
        <v>0</v>
      </c>
      <c r="DA162" s="2"/>
      <c r="DB162" s="2"/>
      <c r="DC162" s="2" t="s">
        <v>3</v>
      </c>
      <c r="DD162" s="2" t="s">
        <v>3</v>
      </c>
      <c r="DE162" s="2" t="s">
        <v>3</v>
      </c>
      <c r="DF162" s="2" t="s">
        <v>3</v>
      </c>
      <c r="DG162" s="2" t="s">
        <v>3</v>
      </c>
      <c r="DH162" s="2" t="s">
        <v>3</v>
      </c>
      <c r="DI162" s="2" t="s">
        <v>3</v>
      </c>
      <c r="DJ162" s="2" t="s">
        <v>3</v>
      </c>
      <c r="DK162" s="2" t="s">
        <v>3</v>
      </c>
      <c r="DL162" s="2" t="s">
        <v>3</v>
      </c>
      <c r="DM162" s="2" t="s">
        <v>3</v>
      </c>
      <c r="DN162" s="2">
        <v>0</v>
      </c>
      <c r="DO162" s="2">
        <v>0</v>
      </c>
      <c r="DP162" s="2">
        <v>1</v>
      </c>
      <c r="DQ162" s="2">
        <v>1</v>
      </c>
      <c r="DR162" s="2"/>
      <c r="DS162" s="2"/>
      <c r="DT162" s="2"/>
      <c r="DU162" s="2">
        <v>1013</v>
      </c>
      <c r="DV162" s="2" t="s">
        <v>230</v>
      </c>
      <c r="DW162" s="2" t="s">
        <v>230</v>
      </c>
      <c r="DX162" s="2">
        <v>1</v>
      </c>
      <c r="DY162" s="2"/>
      <c r="DZ162" s="2" t="s">
        <v>3</v>
      </c>
      <c r="EA162" s="2" t="s">
        <v>3</v>
      </c>
      <c r="EB162" s="2" t="s">
        <v>3</v>
      </c>
      <c r="EC162" s="2" t="s">
        <v>3</v>
      </c>
      <c r="ED162" s="2"/>
      <c r="EE162" s="2">
        <v>53507820</v>
      </c>
      <c r="EF162" s="2">
        <v>19</v>
      </c>
      <c r="EG162" s="2" t="s">
        <v>232</v>
      </c>
      <c r="EH162" s="2">
        <v>106</v>
      </c>
      <c r="EI162" s="2" t="s">
        <v>232</v>
      </c>
      <c r="EJ162" s="2">
        <v>1</v>
      </c>
      <c r="EK162" s="2">
        <v>700004</v>
      </c>
      <c r="EL162" s="2" t="s">
        <v>232</v>
      </c>
      <c r="EM162" s="2" t="s">
        <v>233</v>
      </c>
      <c r="EN162" s="2"/>
      <c r="EO162" s="2" t="s">
        <v>3</v>
      </c>
      <c r="EP162" s="2"/>
      <c r="EQ162" s="2">
        <v>0</v>
      </c>
      <c r="ER162" s="2">
        <v>0</v>
      </c>
      <c r="ES162" s="2">
        <v>0</v>
      </c>
      <c r="ET162" s="2">
        <v>0</v>
      </c>
      <c r="EU162" s="2">
        <v>0</v>
      </c>
      <c r="EV162" s="2">
        <v>0</v>
      </c>
      <c r="EW162" s="2">
        <v>0</v>
      </c>
      <c r="EX162" s="2">
        <v>0</v>
      </c>
      <c r="EY162" s="2">
        <v>0</v>
      </c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>
        <v>0</v>
      </c>
      <c r="FR162" s="2">
        <f t="shared" si="161"/>
        <v>0</v>
      </c>
      <c r="FS162" s="2">
        <v>0</v>
      </c>
      <c r="FT162" s="2"/>
      <c r="FU162" s="2"/>
      <c r="FV162" s="2"/>
      <c r="FW162" s="2"/>
      <c r="FX162" s="2">
        <v>0</v>
      </c>
      <c r="FY162" s="2">
        <v>0</v>
      </c>
      <c r="FZ162" s="2"/>
      <c r="GA162" s="2" t="s">
        <v>3</v>
      </c>
      <c r="GB162" s="2"/>
      <c r="GC162" s="2"/>
      <c r="GD162" s="2">
        <v>1</v>
      </c>
      <c r="GE162" s="2"/>
      <c r="GF162" s="2">
        <v>26033588</v>
      </c>
      <c r="GG162" s="2">
        <v>2</v>
      </c>
      <c r="GH162" s="2">
        <v>1</v>
      </c>
      <c r="GI162" s="2">
        <v>-2</v>
      </c>
      <c r="GJ162" s="2">
        <v>2</v>
      </c>
      <c r="GK162" s="2">
        <v>0</v>
      </c>
      <c r="GL162" s="2">
        <f t="shared" si="162"/>
        <v>0</v>
      </c>
      <c r="GM162" s="2">
        <f>ROUND(CP162*I162,0)</f>
        <v>2622</v>
      </c>
      <c r="GN162" s="2">
        <f>IF(OR(BI162=0,BI162=1),ROUND(CP162*I162,0),0)</f>
        <v>2622</v>
      </c>
      <c r="GO162" s="2">
        <f>IF(BI162=2,ROUND(CP162*I162,0),0)</f>
        <v>0</v>
      </c>
      <c r="GP162" s="2">
        <f>IF(BI162=4,ROUND(CP162*I162,0)+GX162,0)</f>
        <v>0</v>
      </c>
      <c r="GQ162" s="2"/>
      <c r="GR162" s="2">
        <v>0</v>
      </c>
      <c r="GS162" s="2">
        <v>0</v>
      </c>
      <c r="GT162" s="2">
        <v>0</v>
      </c>
      <c r="GU162" s="2" t="s">
        <v>3</v>
      </c>
      <c r="GV162" s="2">
        <f>0</f>
        <v>0</v>
      </c>
      <c r="GW162" s="2">
        <v>1</v>
      </c>
      <c r="GX162" s="2">
        <f>0</f>
        <v>0</v>
      </c>
      <c r="GY162" s="2"/>
      <c r="GZ162" s="2"/>
      <c r="HA162" s="2">
        <v>0</v>
      </c>
      <c r="HB162" s="2">
        <v>0</v>
      </c>
      <c r="HC162" s="2">
        <v>0</v>
      </c>
      <c r="HD162" s="2">
        <f>GM162</f>
        <v>2622</v>
      </c>
      <c r="HE162" s="2" t="s">
        <v>3</v>
      </c>
      <c r="HF162" s="2" t="s">
        <v>3</v>
      </c>
      <c r="HG162" s="2"/>
      <c r="HH162" s="2"/>
      <c r="HI162" s="2"/>
      <c r="HJ162" s="2"/>
      <c r="HK162" s="2"/>
      <c r="HL162" s="2"/>
      <c r="HM162" s="2" t="s">
        <v>3</v>
      </c>
      <c r="HN162" s="2" t="s">
        <v>3</v>
      </c>
      <c r="HO162" s="2" t="s">
        <v>3</v>
      </c>
      <c r="HP162" s="2" t="s">
        <v>3</v>
      </c>
      <c r="HQ162" s="2" t="s">
        <v>3</v>
      </c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>
        <v>0</v>
      </c>
      <c r="IL162" s="2"/>
      <c r="IM162" s="2"/>
      <c r="IN162" s="2"/>
      <c r="IO162" s="2"/>
      <c r="IP162" s="2"/>
      <c r="IQ162" s="2"/>
      <c r="IR162" s="2"/>
      <c r="IS162" s="2"/>
      <c r="IT162" s="2"/>
      <c r="IU162" s="2"/>
    </row>
    <row r="163" spans="1:245" ht="12.75">
      <c r="A163">
        <v>17</v>
      </c>
      <c r="B163">
        <v>1</v>
      </c>
      <c r="E163" t="s">
        <v>227</v>
      </c>
      <c r="F163" t="s">
        <v>228</v>
      </c>
      <c r="G163" t="s">
        <v>229</v>
      </c>
      <c r="H163" t="s">
        <v>230</v>
      </c>
      <c r="I163">
        <v>61</v>
      </c>
      <c r="J163">
        <v>0</v>
      </c>
      <c r="K163">
        <v>61</v>
      </c>
      <c r="O163">
        <f>0</f>
        <v>0</v>
      </c>
      <c r="P163">
        <f>0</f>
        <v>0</v>
      </c>
      <c r="Q163">
        <f>0</f>
        <v>0</v>
      </c>
      <c r="R163">
        <f>0</f>
        <v>0</v>
      </c>
      <c r="S163">
        <f>0</f>
        <v>0</v>
      </c>
      <c r="T163">
        <f>0</f>
        <v>0</v>
      </c>
      <c r="U163">
        <f>0</f>
        <v>0</v>
      </c>
      <c r="V163">
        <f>0</f>
        <v>0</v>
      </c>
      <c r="W163">
        <f>0</f>
        <v>0</v>
      </c>
      <c r="X163">
        <f>0</f>
        <v>0</v>
      </c>
      <c r="Y163">
        <f>0</f>
        <v>0</v>
      </c>
      <c r="AA163">
        <v>55110083</v>
      </c>
      <c r="AB163">
        <f>ROUND((AK163),2)</f>
        <v>42.98</v>
      </c>
      <c r="AC163">
        <f>0</f>
        <v>0</v>
      </c>
      <c r="AD163">
        <f>0</f>
        <v>0</v>
      </c>
      <c r="AE163">
        <f>0</f>
        <v>0</v>
      </c>
      <c r="AF163">
        <f>0</f>
        <v>0</v>
      </c>
      <c r="AG163">
        <f>0</f>
        <v>0</v>
      </c>
      <c r="AH163">
        <f>0</f>
        <v>0</v>
      </c>
      <c r="AI163">
        <f>0</f>
        <v>0</v>
      </c>
      <c r="AJ163">
        <f>0</f>
        <v>0</v>
      </c>
      <c r="AK163">
        <v>42.98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  <c r="AS163">
        <v>0</v>
      </c>
      <c r="AT163">
        <v>0</v>
      </c>
      <c r="AU163">
        <v>0</v>
      </c>
      <c r="AV163">
        <v>1</v>
      </c>
      <c r="AW163">
        <v>1</v>
      </c>
      <c r="AZ163">
        <v>13.61</v>
      </c>
      <c r="BA163">
        <v>1</v>
      </c>
      <c r="BB163">
        <v>1</v>
      </c>
      <c r="BC163">
        <v>1</v>
      </c>
      <c r="BH163">
        <v>0</v>
      </c>
      <c r="BI163">
        <v>1</v>
      </c>
      <c r="BJ163" t="s">
        <v>231</v>
      </c>
      <c r="BM163">
        <v>700004</v>
      </c>
      <c r="BN163">
        <v>0</v>
      </c>
      <c r="BO163" t="s">
        <v>228</v>
      </c>
      <c r="BP163">
        <v>1</v>
      </c>
      <c r="BQ163">
        <v>19</v>
      </c>
      <c r="BR163">
        <v>0</v>
      </c>
      <c r="BS163">
        <v>1</v>
      </c>
      <c r="BT163">
        <v>1</v>
      </c>
      <c r="BU163">
        <v>1</v>
      </c>
      <c r="BV163">
        <v>1</v>
      </c>
      <c r="BW163">
        <v>1</v>
      </c>
      <c r="BX163">
        <v>1</v>
      </c>
      <c r="BZ163">
        <v>0</v>
      </c>
      <c r="CA163">
        <v>0</v>
      </c>
      <c r="CE163">
        <v>0</v>
      </c>
      <c r="CF163">
        <v>0</v>
      </c>
      <c r="CG163">
        <v>0</v>
      </c>
      <c r="CM163">
        <v>0</v>
      </c>
      <c r="CO163">
        <v>0</v>
      </c>
      <c r="CP163">
        <f>AB163*AZ163</f>
        <v>584.9577999999999</v>
      </c>
      <c r="CQ163">
        <v>0</v>
      </c>
      <c r="CR163">
        <v>0</v>
      </c>
      <c r="CS163">
        <v>0</v>
      </c>
      <c r="CT163">
        <v>0</v>
      </c>
      <c r="CU163">
        <v>0</v>
      </c>
      <c r="CV163">
        <v>0</v>
      </c>
      <c r="CW163">
        <v>0</v>
      </c>
      <c r="CX163">
        <v>0</v>
      </c>
      <c r="CY163">
        <v>0</v>
      </c>
      <c r="CZ163">
        <v>0</v>
      </c>
      <c r="DN163">
        <v>0</v>
      </c>
      <c r="DO163">
        <v>0</v>
      </c>
      <c r="DP163">
        <v>1</v>
      </c>
      <c r="DQ163">
        <v>1</v>
      </c>
      <c r="DU163">
        <v>1013</v>
      </c>
      <c r="DV163" t="s">
        <v>230</v>
      </c>
      <c r="DW163" t="s">
        <v>230</v>
      </c>
      <c r="DX163">
        <v>1</v>
      </c>
      <c r="EE163">
        <v>53507820</v>
      </c>
      <c r="EF163">
        <v>19</v>
      </c>
      <c r="EG163" t="s">
        <v>232</v>
      </c>
      <c r="EH163">
        <v>106</v>
      </c>
      <c r="EI163" t="s">
        <v>232</v>
      </c>
      <c r="EJ163">
        <v>1</v>
      </c>
      <c r="EK163">
        <v>700004</v>
      </c>
      <c r="EL163" t="s">
        <v>232</v>
      </c>
      <c r="EM163" t="s">
        <v>233</v>
      </c>
      <c r="EQ163">
        <v>0</v>
      </c>
      <c r="ER163">
        <v>0</v>
      </c>
      <c r="ES163">
        <v>0</v>
      </c>
      <c r="ET163">
        <v>0</v>
      </c>
      <c r="EU163">
        <v>0</v>
      </c>
      <c r="EV163">
        <v>0</v>
      </c>
      <c r="EW163">
        <v>0</v>
      </c>
      <c r="EX163">
        <v>0</v>
      </c>
      <c r="EY163">
        <v>0</v>
      </c>
      <c r="FQ163">
        <v>0</v>
      </c>
      <c r="FR163">
        <f t="shared" si="161"/>
        <v>0</v>
      </c>
      <c r="FS163">
        <v>0</v>
      </c>
      <c r="FX163">
        <v>0</v>
      </c>
      <c r="FY163">
        <v>0</v>
      </c>
      <c r="GD163">
        <v>1</v>
      </c>
      <c r="GF163">
        <v>26033588</v>
      </c>
      <c r="GG163">
        <v>2</v>
      </c>
      <c r="GH163">
        <v>1</v>
      </c>
      <c r="GI163">
        <v>2</v>
      </c>
      <c r="GJ163">
        <v>2</v>
      </c>
      <c r="GK163">
        <v>0</v>
      </c>
      <c r="GL163">
        <f t="shared" si="162"/>
        <v>0</v>
      </c>
      <c r="GM163">
        <f>ROUND(CP163*I163,0)</f>
        <v>35682</v>
      </c>
      <c r="GN163">
        <f>IF(OR(BI163=0,BI163=1),ROUND(CP163*I163,0),0)</f>
        <v>35682</v>
      </c>
      <c r="GO163">
        <f>IF(BI163=2,ROUND(CP163*I163,0),0)</f>
        <v>0</v>
      </c>
      <c r="GP163">
        <f>IF(BI163=4,ROUND(CP163*I163,0)+GX163,0)</f>
        <v>0</v>
      </c>
      <c r="GR163">
        <v>0</v>
      </c>
      <c r="GS163">
        <v>0</v>
      </c>
      <c r="GT163">
        <v>0</v>
      </c>
      <c r="GV163">
        <f>0</f>
        <v>0</v>
      </c>
      <c r="GW163">
        <v>1</v>
      </c>
      <c r="GX163">
        <f>0</f>
        <v>0</v>
      </c>
      <c r="HA163">
        <v>0</v>
      </c>
      <c r="HB163">
        <v>0</v>
      </c>
      <c r="HC163">
        <v>0</v>
      </c>
      <c r="HD163">
        <f>GM163</f>
        <v>35682</v>
      </c>
      <c r="IK163">
        <v>0</v>
      </c>
    </row>
    <row r="164" spans="1:255" ht="12.75">
      <c r="A164" s="2">
        <v>17</v>
      </c>
      <c r="B164" s="2">
        <v>1</v>
      </c>
      <c r="C164" s="2"/>
      <c r="D164" s="2"/>
      <c r="E164" s="2" t="s">
        <v>234</v>
      </c>
      <c r="F164" s="2" t="s">
        <v>235</v>
      </c>
      <c r="G164" s="2" t="s">
        <v>236</v>
      </c>
      <c r="H164" s="2" t="s">
        <v>230</v>
      </c>
      <c r="I164" s="2">
        <v>61</v>
      </c>
      <c r="J164" s="2">
        <v>0</v>
      </c>
      <c r="K164" s="2">
        <v>61</v>
      </c>
      <c r="L164" s="2"/>
      <c r="M164" s="2"/>
      <c r="N164" s="2"/>
      <c r="O164" s="2">
        <f>0</f>
        <v>0</v>
      </c>
      <c r="P164" s="2">
        <f>0</f>
        <v>0</v>
      </c>
      <c r="Q164" s="2">
        <f>0</f>
        <v>0</v>
      </c>
      <c r="R164" s="2">
        <f>0</f>
        <v>0</v>
      </c>
      <c r="S164" s="2">
        <f>0</f>
        <v>0</v>
      </c>
      <c r="T164" s="2">
        <f>0</f>
        <v>0</v>
      </c>
      <c r="U164" s="2">
        <f>0</f>
        <v>0</v>
      </c>
      <c r="V164" s="2">
        <f>0</f>
        <v>0</v>
      </c>
      <c r="W164" s="2">
        <f>0</f>
        <v>0</v>
      </c>
      <c r="X164" s="2">
        <f>0</f>
        <v>0</v>
      </c>
      <c r="Y164" s="2">
        <f>0</f>
        <v>0</v>
      </c>
      <c r="Z164" s="2"/>
      <c r="AA164" s="2">
        <v>55110074</v>
      </c>
      <c r="AB164" s="2">
        <f>ROUND((AK164),2)</f>
        <v>23.67</v>
      </c>
      <c r="AC164" s="2">
        <f>0</f>
        <v>0</v>
      </c>
      <c r="AD164" s="2">
        <f>0</f>
        <v>0</v>
      </c>
      <c r="AE164" s="2">
        <f>0</f>
        <v>0</v>
      </c>
      <c r="AF164" s="2">
        <f>0</f>
        <v>0</v>
      </c>
      <c r="AG164" s="2">
        <f>0</f>
        <v>0</v>
      </c>
      <c r="AH164" s="2">
        <f>0</f>
        <v>0</v>
      </c>
      <c r="AI164" s="2">
        <f>0</f>
        <v>0</v>
      </c>
      <c r="AJ164" s="2">
        <f>0</f>
        <v>0</v>
      </c>
      <c r="AK164" s="2">
        <v>23.67</v>
      </c>
      <c r="AL164" s="2">
        <v>0</v>
      </c>
      <c r="AM164" s="2">
        <v>0</v>
      </c>
      <c r="AN164" s="2">
        <v>0</v>
      </c>
      <c r="AO164" s="2">
        <v>0</v>
      </c>
      <c r="AP164" s="2">
        <v>0</v>
      </c>
      <c r="AQ164" s="2">
        <v>0</v>
      </c>
      <c r="AR164" s="2">
        <v>0</v>
      </c>
      <c r="AS164" s="2">
        <v>0</v>
      </c>
      <c r="AT164" s="2">
        <v>0</v>
      </c>
      <c r="AU164" s="2">
        <v>0</v>
      </c>
      <c r="AV164" s="2">
        <v>1</v>
      </c>
      <c r="AW164" s="2">
        <v>1</v>
      </c>
      <c r="AX164" s="2"/>
      <c r="AY164" s="2"/>
      <c r="AZ164" s="2">
        <v>1</v>
      </c>
      <c r="BA164" s="2">
        <v>1</v>
      </c>
      <c r="BB164" s="2">
        <v>1</v>
      </c>
      <c r="BC164" s="2">
        <v>1</v>
      </c>
      <c r="BD164" s="2" t="s">
        <v>3</v>
      </c>
      <c r="BE164" s="2" t="s">
        <v>3</v>
      </c>
      <c r="BF164" s="2" t="s">
        <v>3</v>
      </c>
      <c r="BG164" s="2" t="s">
        <v>3</v>
      </c>
      <c r="BH164" s="2">
        <v>0</v>
      </c>
      <c r="BI164" s="2">
        <v>1</v>
      </c>
      <c r="BJ164" s="2" t="s">
        <v>237</v>
      </c>
      <c r="BK164" s="2"/>
      <c r="BL164" s="2"/>
      <c r="BM164" s="2">
        <v>700005</v>
      </c>
      <c r="BN164" s="2">
        <v>0</v>
      </c>
      <c r="BO164" s="2" t="s">
        <v>3</v>
      </c>
      <c r="BP164" s="2">
        <v>0</v>
      </c>
      <c r="BQ164" s="2">
        <v>10</v>
      </c>
      <c r="BR164" s="2">
        <v>0</v>
      </c>
      <c r="BS164" s="2">
        <v>1</v>
      </c>
      <c r="BT164" s="2">
        <v>1</v>
      </c>
      <c r="BU164" s="2">
        <v>1</v>
      </c>
      <c r="BV164" s="2">
        <v>1</v>
      </c>
      <c r="BW164" s="2">
        <v>1</v>
      </c>
      <c r="BX164" s="2">
        <v>1</v>
      </c>
      <c r="BY164" s="2" t="s">
        <v>3</v>
      </c>
      <c r="BZ164" s="2">
        <v>0</v>
      </c>
      <c r="CA164" s="2">
        <v>0</v>
      </c>
      <c r="CB164" s="2" t="s">
        <v>3</v>
      </c>
      <c r="CC164" s="2"/>
      <c r="CD164" s="2"/>
      <c r="CE164" s="2">
        <v>0</v>
      </c>
      <c r="CF164" s="2">
        <v>0</v>
      </c>
      <c r="CG164" s="2">
        <v>0</v>
      </c>
      <c r="CH164" s="2"/>
      <c r="CI164" s="2"/>
      <c r="CJ164" s="2"/>
      <c r="CK164" s="2"/>
      <c r="CL164" s="2"/>
      <c r="CM164" s="2">
        <v>0</v>
      </c>
      <c r="CN164" s="2" t="s">
        <v>3</v>
      </c>
      <c r="CO164" s="2">
        <v>0</v>
      </c>
      <c r="CP164" s="2">
        <f>AB164*AZ164</f>
        <v>23.67</v>
      </c>
      <c r="CQ164" s="2">
        <v>0</v>
      </c>
      <c r="CR164" s="2">
        <v>0</v>
      </c>
      <c r="CS164" s="2">
        <v>0</v>
      </c>
      <c r="CT164" s="2">
        <v>0</v>
      </c>
      <c r="CU164" s="2">
        <v>0</v>
      </c>
      <c r="CV164" s="2">
        <v>0</v>
      </c>
      <c r="CW164" s="2">
        <v>0</v>
      </c>
      <c r="CX164" s="2">
        <v>0</v>
      </c>
      <c r="CY164" s="2">
        <v>0</v>
      </c>
      <c r="CZ164" s="2">
        <v>0</v>
      </c>
      <c r="DA164" s="2"/>
      <c r="DB164" s="2"/>
      <c r="DC164" s="2" t="s">
        <v>3</v>
      </c>
      <c r="DD164" s="2" t="s">
        <v>3</v>
      </c>
      <c r="DE164" s="2" t="s">
        <v>3</v>
      </c>
      <c r="DF164" s="2" t="s">
        <v>3</v>
      </c>
      <c r="DG164" s="2" t="s">
        <v>3</v>
      </c>
      <c r="DH164" s="2" t="s">
        <v>3</v>
      </c>
      <c r="DI164" s="2" t="s">
        <v>3</v>
      </c>
      <c r="DJ164" s="2" t="s">
        <v>3</v>
      </c>
      <c r="DK164" s="2" t="s">
        <v>3</v>
      </c>
      <c r="DL164" s="2" t="s">
        <v>3</v>
      </c>
      <c r="DM164" s="2" t="s">
        <v>3</v>
      </c>
      <c r="DN164" s="2">
        <v>0</v>
      </c>
      <c r="DO164" s="2">
        <v>0</v>
      </c>
      <c r="DP164" s="2">
        <v>1</v>
      </c>
      <c r="DQ164" s="2">
        <v>1</v>
      </c>
      <c r="DR164" s="2"/>
      <c r="DS164" s="2"/>
      <c r="DT164" s="2"/>
      <c r="DU164" s="2">
        <v>1013</v>
      </c>
      <c r="DV164" s="2" t="s">
        <v>230</v>
      </c>
      <c r="DW164" s="2" t="s">
        <v>230</v>
      </c>
      <c r="DX164" s="2">
        <v>1</v>
      </c>
      <c r="DY164" s="2"/>
      <c r="DZ164" s="2" t="s">
        <v>3</v>
      </c>
      <c r="EA164" s="2" t="s">
        <v>3</v>
      </c>
      <c r="EB164" s="2" t="s">
        <v>3</v>
      </c>
      <c r="EC164" s="2" t="s">
        <v>3</v>
      </c>
      <c r="ED164" s="2"/>
      <c r="EE164" s="2">
        <v>53507823</v>
      </c>
      <c r="EF164" s="2">
        <v>10</v>
      </c>
      <c r="EG164" s="2" t="s">
        <v>238</v>
      </c>
      <c r="EH164" s="2">
        <v>107</v>
      </c>
      <c r="EI164" s="2" t="s">
        <v>239</v>
      </c>
      <c r="EJ164" s="2">
        <v>1</v>
      </c>
      <c r="EK164" s="2">
        <v>700005</v>
      </c>
      <c r="EL164" s="2" t="s">
        <v>239</v>
      </c>
      <c r="EM164" s="2" t="s">
        <v>240</v>
      </c>
      <c r="EN164" s="2"/>
      <c r="EO164" s="2" t="s">
        <v>3</v>
      </c>
      <c r="EP164" s="2"/>
      <c r="EQ164" s="2">
        <v>0</v>
      </c>
      <c r="ER164" s="2">
        <v>0</v>
      </c>
      <c r="ES164" s="2">
        <v>0</v>
      </c>
      <c r="ET164" s="2">
        <v>0</v>
      </c>
      <c r="EU164" s="2">
        <v>0</v>
      </c>
      <c r="EV164" s="2">
        <v>0</v>
      </c>
      <c r="EW164" s="2">
        <v>0</v>
      </c>
      <c r="EX164" s="2">
        <v>0</v>
      </c>
      <c r="EY164" s="2">
        <v>0</v>
      </c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>
        <v>0</v>
      </c>
      <c r="FR164" s="2">
        <f t="shared" si="161"/>
        <v>0</v>
      </c>
      <c r="FS164" s="2">
        <v>0</v>
      </c>
      <c r="FT164" s="2"/>
      <c r="FU164" s="2"/>
      <c r="FV164" s="2"/>
      <c r="FW164" s="2"/>
      <c r="FX164" s="2">
        <v>0</v>
      </c>
      <c r="FY164" s="2">
        <v>0</v>
      </c>
      <c r="FZ164" s="2"/>
      <c r="GA164" s="2" t="s">
        <v>3</v>
      </c>
      <c r="GB164" s="2"/>
      <c r="GC164" s="2"/>
      <c r="GD164" s="2">
        <v>1</v>
      </c>
      <c r="GE164" s="2"/>
      <c r="GF164" s="2">
        <v>977903381</v>
      </c>
      <c r="GG164" s="2">
        <v>2</v>
      </c>
      <c r="GH164" s="2">
        <v>1</v>
      </c>
      <c r="GI164" s="2">
        <v>-2</v>
      </c>
      <c r="GJ164" s="2">
        <v>2</v>
      </c>
      <c r="GK164" s="2">
        <v>0</v>
      </c>
      <c r="GL164" s="2">
        <f t="shared" si="162"/>
        <v>0</v>
      </c>
      <c r="GM164" s="2">
        <f>ROUND(CP164*I164,0)</f>
        <v>1444</v>
      </c>
      <c r="GN164" s="2">
        <f>IF(OR(BI164=0,BI164=1),ROUND(CP164*I164,0),0)</f>
        <v>1444</v>
      </c>
      <c r="GO164" s="2">
        <f>IF(BI164=2,ROUND(CP164*I164,0),0)</f>
        <v>0</v>
      </c>
      <c r="GP164" s="2">
        <f>IF(BI164=4,ROUND(CP164*I164,0)+GX164,0)</f>
        <v>0</v>
      </c>
      <c r="GQ164" s="2"/>
      <c r="GR164" s="2">
        <v>0</v>
      </c>
      <c r="GS164" s="2">
        <v>0</v>
      </c>
      <c r="GT164" s="2">
        <v>0</v>
      </c>
      <c r="GU164" s="2" t="s">
        <v>3</v>
      </c>
      <c r="GV164" s="2">
        <f>0</f>
        <v>0</v>
      </c>
      <c r="GW164" s="2">
        <v>1</v>
      </c>
      <c r="GX164" s="2">
        <f>0</f>
        <v>0</v>
      </c>
      <c r="GY164" s="2"/>
      <c r="GZ164" s="2"/>
      <c r="HA164" s="2">
        <v>0</v>
      </c>
      <c r="HB164" s="2">
        <v>0</v>
      </c>
      <c r="HC164" s="2">
        <v>0</v>
      </c>
      <c r="HD164" s="2">
        <f>GM164</f>
        <v>1444</v>
      </c>
      <c r="HE164" s="2" t="s">
        <v>3</v>
      </c>
      <c r="HF164" s="2" t="s">
        <v>3</v>
      </c>
      <c r="HG164" s="2"/>
      <c r="HH164" s="2"/>
      <c r="HI164" s="2"/>
      <c r="HJ164" s="2"/>
      <c r="HK164" s="2"/>
      <c r="HL164" s="2"/>
      <c r="HM164" s="2" t="s">
        <v>3</v>
      </c>
      <c r="HN164" s="2" t="s">
        <v>3</v>
      </c>
      <c r="HO164" s="2" t="s">
        <v>3</v>
      </c>
      <c r="HP164" s="2" t="s">
        <v>3</v>
      </c>
      <c r="HQ164" s="2" t="s">
        <v>3</v>
      </c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>
        <v>0</v>
      </c>
      <c r="IL164" s="2"/>
      <c r="IM164" s="2"/>
      <c r="IN164" s="2"/>
      <c r="IO164" s="2"/>
      <c r="IP164" s="2"/>
      <c r="IQ164" s="2"/>
      <c r="IR164" s="2"/>
      <c r="IS164" s="2"/>
      <c r="IT164" s="2"/>
      <c r="IU164" s="2"/>
    </row>
    <row r="165" spans="1:245" ht="12.75">
      <c r="A165">
        <v>17</v>
      </c>
      <c r="B165">
        <v>1</v>
      </c>
      <c r="E165" t="s">
        <v>234</v>
      </c>
      <c r="F165" t="s">
        <v>235</v>
      </c>
      <c r="G165" t="s">
        <v>236</v>
      </c>
      <c r="H165" t="s">
        <v>230</v>
      </c>
      <c r="I165">
        <v>61</v>
      </c>
      <c r="J165">
        <v>0</v>
      </c>
      <c r="K165">
        <v>61</v>
      </c>
      <c r="O165">
        <f>0</f>
        <v>0</v>
      </c>
      <c r="P165">
        <f>0</f>
        <v>0</v>
      </c>
      <c r="Q165">
        <f>0</f>
        <v>0</v>
      </c>
      <c r="R165">
        <f>0</f>
        <v>0</v>
      </c>
      <c r="S165">
        <f>0</f>
        <v>0</v>
      </c>
      <c r="T165">
        <f>0</f>
        <v>0</v>
      </c>
      <c r="U165">
        <f>0</f>
        <v>0</v>
      </c>
      <c r="V165">
        <f>0</f>
        <v>0</v>
      </c>
      <c r="W165">
        <f>0</f>
        <v>0</v>
      </c>
      <c r="X165">
        <f>0</f>
        <v>0</v>
      </c>
      <c r="Y165">
        <f>0</f>
        <v>0</v>
      </c>
      <c r="AA165">
        <v>55110083</v>
      </c>
      <c r="AB165">
        <f>ROUND((AK165),2)</f>
        <v>23.67</v>
      </c>
      <c r="AC165">
        <f>0</f>
        <v>0</v>
      </c>
      <c r="AD165">
        <f>0</f>
        <v>0</v>
      </c>
      <c r="AE165">
        <f>0</f>
        <v>0</v>
      </c>
      <c r="AF165">
        <f>0</f>
        <v>0</v>
      </c>
      <c r="AG165">
        <f>0</f>
        <v>0</v>
      </c>
      <c r="AH165">
        <f>0</f>
        <v>0</v>
      </c>
      <c r="AI165">
        <f>0</f>
        <v>0</v>
      </c>
      <c r="AJ165">
        <f>0</f>
        <v>0</v>
      </c>
      <c r="AK165">
        <v>23.67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  <c r="AS165">
        <v>0</v>
      </c>
      <c r="AT165">
        <v>0</v>
      </c>
      <c r="AU165">
        <v>0</v>
      </c>
      <c r="AV165">
        <v>1</v>
      </c>
      <c r="AW165">
        <v>1</v>
      </c>
      <c r="AZ165">
        <v>8.07</v>
      </c>
      <c r="BA165">
        <v>1</v>
      </c>
      <c r="BB165">
        <v>1</v>
      </c>
      <c r="BC165">
        <v>1</v>
      </c>
      <c r="BH165">
        <v>0</v>
      </c>
      <c r="BI165">
        <v>1</v>
      </c>
      <c r="BJ165" t="s">
        <v>237</v>
      </c>
      <c r="BM165">
        <v>700005</v>
      </c>
      <c r="BN165">
        <v>0</v>
      </c>
      <c r="BO165" t="s">
        <v>235</v>
      </c>
      <c r="BP165">
        <v>1</v>
      </c>
      <c r="BQ165">
        <v>10</v>
      </c>
      <c r="BR165">
        <v>0</v>
      </c>
      <c r="BS165">
        <v>1</v>
      </c>
      <c r="BT165">
        <v>1</v>
      </c>
      <c r="BU165">
        <v>1</v>
      </c>
      <c r="BV165">
        <v>1</v>
      </c>
      <c r="BW165">
        <v>1</v>
      </c>
      <c r="BX165">
        <v>1</v>
      </c>
      <c r="BZ165">
        <v>0</v>
      </c>
      <c r="CA165">
        <v>0</v>
      </c>
      <c r="CE165">
        <v>0</v>
      </c>
      <c r="CF165">
        <v>0</v>
      </c>
      <c r="CG165">
        <v>0</v>
      </c>
      <c r="CM165">
        <v>0</v>
      </c>
      <c r="CO165">
        <v>0</v>
      </c>
      <c r="CP165">
        <f>AB165*AZ165</f>
        <v>191.01690000000002</v>
      </c>
      <c r="CQ165">
        <v>0</v>
      </c>
      <c r="CR165">
        <v>0</v>
      </c>
      <c r="CS165">
        <v>0</v>
      </c>
      <c r="CT165">
        <v>0</v>
      </c>
      <c r="CU165">
        <v>0</v>
      </c>
      <c r="CV165">
        <v>0</v>
      </c>
      <c r="CW165">
        <v>0</v>
      </c>
      <c r="CX165">
        <v>0</v>
      </c>
      <c r="CY165">
        <v>0</v>
      </c>
      <c r="CZ165">
        <v>0</v>
      </c>
      <c r="DN165">
        <v>0</v>
      </c>
      <c r="DO165">
        <v>0</v>
      </c>
      <c r="DP165">
        <v>1</v>
      </c>
      <c r="DQ165">
        <v>1</v>
      </c>
      <c r="DU165">
        <v>1013</v>
      </c>
      <c r="DV165" t="s">
        <v>230</v>
      </c>
      <c r="DW165" t="s">
        <v>230</v>
      </c>
      <c r="DX165">
        <v>1</v>
      </c>
      <c r="EE165">
        <v>53507823</v>
      </c>
      <c r="EF165">
        <v>10</v>
      </c>
      <c r="EG165" t="s">
        <v>238</v>
      </c>
      <c r="EH165">
        <v>107</v>
      </c>
      <c r="EI165" t="s">
        <v>239</v>
      </c>
      <c r="EJ165">
        <v>1</v>
      </c>
      <c r="EK165">
        <v>700005</v>
      </c>
      <c r="EL165" t="s">
        <v>239</v>
      </c>
      <c r="EM165" t="s">
        <v>240</v>
      </c>
      <c r="EQ165">
        <v>0</v>
      </c>
      <c r="ER165">
        <v>0</v>
      </c>
      <c r="ES165">
        <v>0</v>
      </c>
      <c r="ET165">
        <v>0</v>
      </c>
      <c r="EU165">
        <v>0</v>
      </c>
      <c r="EV165">
        <v>0</v>
      </c>
      <c r="EW165">
        <v>0</v>
      </c>
      <c r="EX165">
        <v>0</v>
      </c>
      <c r="EY165">
        <v>0</v>
      </c>
      <c r="FQ165">
        <v>0</v>
      </c>
      <c r="FR165">
        <f t="shared" si="161"/>
        <v>0</v>
      </c>
      <c r="FS165">
        <v>0</v>
      </c>
      <c r="FX165">
        <v>0</v>
      </c>
      <c r="FY165">
        <v>0</v>
      </c>
      <c r="GD165">
        <v>1</v>
      </c>
      <c r="GF165">
        <v>977903381</v>
      </c>
      <c r="GG165">
        <v>2</v>
      </c>
      <c r="GH165">
        <v>1</v>
      </c>
      <c r="GI165">
        <v>2</v>
      </c>
      <c r="GJ165">
        <v>2</v>
      </c>
      <c r="GK165">
        <v>0</v>
      </c>
      <c r="GL165">
        <f t="shared" si="162"/>
        <v>0</v>
      </c>
      <c r="GM165">
        <f>ROUND(CP165*I165,0)</f>
        <v>11652</v>
      </c>
      <c r="GN165">
        <f>IF(OR(BI165=0,BI165=1),ROUND(CP165*I165,0),0)</f>
        <v>11652</v>
      </c>
      <c r="GO165">
        <f>IF(BI165=2,ROUND(CP165*I165,0),0)</f>
        <v>0</v>
      </c>
      <c r="GP165">
        <f>IF(BI165=4,ROUND(CP165*I165,0)+GX165,0)</f>
        <v>0</v>
      </c>
      <c r="GR165">
        <v>0</v>
      </c>
      <c r="GS165">
        <v>0</v>
      </c>
      <c r="GT165">
        <v>0</v>
      </c>
      <c r="GV165">
        <f>0</f>
        <v>0</v>
      </c>
      <c r="GW165">
        <v>1</v>
      </c>
      <c r="GX165">
        <f>0</f>
        <v>0</v>
      </c>
      <c r="HA165">
        <v>0</v>
      </c>
      <c r="HB165">
        <v>0</v>
      </c>
      <c r="HC165">
        <v>0</v>
      </c>
      <c r="HD165">
        <f>GM165</f>
        <v>11652</v>
      </c>
      <c r="IK165">
        <v>0</v>
      </c>
    </row>
    <row r="167" spans="1:206" ht="12.75">
      <c r="A167" s="3">
        <v>51</v>
      </c>
      <c r="B167" s="3">
        <f>B156</f>
        <v>1</v>
      </c>
      <c r="C167" s="3">
        <f>A156</f>
        <v>4</v>
      </c>
      <c r="D167" s="3">
        <f>ROW(A156)</f>
        <v>156</v>
      </c>
      <c r="E167" s="3"/>
      <c r="F167" s="3" t="str">
        <f>IF(F156&lt;&gt;"",F156,"")</f>
        <v>Новый раздел</v>
      </c>
      <c r="G167" s="3" t="str">
        <f>IF(G156&lt;&gt;"",G156,"")</f>
        <v>Разные работы</v>
      </c>
      <c r="H167" s="3">
        <v>0</v>
      </c>
      <c r="I167" s="3"/>
      <c r="J167" s="3"/>
      <c r="K167" s="3"/>
      <c r="L167" s="3"/>
      <c r="M167" s="3"/>
      <c r="N167" s="3"/>
      <c r="O167" s="3">
        <f aca="true" t="shared" si="163" ref="O167:T167">ROUND(AB167,0)</f>
        <v>1452</v>
      </c>
      <c r="P167" s="3">
        <f t="shared" si="163"/>
        <v>1000</v>
      </c>
      <c r="Q167" s="3">
        <f t="shared" si="163"/>
        <v>0</v>
      </c>
      <c r="R167" s="3">
        <f t="shared" si="163"/>
        <v>0</v>
      </c>
      <c r="S167" s="3">
        <f t="shared" si="163"/>
        <v>452</v>
      </c>
      <c r="T167" s="3">
        <f t="shared" si="163"/>
        <v>0</v>
      </c>
      <c r="U167" s="3">
        <f>AH167</f>
        <v>62.83</v>
      </c>
      <c r="V167" s="3">
        <f>AI167</f>
        <v>0</v>
      </c>
      <c r="W167" s="3">
        <f>ROUND(AJ167,0)</f>
        <v>0</v>
      </c>
      <c r="X167" s="3">
        <f>ROUND(AK167,0)</f>
        <v>416</v>
      </c>
      <c r="Y167" s="3">
        <f>ROUND(AL167,0)</f>
        <v>199</v>
      </c>
      <c r="Z167" s="3"/>
      <c r="AA167" s="3"/>
      <c r="AB167" s="3">
        <f>ROUND(SUMIF(AA160:AA165,"=55110074",O160:O165),0)</f>
        <v>1452</v>
      </c>
      <c r="AC167" s="3">
        <f>ROUND(SUMIF(AA160:AA165,"=55110074",P160:P165),0)</f>
        <v>1000</v>
      </c>
      <c r="AD167" s="3">
        <f>ROUND(SUMIF(AA160:AA165,"=55110074",Q160:Q165),0)</f>
        <v>0</v>
      </c>
      <c r="AE167" s="3">
        <f>ROUND(SUMIF(AA160:AA165,"=55110074",R160:R165),0)</f>
        <v>0</v>
      </c>
      <c r="AF167" s="3">
        <f>ROUND(SUMIF(AA160:AA165,"=55110074",S160:S165),0)</f>
        <v>452</v>
      </c>
      <c r="AG167" s="3">
        <f>ROUND(SUMIF(AA160:AA165,"=55110074",T160:T165),0)</f>
        <v>0</v>
      </c>
      <c r="AH167" s="3">
        <f>SUMIF(AA160:AA165,"=55110074",U160:U165)</f>
        <v>62.83</v>
      </c>
      <c r="AI167" s="3">
        <f>SUMIF(AA160:AA165,"=55110074",V160:V165)</f>
        <v>0</v>
      </c>
      <c r="AJ167" s="3">
        <f>ROUND(SUMIF(AA160:AA165,"=55110074",W160:W165),0)</f>
        <v>0</v>
      </c>
      <c r="AK167" s="3">
        <f>ROUND(SUMIF(AA160:AA165,"=55110074",X160:X165),0)</f>
        <v>416</v>
      </c>
      <c r="AL167" s="3">
        <f>ROUND(SUMIF(AA160:AA165,"=55110074",Y160:Y165),0)</f>
        <v>199</v>
      </c>
      <c r="AM167" s="3"/>
      <c r="AN167" s="3"/>
      <c r="AO167" s="3">
        <f aca="true" t="shared" si="164" ref="AO167:BD167">ROUND(BX167,0)</f>
        <v>0</v>
      </c>
      <c r="AP167" s="3">
        <f t="shared" si="164"/>
        <v>0</v>
      </c>
      <c r="AQ167" s="3">
        <f t="shared" si="164"/>
        <v>0</v>
      </c>
      <c r="AR167" s="3">
        <f t="shared" si="164"/>
        <v>6133</v>
      </c>
      <c r="AS167" s="3">
        <f t="shared" si="164"/>
        <v>6133</v>
      </c>
      <c r="AT167" s="3">
        <f t="shared" si="164"/>
        <v>0</v>
      </c>
      <c r="AU167" s="3">
        <f t="shared" si="164"/>
        <v>0</v>
      </c>
      <c r="AV167" s="3">
        <f t="shared" si="164"/>
        <v>1000</v>
      </c>
      <c r="AW167" s="3">
        <f t="shared" si="164"/>
        <v>1000</v>
      </c>
      <c r="AX167" s="3">
        <f t="shared" si="164"/>
        <v>0</v>
      </c>
      <c r="AY167" s="3">
        <f t="shared" si="164"/>
        <v>1000</v>
      </c>
      <c r="AZ167" s="3">
        <f t="shared" si="164"/>
        <v>0</v>
      </c>
      <c r="BA167" s="3">
        <f t="shared" si="164"/>
        <v>0</v>
      </c>
      <c r="BB167" s="3">
        <f t="shared" si="164"/>
        <v>0</v>
      </c>
      <c r="BC167" s="3">
        <f t="shared" si="164"/>
        <v>0</v>
      </c>
      <c r="BD167" s="3">
        <f t="shared" si="164"/>
        <v>4066</v>
      </c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>
        <f>ROUND(SUMIF(AA160:AA165,"=55110074",FQ160:FQ165),0)</f>
        <v>0</v>
      </c>
      <c r="BY167" s="3">
        <f>ROUND(SUMIF(AA160:AA165,"=55110074",FR160:FR165),0)</f>
        <v>0</v>
      </c>
      <c r="BZ167" s="3">
        <f>ROUND(SUMIF(AA160:AA165,"=55110074",GL160:GL165),0)</f>
        <v>0</v>
      </c>
      <c r="CA167" s="3">
        <f>ROUND(SUMIF(AA160:AA165,"=55110074",GM160:GM165),0)</f>
        <v>6133</v>
      </c>
      <c r="CB167" s="3">
        <f>ROUND(SUMIF(AA160:AA165,"=55110074",GN160:GN165),0)</f>
        <v>6133</v>
      </c>
      <c r="CC167" s="3">
        <f>ROUND(SUMIF(AA160:AA165,"=55110074",GO160:GO165),0)</f>
        <v>0</v>
      </c>
      <c r="CD167" s="3">
        <f>ROUND(SUMIF(AA160:AA165,"=55110074",GP160:GP165),0)</f>
        <v>0</v>
      </c>
      <c r="CE167" s="3">
        <f>AC167-BX167</f>
        <v>1000</v>
      </c>
      <c r="CF167" s="3">
        <f>AC167-BY167</f>
        <v>1000</v>
      </c>
      <c r="CG167" s="3">
        <f>BX167-BZ167</f>
        <v>0</v>
      </c>
      <c r="CH167" s="3">
        <f>AC167-BX167-BY167+BZ167</f>
        <v>1000</v>
      </c>
      <c r="CI167" s="3">
        <f>BY167-BZ167</f>
        <v>0</v>
      </c>
      <c r="CJ167" s="3">
        <f>ROUND(SUMIF(AA160:AA165,"=55110074",GX160:GX165),0)</f>
        <v>0</v>
      </c>
      <c r="CK167" s="3">
        <f>ROUND(SUMIF(AA160:AA165,"=55110074",GY160:GY165),0)</f>
        <v>0</v>
      </c>
      <c r="CL167" s="3">
        <f>ROUND(SUMIF(AA160:AA165,"=55110074",GZ160:GZ165),0)</f>
        <v>0</v>
      </c>
      <c r="CM167" s="3">
        <f>ROUND(SUMIF(AA160:AA165,"=55110074",HD160:HD165),0)</f>
        <v>4066</v>
      </c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4">
        <f aca="true" t="shared" si="165" ref="DG167:DL167">ROUND(DT167,0)</f>
        <v>23029</v>
      </c>
      <c r="DH167" s="4">
        <f t="shared" si="165"/>
        <v>6743</v>
      </c>
      <c r="DI167" s="4">
        <f t="shared" si="165"/>
        <v>0</v>
      </c>
      <c r="DJ167" s="4">
        <f t="shared" si="165"/>
        <v>0</v>
      </c>
      <c r="DK167" s="4">
        <f t="shared" si="165"/>
        <v>16286</v>
      </c>
      <c r="DL167" s="4">
        <f t="shared" si="165"/>
        <v>0</v>
      </c>
      <c r="DM167" s="4">
        <f>DZ167</f>
        <v>62.83</v>
      </c>
      <c r="DN167" s="4">
        <f>EA167</f>
        <v>0</v>
      </c>
      <c r="DO167" s="4">
        <f>ROUND(EB167,0)</f>
        <v>0</v>
      </c>
      <c r="DP167" s="4">
        <f>ROUND(EC167,0)</f>
        <v>14983</v>
      </c>
      <c r="DQ167" s="4">
        <f>ROUND(ED167,0)</f>
        <v>7166</v>
      </c>
      <c r="DR167" s="4"/>
      <c r="DS167" s="4"/>
      <c r="DT167" s="4">
        <f>ROUND(SUMIF(AA160:AA165,"=55110083",O160:O165),0)</f>
        <v>23029</v>
      </c>
      <c r="DU167" s="4">
        <f>ROUND(SUMIF(AA160:AA165,"=55110083",P160:P165),0)</f>
        <v>6743</v>
      </c>
      <c r="DV167" s="4">
        <f>ROUND(SUMIF(AA160:AA165,"=55110083",Q160:Q165),0)</f>
        <v>0</v>
      </c>
      <c r="DW167" s="4">
        <f>ROUND(SUMIF(AA160:AA165,"=55110083",R160:R165),0)</f>
        <v>0</v>
      </c>
      <c r="DX167" s="4">
        <f>ROUND(SUMIF(AA160:AA165,"=55110083",S160:S165),0)</f>
        <v>16286</v>
      </c>
      <c r="DY167" s="4">
        <f>ROUND(SUMIF(AA160:AA165,"=55110083",T160:T165),0)</f>
        <v>0</v>
      </c>
      <c r="DZ167" s="4">
        <f>SUMIF(AA160:AA165,"=55110083",U160:U165)</f>
        <v>62.83</v>
      </c>
      <c r="EA167" s="4">
        <f>SUMIF(AA160:AA165,"=55110083",V160:V165)</f>
        <v>0</v>
      </c>
      <c r="EB167" s="4">
        <f>ROUND(SUMIF(AA160:AA165,"=55110083",W160:W165),0)</f>
        <v>0</v>
      </c>
      <c r="EC167" s="4">
        <f>ROUND(SUMIF(AA160:AA165,"=55110083",X160:X165),0)</f>
        <v>14983</v>
      </c>
      <c r="ED167" s="4">
        <f>ROUND(SUMIF(AA160:AA165,"=55110083",Y160:Y165),0)</f>
        <v>7166</v>
      </c>
      <c r="EE167" s="4"/>
      <c r="EF167" s="4"/>
      <c r="EG167" s="4">
        <f aca="true" t="shared" si="166" ref="EG167:EV167">ROUND(FP167,0)</f>
        <v>0</v>
      </c>
      <c r="EH167" s="4">
        <f t="shared" si="166"/>
        <v>0</v>
      </c>
      <c r="EI167" s="4">
        <f t="shared" si="166"/>
        <v>0</v>
      </c>
      <c r="EJ167" s="4">
        <f t="shared" si="166"/>
        <v>92512</v>
      </c>
      <c r="EK167" s="4">
        <f t="shared" si="166"/>
        <v>92512</v>
      </c>
      <c r="EL167" s="4">
        <f t="shared" si="166"/>
        <v>0</v>
      </c>
      <c r="EM167" s="4">
        <f t="shared" si="166"/>
        <v>0</v>
      </c>
      <c r="EN167" s="4">
        <f t="shared" si="166"/>
        <v>6743</v>
      </c>
      <c r="EO167" s="4">
        <f t="shared" si="166"/>
        <v>6743</v>
      </c>
      <c r="EP167" s="4">
        <f t="shared" si="166"/>
        <v>0</v>
      </c>
      <c r="EQ167" s="4">
        <f t="shared" si="166"/>
        <v>6743</v>
      </c>
      <c r="ER167" s="4">
        <f t="shared" si="166"/>
        <v>0</v>
      </c>
      <c r="ES167" s="4">
        <f t="shared" si="166"/>
        <v>0</v>
      </c>
      <c r="ET167" s="4">
        <f t="shared" si="166"/>
        <v>0</v>
      </c>
      <c r="EU167" s="4">
        <f t="shared" si="166"/>
        <v>0</v>
      </c>
      <c r="EV167" s="4">
        <f t="shared" si="166"/>
        <v>47334</v>
      </c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>
        <f>ROUND(SUMIF(AA160:AA165,"=55110083",FQ160:FQ165),0)</f>
        <v>0</v>
      </c>
      <c r="FQ167" s="4">
        <f>ROUND(SUMIF(AA160:AA165,"=55110083",FR160:FR165),0)</f>
        <v>0</v>
      </c>
      <c r="FR167" s="4">
        <f>ROUND(SUMIF(AA160:AA165,"=55110083",GL160:GL165),0)</f>
        <v>0</v>
      </c>
      <c r="FS167" s="4">
        <f>ROUND(SUMIF(AA160:AA165,"=55110083",GM160:GM165),0)</f>
        <v>92512</v>
      </c>
      <c r="FT167" s="4">
        <f>ROUND(SUMIF(AA160:AA165,"=55110083",GN160:GN165),0)</f>
        <v>92512</v>
      </c>
      <c r="FU167" s="4">
        <f>ROUND(SUMIF(AA160:AA165,"=55110083",GO160:GO165),0)</f>
        <v>0</v>
      </c>
      <c r="FV167" s="4">
        <f>ROUND(SUMIF(AA160:AA165,"=55110083",GP160:GP165),0)</f>
        <v>0</v>
      </c>
      <c r="FW167" s="4">
        <f>DU167-FP167</f>
        <v>6743</v>
      </c>
      <c r="FX167" s="4">
        <f>DU167-FQ167</f>
        <v>6743</v>
      </c>
      <c r="FY167" s="4">
        <f>FP167-FR167</f>
        <v>0</v>
      </c>
      <c r="FZ167" s="4">
        <f>DU167-FP167-FQ167+FR167</f>
        <v>6743</v>
      </c>
      <c r="GA167" s="4">
        <f>FQ167-FR167</f>
        <v>0</v>
      </c>
      <c r="GB167" s="4">
        <f>ROUND(SUMIF(AA160:AA165,"=55110083",GX160:GX165),0)</f>
        <v>0</v>
      </c>
      <c r="GC167" s="4">
        <f>ROUND(SUMIF(AA160:AA165,"=55110083",GY160:GY165),0)</f>
        <v>0</v>
      </c>
      <c r="GD167" s="4">
        <f>ROUND(SUMIF(AA160:AA165,"=55110083",GZ160:GZ165),0)</f>
        <v>0</v>
      </c>
      <c r="GE167" s="4">
        <f>ROUND(SUMIF(AA160:AA165,"=55110083",HD160:HD165),0)</f>
        <v>47334</v>
      </c>
      <c r="GF167" s="4"/>
      <c r="GG167" s="4"/>
      <c r="GH167" s="4"/>
      <c r="GI167" s="4"/>
      <c r="GJ167" s="4"/>
      <c r="GK167" s="4"/>
      <c r="GL167" s="4"/>
      <c r="GM167" s="4"/>
      <c r="GN167" s="4"/>
      <c r="GO167" s="4"/>
      <c r="GP167" s="4"/>
      <c r="GQ167" s="4"/>
      <c r="GR167" s="4"/>
      <c r="GS167" s="4"/>
      <c r="GT167" s="4"/>
      <c r="GU167" s="4"/>
      <c r="GV167" s="4"/>
      <c r="GW167" s="4"/>
      <c r="GX167" s="4">
        <v>0</v>
      </c>
    </row>
    <row r="169" spans="1:28" ht="12.75">
      <c r="A169" s="5">
        <v>50</v>
      </c>
      <c r="B169" s="5">
        <v>0</v>
      </c>
      <c r="C169" s="5">
        <v>0</v>
      </c>
      <c r="D169" s="5">
        <v>1</v>
      </c>
      <c r="E169" s="5">
        <v>201</v>
      </c>
      <c r="F169" s="5">
        <f>ROUND(Source!O167,O169)</f>
        <v>1452</v>
      </c>
      <c r="G169" s="5" t="s">
        <v>56</v>
      </c>
      <c r="H169" s="5" t="s">
        <v>57</v>
      </c>
      <c r="I169" s="5"/>
      <c r="J169" s="5"/>
      <c r="K169" s="5">
        <v>201</v>
      </c>
      <c r="L169" s="5">
        <v>1</v>
      </c>
      <c r="M169" s="5">
        <v>3</v>
      </c>
      <c r="N169" s="5" t="s">
        <v>3</v>
      </c>
      <c r="O169" s="5">
        <v>0</v>
      </c>
      <c r="P169" s="5">
        <f>ROUND(Source!DG167,O169)</f>
        <v>23029</v>
      </c>
      <c r="Q169" s="5"/>
      <c r="R169" s="5"/>
      <c r="S169" s="5"/>
      <c r="T169" s="5"/>
      <c r="U169" s="5"/>
      <c r="V169" s="5"/>
      <c r="W169" s="5">
        <v>5518</v>
      </c>
      <c r="X169" s="5">
        <v>1</v>
      </c>
      <c r="Y169" s="5">
        <v>5518</v>
      </c>
      <c r="Z169" s="5">
        <v>70363</v>
      </c>
      <c r="AA169" s="5">
        <v>1</v>
      </c>
      <c r="AB169" s="5">
        <v>70363</v>
      </c>
    </row>
    <row r="170" spans="1:28" ht="12.75">
      <c r="A170" s="5">
        <v>50</v>
      </c>
      <c r="B170" s="5">
        <v>0</v>
      </c>
      <c r="C170" s="5">
        <v>0</v>
      </c>
      <c r="D170" s="5">
        <v>1</v>
      </c>
      <c r="E170" s="5">
        <v>202</v>
      </c>
      <c r="F170" s="5">
        <f>ROUND(Source!P167,O170)</f>
        <v>1000</v>
      </c>
      <c r="G170" s="5" t="s">
        <v>58</v>
      </c>
      <c r="H170" s="5" t="s">
        <v>59</v>
      </c>
      <c r="I170" s="5"/>
      <c r="J170" s="5"/>
      <c r="K170" s="5">
        <v>202</v>
      </c>
      <c r="L170" s="5">
        <v>2</v>
      </c>
      <c r="M170" s="5">
        <v>3</v>
      </c>
      <c r="N170" s="5" t="s">
        <v>3</v>
      </c>
      <c r="O170" s="5">
        <v>0</v>
      </c>
      <c r="P170" s="5">
        <f>ROUND(Source!DH167,O170)</f>
        <v>6743</v>
      </c>
      <c r="Q170" s="5"/>
      <c r="R170" s="5"/>
      <c r="S170" s="5"/>
      <c r="T170" s="5"/>
      <c r="U170" s="5"/>
      <c r="V170" s="5"/>
      <c r="W170" s="5">
        <v>1000</v>
      </c>
      <c r="X170" s="5">
        <v>1</v>
      </c>
      <c r="Y170" s="5">
        <v>1000</v>
      </c>
      <c r="Z170" s="5">
        <v>6743</v>
      </c>
      <c r="AA170" s="5">
        <v>1</v>
      </c>
      <c r="AB170" s="5">
        <v>6743</v>
      </c>
    </row>
    <row r="171" spans="1:28" ht="12.75">
      <c r="A171" s="5">
        <v>50</v>
      </c>
      <c r="B171" s="5">
        <v>0</v>
      </c>
      <c r="C171" s="5">
        <v>0</v>
      </c>
      <c r="D171" s="5">
        <v>1</v>
      </c>
      <c r="E171" s="5">
        <v>222</v>
      </c>
      <c r="F171" s="5">
        <f>ROUND(Source!AO167,O171)</f>
        <v>0</v>
      </c>
      <c r="G171" s="5" t="s">
        <v>60</v>
      </c>
      <c r="H171" s="5" t="s">
        <v>61</v>
      </c>
      <c r="I171" s="5"/>
      <c r="J171" s="5"/>
      <c r="K171" s="5">
        <v>222</v>
      </c>
      <c r="L171" s="5">
        <v>3</v>
      </c>
      <c r="M171" s="5">
        <v>3</v>
      </c>
      <c r="N171" s="5" t="s">
        <v>3</v>
      </c>
      <c r="O171" s="5">
        <v>0</v>
      </c>
      <c r="P171" s="5">
        <f>ROUND(Source!EG167,O171)</f>
        <v>0</v>
      </c>
      <c r="Q171" s="5"/>
      <c r="R171" s="5"/>
      <c r="S171" s="5"/>
      <c r="T171" s="5"/>
      <c r="U171" s="5"/>
      <c r="V171" s="5"/>
      <c r="W171" s="5">
        <v>0</v>
      </c>
      <c r="X171" s="5">
        <v>1</v>
      </c>
      <c r="Y171" s="5">
        <v>0</v>
      </c>
      <c r="Z171" s="5">
        <v>0</v>
      </c>
      <c r="AA171" s="5">
        <v>1</v>
      </c>
      <c r="AB171" s="5">
        <v>0</v>
      </c>
    </row>
    <row r="172" spans="1:28" ht="12.75">
      <c r="A172" s="5">
        <v>50</v>
      </c>
      <c r="B172" s="5">
        <v>0</v>
      </c>
      <c r="C172" s="5">
        <v>0</v>
      </c>
      <c r="D172" s="5">
        <v>1</v>
      </c>
      <c r="E172" s="5">
        <v>225</v>
      </c>
      <c r="F172" s="5">
        <f>ROUND(Source!AV167,O172)</f>
        <v>1000</v>
      </c>
      <c r="G172" s="5" t="s">
        <v>62</v>
      </c>
      <c r="H172" s="5" t="s">
        <v>63</v>
      </c>
      <c r="I172" s="5"/>
      <c r="J172" s="5"/>
      <c r="K172" s="5">
        <v>225</v>
      </c>
      <c r="L172" s="5">
        <v>4</v>
      </c>
      <c r="M172" s="5">
        <v>3</v>
      </c>
      <c r="N172" s="5" t="s">
        <v>3</v>
      </c>
      <c r="O172" s="5">
        <v>0</v>
      </c>
      <c r="P172" s="5">
        <f>ROUND(Source!EN167,O172)</f>
        <v>6743</v>
      </c>
      <c r="Q172" s="5"/>
      <c r="R172" s="5"/>
      <c r="S172" s="5"/>
      <c r="T172" s="5"/>
      <c r="U172" s="5"/>
      <c r="V172" s="5"/>
      <c r="W172" s="5">
        <v>1000</v>
      </c>
      <c r="X172" s="5">
        <v>1</v>
      </c>
      <c r="Y172" s="5">
        <v>1000</v>
      </c>
      <c r="Z172" s="5">
        <v>6743</v>
      </c>
      <c r="AA172" s="5">
        <v>1</v>
      </c>
      <c r="AB172" s="5">
        <v>6743</v>
      </c>
    </row>
    <row r="173" spans="1:28" ht="12.75">
      <c r="A173" s="5">
        <v>50</v>
      </c>
      <c r="B173" s="5">
        <v>0</v>
      </c>
      <c r="C173" s="5">
        <v>0</v>
      </c>
      <c r="D173" s="5">
        <v>1</v>
      </c>
      <c r="E173" s="5">
        <v>226</v>
      </c>
      <c r="F173" s="5">
        <f>ROUND(Source!AW167,O173)</f>
        <v>1000</v>
      </c>
      <c r="G173" s="5" t="s">
        <v>64</v>
      </c>
      <c r="H173" s="5" t="s">
        <v>65</v>
      </c>
      <c r="I173" s="5"/>
      <c r="J173" s="5"/>
      <c r="K173" s="5">
        <v>226</v>
      </c>
      <c r="L173" s="5">
        <v>5</v>
      </c>
      <c r="M173" s="5">
        <v>3</v>
      </c>
      <c r="N173" s="5" t="s">
        <v>3</v>
      </c>
      <c r="O173" s="5">
        <v>0</v>
      </c>
      <c r="P173" s="5">
        <f>ROUND(Source!EO167,O173)</f>
        <v>6743</v>
      </c>
      <c r="Q173" s="5"/>
      <c r="R173" s="5"/>
      <c r="S173" s="5"/>
      <c r="T173" s="5"/>
      <c r="U173" s="5"/>
      <c r="V173" s="5"/>
      <c r="W173" s="5">
        <v>1000</v>
      </c>
      <c r="X173" s="5">
        <v>1</v>
      </c>
      <c r="Y173" s="5">
        <v>1000</v>
      </c>
      <c r="Z173" s="5">
        <v>6743</v>
      </c>
      <c r="AA173" s="5">
        <v>1</v>
      </c>
      <c r="AB173" s="5">
        <v>6743</v>
      </c>
    </row>
    <row r="174" spans="1:28" ht="12.75">
      <c r="A174" s="5">
        <v>50</v>
      </c>
      <c r="B174" s="5">
        <v>0</v>
      </c>
      <c r="C174" s="5">
        <v>0</v>
      </c>
      <c r="D174" s="5">
        <v>1</v>
      </c>
      <c r="E174" s="5">
        <v>227</v>
      </c>
      <c r="F174" s="5">
        <f>ROUND(Source!AX167,O174)</f>
        <v>0</v>
      </c>
      <c r="G174" s="5" t="s">
        <v>66</v>
      </c>
      <c r="H174" s="5" t="s">
        <v>67</v>
      </c>
      <c r="I174" s="5"/>
      <c r="J174" s="5"/>
      <c r="K174" s="5">
        <v>227</v>
      </c>
      <c r="L174" s="5">
        <v>6</v>
      </c>
      <c r="M174" s="5">
        <v>3</v>
      </c>
      <c r="N174" s="5" t="s">
        <v>3</v>
      </c>
      <c r="O174" s="5">
        <v>0</v>
      </c>
      <c r="P174" s="5">
        <f>ROUND(Source!EP167,O174)</f>
        <v>0</v>
      </c>
      <c r="Q174" s="5"/>
      <c r="R174" s="5"/>
      <c r="S174" s="5"/>
      <c r="T174" s="5"/>
      <c r="U174" s="5"/>
      <c r="V174" s="5"/>
      <c r="W174" s="5">
        <v>0</v>
      </c>
      <c r="X174" s="5">
        <v>1</v>
      </c>
      <c r="Y174" s="5">
        <v>0</v>
      </c>
      <c r="Z174" s="5">
        <v>0</v>
      </c>
      <c r="AA174" s="5">
        <v>1</v>
      </c>
      <c r="AB174" s="5">
        <v>0</v>
      </c>
    </row>
    <row r="175" spans="1:28" ht="12.75">
      <c r="A175" s="5">
        <v>50</v>
      </c>
      <c r="B175" s="5">
        <v>0</v>
      </c>
      <c r="C175" s="5">
        <v>0</v>
      </c>
      <c r="D175" s="5">
        <v>1</v>
      </c>
      <c r="E175" s="5">
        <v>228</v>
      </c>
      <c r="F175" s="5">
        <f>ROUND(Source!AY167,O175)</f>
        <v>1000</v>
      </c>
      <c r="G175" s="5" t="s">
        <v>68</v>
      </c>
      <c r="H175" s="5" t="s">
        <v>69</v>
      </c>
      <c r="I175" s="5"/>
      <c r="J175" s="5"/>
      <c r="K175" s="5">
        <v>228</v>
      </c>
      <c r="L175" s="5">
        <v>7</v>
      </c>
      <c r="M175" s="5">
        <v>3</v>
      </c>
      <c r="N175" s="5" t="s">
        <v>3</v>
      </c>
      <c r="O175" s="5">
        <v>0</v>
      </c>
      <c r="P175" s="5">
        <f>ROUND(Source!EQ167,O175)</f>
        <v>6743</v>
      </c>
      <c r="Q175" s="5"/>
      <c r="R175" s="5"/>
      <c r="S175" s="5"/>
      <c r="T175" s="5"/>
      <c r="U175" s="5"/>
      <c r="V175" s="5"/>
      <c r="W175" s="5">
        <v>1000</v>
      </c>
      <c r="X175" s="5">
        <v>1</v>
      </c>
      <c r="Y175" s="5">
        <v>1000</v>
      </c>
      <c r="Z175" s="5">
        <v>6743</v>
      </c>
      <c r="AA175" s="5">
        <v>1</v>
      </c>
      <c r="AB175" s="5">
        <v>6743</v>
      </c>
    </row>
    <row r="176" spans="1:28" ht="12.75">
      <c r="A176" s="5">
        <v>50</v>
      </c>
      <c r="B176" s="5">
        <v>0</v>
      </c>
      <c r="C176" s="5">
        <v>0</v>
      </c>
      <c r="D176" s="5">
        <v>1</v>
      </c>
      <c r="E176" s="5">
        <v>216</v>
      </c>
      <c r="F176" s="5">
        <f>ROUND(Source!AP167,O176)</f>
        <v>0</v>
      </c>
      <c r="G176" s="5" t="s">
        <v>70</v>
      </c>
      <c r="H176" s="5" t="s">
        <v>71</v>
      </c>
      <c r="I176" s="5"/>
      <c r="J176" s="5"/>
      <c r="K176" s="5">
        <v>216</v>
      </c>
      <c r="L176" s="5">
        <v>8</v>
      </c>
      <c r="M176" s="5">
        <v>3</v>
      </c>
      <c r="N176" s="5" t="s">
        <v>3</v>
      </c>
      <c r="O176" s="5">
        <v>0</v>
      </c>
      <c r="P176" s="5">
        <f>ROUND(Source!EH167,O176)</f>
        <v>0</v>
      </c>
      <c r="Q176" s="5"/>
      <c r="R176" s="5"/>
      <c r="S176" s="5"/>
      <c r="T176" s="5"/>
      <c r="U176" s="5"/>
      <c r="V176" s="5"/>
      <c r="W176" s="5">
        <v>0</v>
      </c>
      <c r="X176" s="5">
        <v>1</v>
      </c>
      <c r="Y176" s="5">
        <v>0</v>
      </c>
      <c r="Z176" s="5">
        <v>0</v>
      </c>
      <c r="AA176" s="5">
        <v>1</v>
      </c>
      <c r="AB176" s="5">
        <v>0</v>
      </c>
    </row>
    <row r="177" spans="1:28" ht="12.75">
      <c r="A177" s="5">
        <v>50</v>
      </c>
      <c r="B177" s="5">
        <v>0</v>
      </c>
      <c r="C177" s="5">
        <v>0</v>
      </c>
      <c r="D177" s="5">
        <v>1</v>
      </c>
      <c r="E177" s="5">
        <v>223</v>
      </c>
      <c r="F177" s="5">
        <f>ROUND(Source!AQ167,O177)</f>
        <v>0</v>
      </c>
      <c r="G177" s="5" t="s">
        <v>72</v>
      </c>
      <c r="H177" s="5" t="s">
        <v>73</v>
      </c>
      <c r="I177" s="5"/>
      <c r="J177" s="5"/>
      <c r="K177" s="5">
        <v>223</v>
      </c>
      <c r="L177" s="5">
        <v>9</v>
      </c>
      <c r="M177" s="5">
        <v>3</v>
      </c>
      <c r="N177" s="5" t="s">
        <v>3</v>
      </c>
      <c r="O177" s="5">
        <v>0</v>
      </c>
      <c r="P177" s="5">
        <f>ROUND(Source!EI167,O177)</f>
        <v>0</v>
      </c>
      <c r="Q177" s="5"/>
      <c r="R177" s="5"/>
      <c r="S177" s="5"/>
      <c r="T177" s="5"/>
      <c r="U177" s="5"/>
      <c r="V177" s="5"/>
      <c r="W177" s="5">
        <v>0</v>
      </c>
      <c r="X177" s="5">
        <v>1</v>
      </c>
      <c r="Y177" s="5">
        <v>0</v>
      </c>
      <c r="Z177" s="5">
        <v>0</v>
      </c>
      <c r="AA177" s="5">
        <v>1</v>
      </c>
      <c r="AB177" s="5">
        <v>0</v>
      </c>
    </row>
    <row r="178" spans="1:28" ht="12.75">
      <c r="A178" s="5">
        <v>50</v>
      </c>
      <c r="B178" s="5">
        <v>0</v>
      </c>
      <c r="C178" s="5">
        <v>0</v>
      </c>
      <c r="D178" s="5">
        <v>1</v>
      </c>
      <c r="E178" s="5">
        <v>229</v>
      </c>
      <c r="F178" s="5">
        <f>ROUND(Source!AZ167,O178)</f>
        <v>0</v>
      </c>
      <c r="G178" s="5" t="s">
        <v>74</v>
      </c>
      <c r="H178" s="5" t="s">
        <v>75</v>
      </c>
      <c r="I178" s="5"/>
      <c r="J178" s="5"/>
      <c r="K178" s="5">
        <v>229</v>
      </c>
      <c r="L178" s="5">
        <v>10</v>
      </c>
      <c r="M178" s="5">
        <v>3</v>
      </c>
      <c r="N178" s="5" t="s">
        <v>3</v>
      </c>
      <c r="O178" s="5">
        <v>0</v>
      </c>
      <c r="P178" s="5">
        <f>ROUND(Source!ER167,O178)</f>
        <v>0</v>
      </c>
      <c r="Q178" s="5"/>
      <c r="R178" s="5"/>
      <c r="S178" s="5"/>
      <c r="T178" s="5"/>
      <c r="U178" s="5"/>
      <c r="V178" s="5"/>
      <c r="W178" s="5">
        <v>0</v>
      </c>
      <c r="X178" s="5">
        <v>1</v>
      </c>
      <c r="Y178" s="5">
        <v>0</v>
      </c>
      <c r="Z178" s="5">
        <v>0</v>
      </c>
      <c r="AA178" s="5">
        <v>1</v>
      </c>
      <c r="AB178" s="5">
        <v>0</v>
      </c>
    </row>
    <row r="179" spans="1:28" ht="12.75">
      <c r="A179" s="5">
        <v>50</v>
      </c>
      <c r="B179" s="5">
        <v>0</v>
      </c>
      <c r="C179" s="5">
        <v>0</v>
      </c>
      <c r="D179" s="5">
        <v>1</v>
      </c>
      <c r="E179" s="5">
        <v>203</v>
      </c>
      <c r="F179" s="5">
        <f>ROUND(Source!Q167,O179)</f>
        <v>0</v>
      </c>
      <c r="G179" s="5" t="s">
        <v>76</v>
      </c>
      <c r="H179" s="5" t="s">
        <v>77</v>
      </c>
      <c r="I179" s="5"/>
      <c r="J179" s="5"/>
      <c r="K179" s="5">
        <v>203</v>
      </c>
      <c r="L179" s="5">
        <v>11</v>
      </c>
      <c r="M179" s="5">
        <v>3</v>
      </c>
      <c r="N179" s="5" t="s">
        <v>3</v>
      </c>
      <c r="O179" s="5">
        <v>0</v>
      </c>
      <c r="P179" s="5">
        <f>ROUND(Source!DI167,O179)</f>
        <v>0</v>
      </c>
      <c r="Q179" s="5"/>
      <c r="R179" s="5"/>
      <c r="S179" s="5"/>
      <c r="T179" s="5"/>
      <c r="U179" s="5"/>
      <c r="V179" s="5"/>
      <c r="W179" s="5">
        <v>0</v>
      </c>
      <c r="X179" s="5">
        <v>1</v>
      </c>
      <c r="Y179" s="5">
        <v>0</v>
      </c>
      <c r="Z179" s="5">
        <v>0</v>
      </c>
      <c r="AA179" s="5">
        <v>1</v>
      </c>
      <c r="AB179" s="5">
        <v>0</v>
      </c>
    </row>
    <row r="180" spans="1:28" ht="12.75">
      <c r="A180" s="5">
        <v>50</v>
      </c>
      <c r="B180" s="5">
        <v>0</v>
      </c>
      <c r="C180" s="5">
        <v>0</v>
      </c>
      <c r="D180" s="5">
        <v>1</v>
      </c>
      <c r="E180" s="5">
        <v>231</v>
      </c>
      <c r="F180" s="5">
        <f>ROUND(Source!BB167,O180)</f>
        <v>0</v>
      </c>
      <c r="G180" s="5" t="s">
        <v>78</v>
      </c>
      <c r="H180" s="5" t="s">
        <v>79</v>
      </c>
      <c r="I180" s="5"/>
      <c r="J180" s="5"/>
      <c r="K180" s="5">
        <v>231</v>
      </c>
      <c r="L180" s="5">
        <v>12</v>
      </c>
      <c r="M180" s="5">
        <v>3</v>
      </c>
      <c r="N180" s="5" t="s">
        <v>3</v>
      </c>
      <c r="O180" s="5">
        <v>0</v>
      </c>
      <c r="P180" s="5">
        <f>ROUND(Source!ET167,O180)</f>
        <v>0</v>
      </c>
      <c r="Q180" s="5"/>
      <c r="R180" s="5"/>
      <c r="S180" s="5"/>
      <c r="T180" s="5"/>
      <c r="U180" s="5"/>
      <c r="V180" s="5"/>
      <c r="W180" s="5">
        <v>0</v>
      </c>
      <c r="X180" s="5">
        <v>1</v>
      </c>
      <c r="Y180" s="5">
        <v>0</v>
      </c>
      <c r="Z180" s="5">
        <v>0</v>
      </c>
      <c r="AA180" s="5">
        <v>1</v>
      </c>
      <c r="AB180" s="5">
        <v>0</v>
      </c>
    </row>
    <row r="181" spans="1:28" ht="12.75">
      <c r="A181" s="5">
        <v>50</v>
      </c>
      <c r="B181" s="5">
        <v>0</v>
      </c>
      <c r="C181" s="5">
        <v>0</v>
      </c>
      <c r="D181" s="5">
        <v>1</v>
      </c>
      <c r="E181" s="5">
        <v>204</v>
      </c>
      <c r="F181" s="5">
        <f>ROUND(Source!R167,O181)</f>
        <v>0</v>
      </c>
      <c r="G181" s="5" t="s">
        <v>80</v>
      </c>
      <c r="H181" s="5" t="s">
        <v>81</v>
      </c>
      <c r="I181" s="5"/>
      <c r="J181" s="5"/>
      <c r="K181" s="5">
        <v>204</v>
      </c>
      <c r="L181" s="5">
        <v>13</v>
      </c>
      <c r="M181" s="5">
        <v>3</v>
      </c>
      <c r="N181" s="5" t="s">
        <v>3</v>
      </c>
      <c r="O181" s="5">
        <v>0</v>
      </c>
      <c r="P181" s="5">
        <f>ROUND(Source!DJ167,O181)</f>
        <v>0</v>
      </c>
      <c r="Q181" s="5"/>
      <c r="R181" s="5"/>
      <c r="S181" s="5"/>
      <c r="T181" s="5"/>
      <c r="U181" s="5"/>
      <c r="V181" s="5"/>
      <c r="W181" s="5">
        <v>0</v>
      </c>
      <c r="X181" s="5">
        <v>1</v>
      </c>
      <c r="Y181" s="5">
        <v>0</v>
      </c>
      <c r="Z181" s="5">
        <v>0</v>
      </c>
      <c r="AA181" s="5">
        <v>1</v>
      </c>
      <c r="AB181" s="5">
        <v>0</v>
      </c>
    </row>
    <row r="182" spans="1:28" ht="12.75">
      <c r="A182" s="5">
        <v>50</v>
      </c>
      <c r="B182" s="5">
        <v>0</v>
      </c>
      <c r="C182" s="5">
        <v>0</v>
      </c>
      <c r="D182" s="5">
        <v>1</v>
      </c>
      <c r="E182" s="5">
        <v>205</v>
      </c>
      <c r="F182" s="5">
        <f>ROUND(Source!S167,O182)</f>
        <v>452</v>
      </c>
      <c r="G182" s="5" t="s">
        <v>82</v>
      </c>
      <c r="H182" s="5" t="s">
        <v>83</v>
      </c>
      <c r="I182" s="5"/>
      <c r="J182" s="5"/>
      <c r="K182" s="5">
        <v>205</v>
      </c>
      <c r="L182" s="5">
        <v>14</v>
      </c>
      <c r="M182" s="5">
        <v>3</v>
      </c>
      <c r="N182" s="5" t="s">
        <v>3</v>
      </c>
      <c r="O182" s="5">
        <v>0</v>
      </c>
      <c r="P182" s="5">
        <f>ROUND(Source!DK167,O182)</f>
        <v>16286</v>
      </c>
      <c r="Q182" s="5"/>
      <c r="R182" s="5"/>
      <c r="S182" s="5"/>
      <c r="T182" s="5"/>
      <c r="U182" s="5"/>
      <c r="V182" s="5"/>
      <c r="W182" s="5">
        <v>452</v>
      </c>
      <c r="X182" s="5">
        <v>1</v>
      </c>
      <c r="Y182" s="5">
        <v>452</v>
      </c>
      <c r="Z182" s="5">
        <v>16286</v>
      </c>
      <c r="AA182" s="5">
        <v>1</v>
      </c>
      <c r="AB182" s="5">
        <v>16286</v>
      </c>
    </row>
    <row r="183" spans="1:28" ht="12.75">
      <c r="A183" s="5">
        <v>50</v>
      </c>
      <c r="B183" s="5">
        <v>0</v>
      </c>
      <c r="C183" s="5">
        <v>0</v>
      </c>
      <c r="D183" s="5">
        <v>1</v>
      </c>
      <c r="E183" s="5">
        <v>232</v>
      </c>
      <c r="F183" s="5">
        <f>ROUND(Source!BC167,O183)</f>
        <v>0</v>
      </c>
      <c r="G183" s="5" t="s">
        <v>84</v>
      </c>
      <c r="H183" s="5" t="s">
        <v>85</v>
      </c>
      <c r="I183" s="5"/>
      <c r="J183" s="5"/>
      <c r="K183" s="5">
        <v>232</v>
      </c>
      <c r="L183" s="5">
        <v>15</v>
      </c>
      <c r="M183" s="5">
        <v>3</v>
      </c>
      <c r="N183" s="5" t="s">
        <v>3</v>
      </c>
      <c r="O183" s="5">
        <v>0</v>
      </c>
      <c r="P183" s="5">
        <f>ROUND(Source!EU167,O183)</f>
        <v>0</v>
      </c>
      <c r="Q183" s="5"/>
      <c r="R183" s="5"/>
      <c r="S183" s="5"/>
      <c r="T183" s="5"/>
      <c r="U183" s="5"/>
      <c r="V183" s="5"/>
      <c r="W183" s="5">
        <v>0</v>
      </c>
      <c r="X183" s="5">
        <v>1</v>
      </c>
      <c r="Y183" s="5">
        <v>0</v>
      </c>
      <c r="Z183" s="5">
        <v>0</v>
      </c>
      <c r="AA183" s="5">
        <v>1</v>
      </c>
      <c r="AB183" s="5">
        <v>0</v>
      </c>
    </row>
    <row r="184" spans="1:28" ht="12.75">
      <c r="A184" s="5">
        <v>50</v>
      </c>
      <c r="B184" s="5">
        <v>0</v>
      </c>
      <c r="C184" s="5">
        <v>0</v>
      </c>
      <c r="D184" s="5">
        <v>1</v>
      </c>
      <c r="E184" s="5">
        <v>214</v>
      </c>
      <c r="F184" s="5">
        <f>ROUND(Source!AS167,O184)</f>
        <v>6133</v>
      </c>
      <c r="G184" s="5" t="s">
        <v>86</v>
      </c>
      <c r="H184" s="5" t="s">
        <v>87</v>
      </c>
      <c r="I184" s="5"/>
      <c r="J184" s="5"/>
      <c r="K184" s="5">
        <v>214</v>
      </c>
      <c r="L184" s="5">
        <v>16</v>
      </c>
      <c r="M184" s="5">
        <v>3</v>
      </c>
      <c r="N184" s="5" t="s">
        <v>3</v>
      </c>
      <c r="O184" s="5">
        <v>0</v>
      </c>
      <c r="P184" s="5">
        <f>ROUND(Source!EK167,O184)</f>
        <v>92512</v>
      </c>
      <c r="Q184" s="5"/>
      <c r="R184" s="5"/>
      <c r="S184" s="5"/>
      <c r="T184" s="5"/>
      <c r="U184" s="5"/>
      <c r="V184" s="5"/>
      <c r="W184" s="5">
        <v>6133</v>
      </c>
      <c r="X184" s="5">
        <v>1</v>
      </c>
      <c r="Y184" s="5">
        <v>6133</v>
      </c>
      <c r="Z184" s="5">
        <v>92512</v>
      </c>
      <c r="AA184" s="5">
        <v>1</v>
      </c>
      <c r="AB184" s="5">
        <v>92512</v>
      </c>
    </row>
    <row r="185" spans="1:28" ht="12.75">
      <c r="A185" s="5">
        <v>50</v>
      </c>
      <c r="B185" s="5">
        <v>0</v>
      </c>
      <c r="C185" s="5">
        <v>0</v>
      </c>
      <c r="D185" s="5">
        <v>1</v>
      </c>
      <c r="E185" s="5">
        <v>215</v>
      </c>
      <c r="F185" s="5">
        <f>ROUND(Source!AT167,O185)</f>
        <v>0</v>
      </c>
      <c r="G185" s="5" t="s">
        <v>88</v>
      </c>
      <c r="H185" s="5" t="s">
        <v>89</v>
      </c>
      <c r="I185" s="5"/>
      <c r="J185" s="5"/>
      <c r="K185" s="5">
        <v>215</v>
      </c>
      <c r="L185" s="5">
        <v>17</v>
      </c>
      <c r="M185" s="5">
        <v>3</v>
      </c>
      <c r="N185" s="5" t="s">
        <v>3</v>
      </c>
      <c r="O185" s="5">
        <v>0</v>
      </c>
      <c r="P185" s="5">
        <f>ROUND(Source!EL167,O185)</f>
        <v>0</v>
      </c>
      <c r="Q185" s="5"/>
      <c r="R185" s="5"/>
      <c r="S185" s="5"/>
      <c r="T185" s="5"/>
      <c r="U185" s="5"/>
      <c r="V185" s="5"/>
      <c r="W185" s="5">
        <v>0</v>
      </c>
      <c r="X185" s="5">
        <v>1</v>
      </c>
      <c r="Y185" s="5">
        <v>0</v>
      </c>
      <c r="Z185" s="5">
        <v>0</v>
      </c>
      <c r="AA185" s="5">
        <v>1</v>
      </c>
      <c r="AB185" s="5">
        <v>0</v>
      </c>
    </row>
    <row r="186" spans="1:28" ht="12.75">
      <c r="A186" s="5">
        <v>50</v>
      </c>
      <c r="B186" s="5">
        <v>0</v>
      </c>
      <c r="C186" s="5">
        <v>0</v>
      </c>
      <c r="D186" s="5">
        <v>1</v>
      </c>
      <c r="E186" s="5">
        <v>217</v>
      </c>
      <c r="F186" s="5">
        <f>ROUND(Source!AU167,O186)</f>
        <v>0</v>
      </c>
      <c r="G186" s="5" t="s">
        <v>90</v>
      </c>
      <c r="H186" s="5" t="s">
        <v>91</v>
      </c>
      <c r="I186" s="5"/>
      <c r="J186" s="5"/>
      <c r="K186" s="5">
        <v>217</v>
      </c>
      <c r="L186" s="5">
        <v>18</v>
      </c>
      <c r="M186" s="5">
        <v>3</v>
      </c>
      <c r="N186" s="5" t="s">
        <v>3</v>
      </c>
      <c r="O186" s="5">
        <v>0</v>
      </c>
      <c r="P186" s="5">
        <f>ROUND(Source!EM167,O186)</f>
        <v>0</v>
      </c>
      <c r="Q186" s="5"/>
      <c r="R186" s="5"/>
      <c r="S186" s="5"/>
      <c r="T186" s="5"/>
      <c r="U186" s="5"/>
      <c r="V186" s="5"/>
      <c r="W186" s="5">
        <v>0</v>
      </c>
      <c r="X186" s="5">
        <v>1</v>
      </c>
      <c r="Y186" s="5">
        <v>0</v>
      </c>
      <c r="Z186" s="5">
        <v>0</v>
      </c>
      <c r="AA186" s="5">
        <v>1</v>
      </c>
      <c r="AB186" s="5">
        <v>0</v>
      </c>
    </row>
    <row r="187" spans="1:28" ht="12.75">
      <c r="A187" s="5">
        <v>50</v>
      </c>
      <c r="B187" s="5">
        <v>0</v>
      </c>
      <c r="C187" s="5">
        <v>0</v>
      </c>
      <c r="D187" s="5">
        <v>1</v>
      </c>
      <c r="E187" s="5">
        <v>230</v>
      </c>
      <c r="F187" s="5">
        <f>ROUND(Source!BA167,O187)</f>
        <v>0</v>
      </c>
      <c r="G187" s="5" t="s">
        <v>92</v>
      </c>
      <c r="H187" s="5" t="s">
        <v>93</v>
      </c>
      <c r="I187" s="5"/>
      <c r="J187" s="5"/>
      <c r="K187" s="5">
        <v>230</v>
      </c>
      <c r="L187" s="5">
        <v>19</v>
      </c>
      <c r="M187" s="5">
        <v>3</v>
      </c>
      <c r="N187" s="5" t="s">
        <v>3</v>
      </c>
      <c r="O187" s="5">
        <v>0</v>
      </c>
      <c r="P187" s="5">
        <f>ROUND(Source!ES167,O187)</f>
        <v>0</v>
      </c>
      <c r="Q187" s="5"/>
      <c r="R187" s="5"/>
      <c r="S187" s="5"/>
      <c r="T187" s="5"/>
      <c r="U187" s="5"/>
      <c r="V187" s="5"/>
      <c r="W187" s="5">
        <v>0</v>
      </c>
      <c r="X187" s="5">
        <v>1</v>
      </c>
      <c r="Y187" s="5">
        <v>0</v>
      </c>
      <c r="Z187" s="5">
        <v>0</v>
      </c>
      <c r="AA187" s="5">
        <v>1</v>
      </c>
      <c r="AB187" s="5">
        <v>0</v>
      </c>
    </row>
    <row r="188" spans="1:28" ht="12.75">
      <c r="A188" s="5">
        <v>50</v>
      </c>
      <c r="B188" s="5">
        <v>0</v>
      </c>
      <c r="C188" s="5">
        <v>0</v>
      </c>
      <c r="D188" s="5">
        <v>1</v>
      </c>
      <c r="E188" s="5">
        <v>206</v>
      </c>
      <c r="F188" s="5">
        <f>ROUND(Source!T167,O188)</f>
        <v>0</v>
      </c>
      <c r="G188" s="5" t="s">
        <v>94</v>
      </c>
      <c r="H188" s="5" t="s">
        <v>95</v>
      </c>
      <c r="I188" s="5"/>
      <c r="J188" s="5"/>
      <c r="K188" s="5">
        <v>206</v>
      </c>
      <c r="L188" s="5">
        <v>20</v>
      </c>
      <c r="M188" s="5">
        <v>3</v>
      </c>
      <c r="N188" s="5" t="s">
        <v>3</v>
      </c>
      <c r="O188" s="5">
        <v>0</v>
      </c>
      <c r="P188" s="5">
        <f>ROUND(Source!DL167,O188)</f>
        <v>0</v>
      </c>
      <c r="Q188" s="5"/>
      <c r="R188" s="5"/>
      <c r="S188" s="5"/>
      <c r="T188" s="5"/>
      <c r="U188" s="5"/>
      <c r="V188" s="5"/>
      <c r="W188" s="5">
        <v>0</v>
      </c>
      <c r="X188" s="5">
        <v>1</v>
      </c>
      <c r="Y188" s="5">
        <v>0</v>
      </c>
      <c r="Z188" s="5">
        <v>0</v>
      </c>
      <c r="AA188" s="5">
        <v>1</v>
      </c>
      <c r="AB188" s="5">
        <v>0</v>
      </c>
    </row>
    <row r="189" spans="1:28" ht="12.75">
      <c r="A189" s="5">
        <v>50</v>
      </c>
      <c r="B189" s="5">
        <v>0</v>
      </c>
      <c r="C189" s="5">
        <v>0</v>
      </c>
      <c r="D189" s="5">
        <v>1</v>
      </c>
      <c r="E189" s="5">
        <v>207</v>
      </c>
      <c r="F189" s="5">
        <f>Source!U167</f>
        <v>62.83</v>
      </c>
      <c r="G189" s="5" t="s">
        <v>96</v>
      </c>
      <c r="H189" s="5" t="s">
        <v>97</v>
      </c>
      <c r="I189" s="5"/>
      <c r="J189" s="5"/>
      <c r="K189" s="5">
        <v>207</v>
      </c>
      <c r="L189" s="5">
        <v>21</v>
      </c>
      <c r="M189" s="5">
        <v>3</v>
      </c>
      <c r="N189" s="5" t="s">
        <v>3</v>
      </c>
      <c r="O189" s="5">
        <v>-1</v>
      </c>
      <c r="P189" s="5">
        <f>Source!DM167</f>
        <v>62.83</v>
      </c>
      <c r="Q189" s="5"/>
      <c r="R189" s="5"/>
      <c r="S189" s="5"/>
      <c r="T189" s="5"/>
      <c r="U189" s="5"/>
      <c r="V189" s="5"/>
      <c r="W189" s="5">
        <v>62.83</v>
      </c>
      <c r="X189" s="5">
        <v>1</v>
      </c>
      <c r="Y189" s="5">
        <v>62.83</v>
      </c>
      <c r="Z189" s="5">
        <v>62.83</v>
      </c>
      <c r="AA189" s="5">
        <v>1</v>
      </c>
      <c r="AB189" s="5">
        <v>62.83</v>
      </c>
    </row>
    <row r="190" spans="1:28" ht="12.75">
      <c r="A190" s="5">
        <v>50</v>
      </c>
      <c r="B190" s="5">
        <v>0</v>
      </c>
      <c r="C190" s="5">
        <v>0</v>
      </c>
      <c r="D190" s="5">
        <v>1</v>
      </c>
      <c r="E190" s="5">
        <v>208</v>
      </c>
      <c r="F190" s="5">
        <f>Source!V167</f>
        <v>0</v>
      </c>
      <c r="G190" s="5" t="s">
        <v>98</v>
      </c>
      <c r="H190" s="5" t="s">
        <v>99</v>
      </c>
      <c r="I190" s="5"/>
      <c r="J190" s="5"/>
      <c r="K190" s="5">
        <v>208</v>
      </c>
      <c r="L190" s="5">
        <v>22</v>
      </c>
      <c r="M190" s="5">
        <v>3</v>
      </c>
      <c r="N190" s="5" t="s">
        <v>3</v>
      </c>
      <c r="O190" s="5">
        <v>-1</v>
      </c>
      <c r="P190" s="5">
        <f>Source!DN167</f>
        <v>0</v>
      </c>
      <c r="Q190" s="5"/>
      <c r="R190" s="5"/>
      <c r="S190" s="5"/>
      <c r="T190" s="5"/>
      <c r="U190" s="5"/>
      <c r="V190" s="5"/>
      <c r="W190" s="5">
        <v>0</v>
      </c>
      <c r="X190" s="5">
        <v>1</v>
      </c>
      <c r="Y190" s="5">
        <v>0</v>
      </c>
      <c r="Z190" s="5">
        <v>0</v>
      </c>
      <c r="AA190" s="5">
        <v>1</v>
      </c>
      <c r="AB190" s="5">
        <v>0</v>
      </c>
    </row>
    <row r="191" spans="1:28" ht="12.75">
      <c r="A191" s="5">
        <v>50</v>
      </c>
      <c r="B191" s="5">
        <v>0</v>
      </c>
      <c r="C191" s="5">
        <v>0</v>
      </c>
      <c r="D191" s="5">
        <v>1</v>
      </c>
      <c r="E191" s="5">
        <v>209</v>
      </c>
      <c r="F191" s="5">
        <f>ROUND(Source!W167,O191)</f>
        <v>0</v>
      </c>
      <c r="G191" s="5" t="s">
        <v>100</v>
      </c>
      <c r="H191" s="5" t="s">
        <v>101</v>
      </c>
      <c r="I191" s="5"/>
      <c r="J191" s="5"/>
      <c r="K191" s="5">
        <v>209</v>
      </c>
      <c r="L191" s="5">
        <v>23</v>
      </c>
      <c r="M191" s="5">
        <v>3</v>
      </c>
      <c r="N191" s="5" t="s">
        <v>3</v>
      </c>
      <c r="O191" s="5">
        <v>0</v>
      </c>
      <c r="P191" s="5">
        <f>ROUND(Source!DO167,O191)</f>
        <v>0</v>
      </c>
      <c r="Q191" s="5"/>
      <c r="R191" s="5"/>
      <c r="S191" s="5"/>
      <c r="T191" s="5"/>
      <c r="U191" s="5"/>
      <c r="V191" s="5"/>
      <c r="W191" s="5">
        <v>0</v>
      </c>
      <c r="X191" s="5">
        <v>1</v>
      </c>
      <c r="Y191" s="5">
        <v>0</v>
      </c>
      <c r="Z191" s="5">
        <v>0</v>
      </c>
      <c r="AA191" s="5">
        <v>1</v>
      </c>
      <c r="AB191" s="5">
        <v>0</v>
      </c>
    </row>
    <row r="192" spans="1:28" ht="12.75">
      <c r="A192" s="5">
        <v>50</v>
      </c>
      <c r="B192" s="5">
        <v>0</v>
      </c>
      <c r="C192" s="5">
        <v>0</v>
      </c>
      <c r="D192" s="5">
        <v>1</v>
      </c>
      <c r="E192" s="5">
        <v>233</v>
      </c>
      <c r="F192" s="5">
        <f>ROUND(Source!BD167,O192)</f>
        <v>4066</v>
      </c>
      <c r="G192" s="5" t="s">
        <v>102</v>
      </c>
      <c r="H192" s="5" t="s">
        <v>103</v>
      </c>
      <c r="I192" s="5"/>
      <c r="J192" s="5"/>
      <c r="K192" s="5">
        <v>233</v>
      </c>
      <c r="L192" s="5">
        <v>24</v>
      </c>
      <c r="M192" s="5">
        <v>3</v>
      </c>
      <c r="N192" s="5" t="s">
        <v>3</v>
      </c>
      <c r="O192" s="5">
        <v>0</v>
      </c>
      <c r="P192" s="5">
        <f>ROUND(Source!EV167,O192)</f>
        <v>47334</v>
      </c>
      <c r="Q192" s="5"/>
      <c r="R192" s="5"/>
      <c r="S192" s="5"/>
      <c r="T192" s="5"/>
      <c r="U192" s="5"/>
      <c r="V192" s="5"/>
      <c r="W192" s="5">
        <v>4066</v>
      </c>
      <c r="X192" s="5">
        <v>1</v>
      </c>
      <c r="Y192" s="5">
        <v>4066</v>
      </c>
      <c r="Z192" s="5">
        <v>47334</v>
      </c>
      <c r="AA192" s="5">
        <v>1</v>
      </c>
      <c r="AB192" s="5">
        <v>47334</v>
      </c>
    </row>
    <row r="193" spans="1:28" ht="12.75">
      <c r="A193" s="5">
        <v>50</v>
      </c>
      <c r="B193" s="5">
        <v>0</v>
      </c>
      <c r="C193" s="5">
        <v>0</v>
      </c>
      <c r="D193" s="5">
        <v>1</v>
      </c>
      <c r="E193" s="5">
        <v>210</v>
      </c>
      <c r="F193" s="5">
        <f>ROUND(Source!X167,O193)</f>
        <v>416</v>
      </c>
      <c r="G193" s="5" t="s">
        <v>104</v>
      </c>
      <c r="H193" s="5" t="s">
        <v>105</v>
      </c>
      <c r="I193" s="5"/>
      <c r="J193" s="5"/>
      <c r="K193" s="5">
        <v>210</v>
      </c>
      <c r="L193" s="5">
        <v>25</v>
      </c>
      <c r="M193" s="5">
        <v>3</v>
      </c>
      <c r="N193" s="5" t="s">
        <v>3</v>
      </c>
      <c r="O193" s="5">
        <v>0</v>
      </c>
      <c r="P193" s="5">
        <f>ROUND(Source!DP167,O193)</f>
        <v>14983</v>
      </c>
      <c r="Q193" s="5"/>
      <c r="R193" s="5"/>
      <c r="S193" s="5"/>
      <c r="T193" s="5"/>
      <c r="U193" s="5"/>
      <c r="V193" s="5"/>
      <c r="W193" s="5">
        <v>416</v>
      </c>
      <c r="X193" s="5">
        <v>1</v>
      </c>
      <c r="Y193" s="5">
        <v>416</v>
      </c>
      <c r="Z193" s="5">
        <v>14983</v>
      </c>
      <c r="AA193" s="5">
        <v>1</v>
      </c>
      <c r="AB193" s="5">
        <v>14983</v>
      </c>
    </row>
    <row r="194" spans="1:28" ht="12.75">
      <c r="A194" s="5">
        <v>50</v>
      </c>
      <c r="B194" s="5">
        <v>0</v>
      </c>
      <c r="C194" s="5">
        <v>0</v>
      </c>
      <c r="D194" s="5">
        <v>1</v>
      </c>
      <c r="E194" s="5">
        <v>211</v>
      </c>
      <c r="F194" s="5">
        <f>ROUND(Source!Y167,O194)</f>
        <v>199</v>
      </c>
      <c r="G194" s="5" t="s">
        <v>106</v>
      </c>
      <c r="H194" s="5" t="s">
        <v>107</v>
      </c>
      <c r="I194" s="5"/>
      <c r="J194" s="5"/>
      <c r="K194" s="5">
        <v>211</v>
      </c>
      <c r="L194" s="5">
        <v>26</v>
      </c>
      <c r="M194" s="5">
        <v>3</v>
      </c>
      <c r="N194" s="5" t="s">
        <v>3</v>
      </c>
      <c r="O194" s="5">
        <v>0</v>
      </c>
      <c r="P194" s="5">
        <f>ROUND(Source!DQ167,O194)</f>
        <v>7166</v>
      </c>
      <c r="Q194" s="5"/>
      <c r="R194" s="5"/>
      <c r="S194" s="5"/>
      <c r="T194" s="5"/>
      <c r="U194" s="5"/>
      <c r="V194" s="5"/>
      <c r="W194" s="5">
        <v>199</v>
      </c>
      <c r="X194" s="5">
        <v>1</v>
      </c>
      <c r="Y194" s="5">
        <v>199</v>
      </c>
      <c r="Z194" s="5">
        <v>7166</v>
      </c>
      <c r="AA194" s="5">
        <v>1</v>
      </c>
      <c r="AB194" s="5">
        <v>7166</v>
      </c>
    </row>
    <row r="195" spans="1:28" ht="12.75">
      <c r="A195" s="5">
        <v>50</v>
      </c>
      <c r="B195" s="5">
        <v>0</v>
      </c>
      <c r="C195" s="5">
        <v>0</v>
      </c>
      <c r="D195" s="5">
        <v>1</v>
      </c>
      <c r="E195" s="5">
        <v>224</v>
      </c>
      <c r="F195" s="5">
        <f>ROUND(Source!AR167,O195)</f>
        <v>6133</v>
      </c>
      <c r="G195" s="5" t="s">
        <v>108</v>
      </c>
      <c r="H195" s="5" t="s">
        <v>109</v>
      </c>
      <c r="I195" s="5"/>
      <c r="J195" s="5"/>
      <c r="K195" s="5">
        <v>224</v>
      </c>
      <c r="L195" s="5">
        <v>27</v>
      </c>
      <c r="M195" s="5">
        <v>3</v>
      </c>
      <c r="N195" s="5" t="s">
        <v>3</v>
      </c>
      <c r="O195" s="5">
        <v>0</v>
      </c>
      <c r="P195" s="5">
        <f>ROUND(Source!EJ167,O195)</f>
        <v>92512</v>
      </c>
      <c r="Q195" s="5"/>
      <c r="R195" s="5"/>
      <c r="S195" s="5"/>
      <c r="T195" s="5"/>
      <c r="U195" s="5"/>
      <c r="V195" s="5"/>
      <c r="W195" s="5">
        <v>6133</v>
      </c>
      <c r="X195" s="5">
        <v>1</v>
      </c>
      <c r="Y195" s="5">
        <v>6133</v>
      </c>
      <c r="Z195" s="5">
        <v>92512</v>
      </c>
      <c r="AA195" s="5">
        <v>1</v>
      </c>
      <c r="AB195" s="5">
        <v>92512</v>
      </c>
    </row>
    <row r="197" spans="1:206" ht="12.75">
      <c r="A197" s="3">
        <v>51</v>
      </c>
      <c r="B197" s="3">
        <f>B20</f>
        <v>1</v>
      </c>
      <c r="C197" s="3">
        <f>A20</f>
        <v>3</v>
      </c>
      <c r="D197" s="3">
        <f>ROW(A20)</f>
        <v>20</v>
      </c>
      <c r="E197" s="3"/>
      <c r="F197" s="3" t="str">
        <f>IF(F20&lt;&gt;"",F20,"")</f>
        <v>Новая локальная смета</v>
      </c>
      <c r="G197" s="3" t="str">
        <f>IF(G20&lt;&gt;"",G20,"")</f>
        <v>Новая локальная смета</v>
      </c>
      <c r="H197" s="3">
        <v>0</v>
      </c>
      <c r="I197" s="3"/>
      <c r="J197" s="3"/>
      <c r="K197" s="3"/>
      <c r="L197" s="3"/>
      <c r="M197" s="3"/>
      <c r="N197" s="3"/>
      <c r="O197" s="3">
        <f aca="true" t="shared" si="167" ref="O197:T197">ROUND(O37+O126+O167+AB197,0)</f>
        <v>205770</v>
      </c>
      <c r="P197" s="3">
        <f t="shared" si="167"/>
        <v>185844</v>
      </c>
      <c r="Q197" s="3">
        <f t="shared" si="167"/>
        <v>5556</v>
      </c>
      <c r="R197" s="3">
        <f t="shared" si="167"/>
        <v>606</v>
      </c>
      <c r="S197" s="3">
        <f t="shared" si="167"/>
        <v>14370</v>
      </c>
      <c r="T197" s="3">
        <f t="shared" si="167"/>
        <v>0</v>
      </c>
      <c r="U197" s="3">
        <f>U37+U126+U167+AH197</f>
        <v>1694.79254</v>
      </c>
      <c r="V197" s="3">
        <f>V37+V126+V167+AI197</f>
        <v>50.097474999999996</v>
      </c>
      <c r="W197" s="3">
        <f>ROUND(W37+W126+W167+AJ197,0)</f>
        <v>0</v>
      </c>
      <c r="X197" s="3">
        <f>ROUND(X37+X126+X167+AK197,0)</f>
        <v>16101</v>
      </c>
      <c r="Y197" s="3">
        <f>ROUND(Y37+Y126+Y167+AL197,0)</f>
        <v>8717</v>
      </c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>
        <f aca="true" t="shared" si="168" ref="AO197:BD197">ROUND(AO37+AO126+AO167+BX197,0)</f>
        <v>0</v>
      </c>
      <c r="AP197" s="3">
        <f t="shared" si="168"/>
        <v>0</v>
      </c>
      <c r="AQ197" s="3">
        <f t="shared" si="168"/>
        <v>0</v>
      </c>
      <c r="AR197" s="3">
        <f t="shared" si="168"/>
        <v>234654</v>
      </c>
      <c r="AS197" s="3">
        <f t="shared" si="168"/>
        <v>234654</v>
      </c>
      <c r="AT197" s="3">
        <f t="shared" si="168"/>
        <v>0</v>
      </c>
      <c r="AU197" s="3">
        <f t="shared" si="168"/>
        <v>0</v>
      </c>
      <c r="AV197" s="3">
        <f t="shared" si="168"/>
        <v>185844</v>
      </c>
      <c r="AW197" s="3">
        <f t="shared" si="168"/>
        <v>185844</v>
      </c>
      <c r="AX197" s="3">
        <f t="shared" si="168"/>
        <v>0</v>
      </c>
      <c r="AY197" s="3">
        <f t="shared" si="168"/>
        <v>185844</v>
      </c>
      <c r="AZ197" s="3">
        <f t="shared" si="168"/>
        <v>0</v>
      </c>
      <c r="BA197" s="3">
        <f t="shared" si="168"/>
        <v>0</v>
      </c>
      <c r="BB197" s="3">
        <f t="shared" si="168"/>
        <v>0</v>
      </c>
      <c r="BC197" s="3">
        <f t="shared" si="168"/>
        <v>0</v>
      </c>
      <c r="BD197" s="3">
        <f t="shared" si="168"/>
        <v>4066</v>
      </c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4">
        <f aca="true" t="shared" si="169" ref="DG197:DL197">ROUND(DG37+DG126+DG167+DT197,0)</f>
        <v>1554404</v>
      </c>
      <c r="DH197" s="4">
        <f t="shared" si="169"/>
        <v>989058</v>
      </c>
      <c r="DI197" s="4">
        <f t="shared" si="169"/>
        <v>47592</v>
      </c>
      <c r="DJ197" s="4">
        <f t="shared" si="169"/>
        <v>21870</v>
      </c>
      <c r="DK197" s="4">
        <f t="shared" si="169"/>
        <v>517754</v>
      </c>
      <c r="DL197" s="4">
        <f t="shared" si="169"/>
        <v>0</v>
      </c>
      <c r="DM197" s="4">
        <f>DM37+DM126+DM167+DZ197</f>
        <v>1694.79254</v>
      </c>
      <c r="DN197" s="4">
        <f>DN37+DN126+DN167+EA197</f>
        <v>50.097474999999996</v>
      </c>
      <c r="DO197" s="4">
        <f>ROUND(DO37+DO126+DO167+EB197,0)</f>
        <v>0</v>
      </c>
      <c r="DP197" s="4">
        <f>ROUND(DP37+DP126+DP167+EC197,0)</f>
        <v>580263</v>
      </c>
      <c r="DQ197" s="4">
        <f>ROUND(DQ37+DQ126+DQ167+ED197,0)</f>
        <v>314115</v>
      </c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>
        <f aca="true" t="shared" si="170" ref="EG197:EV197">ROUND(EG37+EG126+EG167+FP197,0)</f>
        <v>0</v>
      </c>
      <c r="EH197" s="4">
        <f t="shared" si="170"/>
        <v>0</v>
      </c>
      <c r="EI197" s="4">
        <f t="shared" si="170"/>
        <v>0</v>
      </c>
      <c r="EJ197" s="4">
        <f t="shared" si="170"/>
        <v>2496116</v>
      </c>
      <c r="EK197" s="4">
        <f t="shared" si="170"/>
        <v>2496116</v>
      </c>
      <c r="EL197" s="4">
        <f t="shared" si="170"/>
        <v>0</v>
      </c>
      <c r="EM197" s="4">
        <f t="shared" si="170"/>
        <v>0</v>
      </c>
      <c r="EN197" s="4">
        <f t="shared" si="170"/>
        <v>989058</v>
      </c>
      <c r="EO197" s="4">
        <f t="shared" si="170"/>
        <v>989058</v>
      </c>
      <c r="EP197" s="4">
        <f t="shared" si="170"/>
        <v>0</v>
      </c>
      <c r="EQ197" s="4">
        <f t="shared" si="170"/>
        <v>989058</v>
      </c>
      <c r="ER197" s="4">
        <f t="shared" si="170"/>
        <v>0</v>
      </c>
      <c r="ES197" s="4">
        <f t="shared" si="170"/>
        <v>0</v>
      </c>
      <c r="ET197" s="4">
        <f t="shared" si="170"/>
        <v>0</v>
      </c>
      <c r="EU197" s="4">
        <f t="shared" si="170"/>
        <v>0</v>
      </c>
      <c r="EV197" s="4">
        <f t="shared" si="170"/>
        <v>47334</v>
      </c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  <c r="FQ197" s="4"/>
      <c r="FR197" s="4"/>
      <c r="FS197" s="4"/>
      <c r="FT197" s="4"/>
      <c r="FU197" s="4"/>
      <c r="FV197" s="4"/>
      <c r="FW197" s="4"/>
      <c r="FX197" s="4"/>
      <c r="FY197" s="4"/>
      <c r="FZ197" s="4"/>
      <c r="GA197" s="4"/>
      <c r="GB197" s="4"/>
      <c r="GC197" s="4"/>
      <c r="GD197" s="4"/>
      <c r="GE197" s="4"/>
      <c r="GF197" s="4"/>
      <c r="GG197" s="4"/>
      <c r="GH197" s="4"/>
      <c r="GI197" s="4"/>
      <c r="GJ197" s="4"/>
      <c r="GK197" s="4"/>
      <c r="GL197" s="4"/>
      <c r="GM197" s="4"/>
      <c r="GN197" s="4"/>
      <c r="GO197" s="4"/>
      <c r="GP197" s="4"/>
      <c r="GQ197" s="4"/>
      <c r="GR197" s="4"/>
      <c r="GS197" s="4"/>
      <c r="GT197" s="4"/>
      <c r="GU197" s="4"/>
      <c r="GV197" s="4"/>
      <c r="GW197" s="4"/>
      <c r="GX197" s="4">
        <v>0</v>
      </c>
    </row>
    <row r="199" spans="1:28" ht="12.75">
      <c r="A199" s="5">
        <v>50</v>
      </c>
      <c r="B199" s="5">
        <v>0</v>
      </c>
      <c r="C199" s="5">
        <v>0</v>
      </c>
      <c r="D199" s="5">
        <v>1</v>
      </c>
      <c r="E199" s="5">
        <v>201</v>
      </c>
      <c r="F199" s="5">
        <f>ROUND(Source!O197,O199)</f>
        <v>205770</v>
      </c>
      <c r="G199" s="5" t="s">
        <v>56</v>
      </c>
      <c r="H199" s="5" t="s">
        <v>57</v>
      </c>
      <c r="I199" s="5"/>
      <c r="J199" s="5"/>
      <c r="K199" s="5">
        <v>201</v>
      </c>
      <c r="L199" s="5">
        <v>1</v>
      </c>
      <c r="M199" s="5">
        <v>3</v>
      </c>
      <c r="N199" s="5" t="s">
        <v>3</v>
      </c>
      <c r="O199" s="5">
        <v>0</v>
      </c>
      <c r="P199" s="5">
        <f>ROUND(Source!DG197,O199)</f>
        <v>1554404</v>
      </c>
      <c r="Q199" s="5"/>
      <c r="R199" s="5"/>
      <c r="S199" s="5"/>
      <c r="T199" s="5"/>
      <c r="U199" s="5"/>
      <c r="V199" s="5"/>
      <c r="W199" s="5">
        <v>209836</v>
      </c>
      <c r="X199" s="5">
        <v>1</v>
      </c>
      <c r="Y199" s="5">
        <v>209836</v>
      </c>
      <c r="Z199" s="5">
        <v>1601738</v>
      </c>
      <c r="AA199" s="5">
        <v>1</v>
      </c>
      <c r="AB199" s="5">
        <v>1601738</v>
      </c>
    </row>
    <row r="200" spans="1:28" ht="12.75">
      <c r="A200" s="5">
        <v>50</v>
      </c>
      <c r="B200" s="5">
        <v>0</v>
      </c>
      <c r="C200" s="5">
        <v>0</v>
      </c>
      <c r="D200" s="5">
        <v>1</v>
      </c>
      <c r="E200" s="5">
        <v>202</v>
      </c>
      <c r="F200" s="5">
        <f>ROUND(Source!P197,O200)</f>
        <v>185844</v>
      </c>
      <c r="G200" s="5" t="s">
        <v>58</v>
      </c>
      <c r="H200" s="5" t="s">
        <v>59</v>
      </c>
      <c r="I200" s="5"/>
      <c r="J200" s="5"/>
      <c r="K200" s="5">
        <v>202</v>
      </c>
      <c r="L200" s="5">
        <v>2</v>
      </c>
      <c r="M200" s="5">
        <v>3</v>
      </c>
      <c r="N200" s="5" t="s">
        <v>3</v>
      </c>
      <c r="O200" s="5">
        <v>0</v>
      </c>
      <c r="P200" s="5">
        <f>ROUND(Source!DH197,O200)</f>
        <v>989058</v>
      </c>
      <c r="Q200" s="5"/>
      <c r="R200" s="5"/>
      <c r="S200" s="5"/>
      <c r="T200" s="5"/>
      <c r="U200" s="5"/>
      <c r="V200" s="5"/>
      <c r="W200" s="5">
        <v>185844</v>
      </c>
      <c r="X200" s="5">
        <v>1</v>
      </c>
      <c r="Y200" s="5">
        <v>185844</v>
      </c>
      <c r="Z200" s="5">
        <v>989058</v>
      </c>
      <c r="AA200" s="5">
        <v>1</v>
      </c>
      <c r="AB200" s="5">
        <v>989058</v>
      </c>
    </row>
    <row r="201" spans="1:28" ht="12.75">
      <c r="A201" s="5">
        <v>50</v>
      </c>
      <c r="B201" s="5">
        <v>0</v>
      </c>
      <c r="C201" s="5">
        <v>0</v>
      </c>
      <c r="D201" s="5">
        <v>1</v>
      </c>
      <c r="E201" s="5">
        <v>222</v>
      </c>
      <c r="F201" s="5">
        <f>ROUND(Source!AO197,O201)</f>
        <v>0</v>
      </c>
      <c r="G201" s="5" t="s">
        <v>60</v>
      </c>
      <c r="H201" s="5" t="s">
        <v>61</v>
      </c>
      <c r="I201" s="5"/>
      <c r="J201" s="5"/>
      <c r="K201" s="5">
        <v>222</v>
      </c>
      <c r="L201" s="5">
        <v>3</v>
      </c>
      <c r="M201" s="5">
        <v>3</v>
      </c>
      <c r="N201" s="5" t="s">
        <v>3</v>
      </c>
      <c r="O201" s="5">
        <v>0</v>
      </c>
      <c r="P201" s="5">
        <f>ROUND(Source!EG197,O201)</f>
        <v>0</v>
      </c>
      <c r="Q201" s="5"/>
      <c r="R201" s="5"/>
      <c r="S201" s="5"/>
      <c r="T201" s="5"/>
      <c r="U201" s="5"/>
      <c r="V201" s="5"/>
      <c r="W201" s="5">
        <v>0</v>
      </c>
      <c r="X201" s="5">
        <v>1</v>
      </c>
      <c r="Y201" s="5">
        <v>0</v>
      </c>
      <c r="Z201" s="5">
        <v>0</v>
      </c>
      <c r="AA201" s="5">
        <v>1</v>
      </c>
      <c r="AB201" s="5">
        <v>0</v>
      </c>
    </row>
    <row r="202" spans="1:28" ht="12.75">
      <c r="A202" s="5">
        <v>50</v>
      </c>
      <c r="B202" s="5">
        <v>0</v>
      </c>
      <c r="C202" s="5">
        <v>0</v>
      </c>
      <c r="D202" s="5">
        <v>1</v>
      </c>
      <c r="E202" s="5">
        <v>225</v>
      </c>
      <c r="F202" s="5">
        <f>ROUND(Source!AV197,O202)</f>
        <v>185844</v>
      </c>
      <c r="G202" s="5" t="s">
        <v>62</v>
      </c>
      <c r="H202" s="5" t="s">
        <v>63</v>
      </c>
      <c r="I202" s="5"/>
      <c r="J202" s="5"/>
      <c r="K202" s="5">
        <v>225</v>
      </c>
      <c r="L202" s="5">
        <v>4</v>
      </c>
      <c r="M202" s="5">
        <v>3</v>
      </c>
      <c r="N202" s="5" t="s">
        <v>3</v>
      </c>
      <c r="O202" s="5">
        <v>0</v>
      </c>
      <c r="P202" s="5">
        <f>ROUND(Source!EN197,O202)</f>
        <v>989058</v>
      </c>
      <c r="Q202" s="5"/>
      <c r="R202" s="5"/>
      <c r="S202" s="5"/>
      <c r="T202" s="5"/>
      <c r="U202" s="5"/>
      <c r="V202" s="5"/>
      <c r="W202" s="5">
        <v>185844</v>
      </c>
      <c r="X202" s="5">
        <v>1</v>
      </c>
      <c r="Y202" s="5">
        <v>185844</v>
      </c>
      <c r="Z202" s="5">
        <v>989058</v>
      </c>
      <c r="AA202" s="5">
        <v>1</v>
      </c>
      <c r="AB202" s="5">
        <v>989058</v>
      </c>
    </row>
    <row r="203" spans="1:28" ht="12.75">
      <c r="A203" s="5">
        <v>50</v>
      </c>
      <c r="B203" s="5">
        <v>0</v>
      </c>
      <c r="C203" s="5">
        <v>0</v>
      </c>
      <c r="D203" s="5">
        <v>1</v>
      </c>
      <c r="E203" s="5">
        <v>226</v>
      </c>
      <c r="F203" s="5">
        <f>ROUND(Source!AW197,O203)</f>
        <v>185844</v>
      </c>
      <c r="G203" s="5" t="s">
        <v>64</v>
      </c>
      <c r="H203" s="5" t="s">
        <v>65</v>
      </c>
      <c r="I203" s="5"/>
      <c r="J203" s="5"/>
      <c r="K203" s="5">
        <v>226</v>
      </c>
      <c r="L203" s="5">
        <v>5</v>
      </c>
      <c r="M203" s="5">
        <v>3</v>
      </c>
      <c r="N203" s="5" t="s">
        <v>3</v>
      </c>
      <c r="O203" s="5">
        <v>0</v>
      </c>
      <c r="P203" s="5">
        <f>ROUND(Source!EO197,O203)</f>
        <v>989058</v>
      </c>
      <c r="Q203" s="5"/>
      <c r="R203" s="5"/>
      <c r="S203" s="5"/>
      <c r="T203" s="5"/>
      <c r="U203" s="5"/>
      <c r="V203" s="5"/>
      <c r="W203" s="5">
        <v>185844</v>
      </c>
      <c r="X203" s="5">
        <v>1</v>
      </c>
      <c r="Y203" s="5">
        <v>185844</v>
      </c>
      <c r="Z203" s="5">
        <v>989058</v>
      </c>
      <c r="AA203" s="5">
        <v>1</v>
      </c>
      <c r="AB203" s="5">
        <v>989058</v>
      </c>
    </row>
    <row r="204" spans="1:28" ht="12.75">
      <c r="A204" s="5">
        <v>50</v>
      </c>
      <c r="B204" s="5">
        <v>0</v>
      </c>
      <c r="C204" s="5">
        <v>0</v>
      </c>
      <c r="D204" s="5">
        <v>1</v>
      </c>
      <c r="E204" s="5">
        <v>227</v>
      </c>
      <c r="F204" s="5">
        <f>ROUND(Source!AX197,O204)</f>
        <v>0</v>
      </c>
      <c r="G204" s="5" t="s">
        <v>66</v>
      </c>
      <c r="H204" s="5" t="s">
        <v>67</v>
      </c>
      <c r="I204" s="5"/>
      <c r="J204" s="5"/>
      <c r="K204" s="5">
        <v>227</v>
      </c>
      <c r="L204" s="5">
        <v>6</v>
      </c>
      <c r="M204" s="5">
        <v>3</v>
      </c>
      <c r="N204" s="5" t="s">
        <v>3</v>
      </c>
      <c r="O204" s="5">
        <v>0</v>
      </c>
      <c r="P204" s="5">
        <f>ROUND(Source!EP197,O204)</f>
        <v>0</v>
      </c>
      <c r="Q204" s="5"/>
      <c r="R204" s="5"/>
      <c r="S204" s="5"/>
      <c r="T204" s="5"/>
      <c r="U204" s="5"/>
      <c r="V204" s="5"/>
      <c r="W204" s="5">
        <v>0</v>
      </c>
      <c r="X204" s="5">
        <v>1</v>
      </c>
      <c r="Y204" s="5">
        <v>0</v>
      </c>
      <c r="Z204" s="5">
        <v>0</v>
      </c>
      <c r="AA204" s="5">
        <v>1</v>
      </c>
      <c r="AB204" s="5">
        <v>0</v>
      </c>
    </row>
    <row r="205" spans="1:28" ht="12.75">
      <c r="A205" s="5">
        <v>50</v>
      </c>
      <c r="B205" s="5">
        <v>0</v>
      </c>
      <c r="C205" s="5">
        <v>0</v>
      </c>
      <c r="D205" s="5">
        <v>1</v>
      </c>
      <c r="E205" s="5">
        <v>228</v>
      </c>
      <c r="F205" s="5">
        <f>ROUND(Source!AY197,O205)</f>
        <v>185844</v>
      </c>
      <c r="G205" s="5" t="s">
        <v>68</v>
      </c>
      <c r="H205" s="5" t="s">
        <v>69</v>
      </c>
      <c r="I205" s="5"/>
      <c r="J205" s="5"/>
      <c r="K205" s="5">
        <v>228</v>
      </c>
      <c r="L205" s="5">
        <v>7</v>
      </c>
      <c r="M205" s="5">
        <v>3</v>
      </c>
      <c r="N205" s="5" t="s">
        <v>3</v>
      </c>
      <c r="O205" s="5">
        <v>0</v>
      </c>
      <c r="P205" s="5">
        <f>ROUND(Source!EQ197,O205)</f>
        <v>989058</v>
      </c>
      <c r="Q205" s="5"/>
      <c r="R205" s="5"/>
      <c r="S205" s="5"/>
      <c r="T205" s="5"/>
      <c r="U205" s="5"/>
      <c r="V205" s="5"/>
      <c r="W205" s="5">
        <v>185844</v>
      </c>
      <c r="X205" s="5">
        <v>1</v>
      </c>
      <c r="Y205" s="5">
        <v>185844</v>
      </c>
      <c r="Z205" s="5">
        <v>989058</v>
      </c>
      <c r="AA205" s="5">
        <v>1</v>
      </c>
      <c r="AB205" s="5">
        <v>989058</v>
      </c>
    </row>
    <row r="206" spans="1:28" ht="12.75">
      <c r="A206" s="5">
        <v>50</v>
      </c>
      <c r="B206" s="5">
        <v>0</v>
      </c>
      <c r="C206" s="5">
        <v>0</v>
      </c>
      <c r="D206" s="5">
        <v>1</v>
      </c>
      <c r="E206" s="5">
        <v>216</v>
      </c>
      <c r="F206" s="5">
        <f>ROUND(Source!AP197,O206)</f>
        <v>0</v>
      </c>
      <c r="G206" s="5" t="s">
        <v>70</v>
      </c>
      <c r="H206" s="5" t="s">
        <v>71</v>
      </c>
      <c r="I206" s="5"/>
      <c r="J206" s="5"/>
      <c r="K206" s="5">
        <v>216</v>
      </c>
      <c r="L206" s="5">
        <v>8</v>
      </c>
      <c r="M206" s="5">
        <v>3</v>
      </c>
      <c r="N206" s="5" t="s">
        <v>3</v>
      </c>
      <c r="O206" s="5">
        <v>0</v>
      </c>
      <c r="P206" s="5">
        <f>ROUND(Source!EH197,O206)</f>
        <v>0</v>
      </c>
      <c r="Q206" s="5"/>
      <c r="R206" s="5"/>
      <c r="S206" s="5"/>
      <c r="T206" s="5"/>
      <c r="U206" s="5"/>
      <c r="V206" s="5"/>
      <c r="W206" s="5">
        <v>0</v>
      </c>
      <c r="X206" s="5">
        <v>1</v>
      </c>
      <c r="Y206" s="5">
        <v>0</v>
      </c>
      <c r="Z206" s="5">
        <v>0</v>
      </c>
      <c r="AA206" s="5">
        <v>1</v>
      </c>
      <c r="AB206" s="5">
        <v>0</v>
      </c>
    </row>
    <row r="207" spans="1:28" ht="12.75">
      <c r="A207" s="5">
        <v>50</v>
      </c>
      <c r="B207" s="5">
        <v>0</v>
      </c>
      <c r="C207" s="5">
        <v>0</v>
      </c>
      <c r="D207" s="5">
        <v>1</v>
      </c>
      <c r="E207" s="5">
        <v>223</v>
      </c>
      <c r="F207" s="5">
        <f>ROUND(Source!AQ197,O207)</f>
        <v>0</v>
      </c>
      <c r="G207" s="5" t="s">
        <v>72</v>
      </c>
      <c r="H207" s="5" t="s">
        <v>73</v>
      </c>
      <c r="I207" s="5"/>
      <c r="J207" s="5"/>
      <c r="K207" s="5">
        <v>223</v>
      </c>
      <c r="L207" s="5">
        <v>9</v>
      </c>
      <c r="M207" s="5">
        <v>3</v>
      </c>
      <c r="N207" s="5" t="s">
        <v>3</v>
      </c>
      <c r="O207" s="5">
        <v>0</v>
      </c>
      <c r="P207" s="5">
        <f>ROUND(Source!EI197,O207)</f>
        <v>0</v>
      </c>
      <c r="Q207" s="5"/>
      <c r="R207" s="5"/>
      <c r="S207" s="5"/>
      <c r="T207" s="5"/>
      <c r="U207" s="5"/>
      <c r="V207" s="5"/>
      <c r="W207" s="5">
        <v>0</v>
      </c>
      <c r="X207" s="5">
        <v>1</v>
      </c>
      <c r="Y207" s="5">
        <v>0</v>
      </c>
      <c r="Z207" s="5">
        <v>0</v>
      </c>
      <c r="AA207" s="5">
        <v>1</v>
      </c>
      <c r="AB207" s="5">
        <v>0</v>
      </c>
    </row>
    <row r="208" spans="1:28" ht="12.75">
      <c r="A208" s="5">
        <v>50</v>
      </c>
      <c r="B208" s="5">
        <v>0</v>
      </c>
      <c r="C208" s="5">
        <v>0</v>
      </c>
      <c r="D208" s="5">
        <v>1</v>
      </c>
      <c r="E208" s="5">
        <v>229</v>
      </c>
      <c r="F208" s="5">
        <f>ROUND(Source!AZ197,O208)</f>
        <v>0</v>
      </c>
      <c r="G208" s="5" t="s">
        <v>74</v>
      </c>
      <c r="H208" s="5" t="s">
        <v>75</v>
      </c>
      <c r="I208" s="5"/>
      <c r="J208" s="5"/>
      <c r="K208" s="5">
        <v>229</v>
      </c>
      <c r="L208" s="5">
        <v>10</v>
      </c>
      <c r="M208" s="5">
        <v>3</v>
      </c>
      <c r="N208" s="5" t="s">
        <v>3</v>
      </c>
      <c r="O208" s="5">
        <v>0</v>
      </c>
      <c r="P208" s="5">
        <f>ROUND(Source!ER197,O208)</f>
        <v>0</v>
      </c>
      <c r="Q208" s="5"/>
      <c r="R208" s="5"/>
      <c r="S208" s="5"/>
      <c r="T208" s="5"/>
      <c r="U208" s="5"/>
      <c r="V208" s="5"/>
      <c r="W208" s="5">
        <v>0</v>
      </c>
      <c r="X208" s="5">
        <v>1</v>
      </c>
      <c r="Y208" s="5">
        <v>0</v>
      </c>
      <c r="Z208" s="5">
        <v>0</v>
      </c>
      <c r="AA208" s="5">
        <v>1</v>
      </c>
      <c r="AB208" s="5">
        <v>0</v>
      </c>
    </row>
    <row r="209" spans="1:28" ht="12.75">
      <c r="A209" s="5">
        <v>50</v>
      </c>
      <c r="B209" s="5">
        <v>0</v>
      </c>
      <c r="C209" s="5">
        <v>0</v>
      </c>
      <c r="D209" s="5">
        <v>1</v>
      </c>
      <c r="E209" s="5">
        <v>203</v>
      </c>
      <c r="F209" s="5">
        <f>ROUND(Source!Q197,O209)</f>
        <v>5556</v>
      </c>
      <c r="G209" s="5" t="s">
        <v>76</v>
      </c>
      <c r="H209" s="5" t="s">
        <v>77</v>
      </c>
      <c r="I209" s="5"/>
      <c r="J209" s="5"/>
      <c r="K209" s="5">
        <v>203</v>
      </c>
      <c r="L209" s="5">
        <v>11</v>
      </c>
      <c r="M209" s="5">
        <v>3</v>
      </c>
      <c r="N209" s="5" t="s">
        <v>3</v>
      </c>
      <c r="O209" s="5">
        <v>0</v>
      </c>
      <c r="P209" s="5">
        <f>ROUND(Source!DI197,O209)</f>
        <v>47592</v>
      </c>
      <c r="Q209" s="5"/>
      <c r="R209" s="5"/>
      <c r="S209" s="5"/>
      <c r="T209" s="5"/>
      <c r="U209" s="5"/>
      <c r="V209" s="5"/>
      <c r="W209" s="5">
        <v>5556</v>
      </c>
      <c r="X209" s="5">
        <v>1</v>
      </c>
      <c r="Y209" s="5">
        <v>5556</v>
      </c>
      <c r="Z209" s="5">
        <v>47592</v>
      </c>
      <c r="AA209" s="5">
        <v>1</v>
      </c>
      <c r="AB209" s="5">
        <v>47592</v>
      </c>
    </row>
    <row r="210" spans="1:28" ht="12.75">
      <c r="A210" s="5">
        <v>50</v>
      </c>
      <c r="B210" s="5">
        <v>0</v>
      </c>
      <c r="C210" s="5">
        <v>0</v>
      </c>
      <c r="D210" s="5">
        <v>1</v>
      </c>
      <c r="E210" s="5">
        <v>231</v>
      </c>
      <c r="F210" s="5">
        <f>ROUND(Source!BB197,O210)</f>
        <v>0</v>
      </c>
      <c r="G210" s="5" t="s">
        <v>78</v>
      </c>
      <c r="H210" s="5" t="s">
        <v>79</v>
      </c>
      <c r="I210" s="5"/>
      <c r="J210" s="5"/>
      <c r="K210" s="5">
        <v>231</v>
      </c>
      <c r="L210" s="5">
        <v>12</v>
      </c>
      <c r="M210" s="5">
        <v>3</v>
      </c>
      <c r="N210" s="5" t="s">
        <v>3</v>
      </c>
      <c r="O210" s="5">
        <v>0</v>
      </c>
      <c r="P210" s="5">
        <f>ROUND(Source!ET197,O210)</f>
        <v>0</v>
      </c>
      <c r="Q210" s="5"/>
      <c r="R210" s="5"/>
      <c r="S210" s="5"/>
      <c r="T210" s="5"/>
      <c r="U210" s="5"/>
      <c r="V210" s="5"/>
      <c r="W210" s="5">
        <v>0</v>
      </c>
      <c r="X210" s="5">
        <v>1</v>
      </c>
      <c r="Y210" s="5">
        <v>0</v>
      </c>
      <c r="Z210" s="5">
        <v>0</v>
      </c>
      <c r="AA210" s="5">
        <v>1</v>
      </c>
      <c r="AB210" s="5">
        <v>0</v>
      </c>
    </row>
    <row r="211" spans="1:28" ht="12.75">
      <c r="A211" s="5">
        <v>50</v>
      </c>
      <c r="B211" s="5">
        <v>0</v>
      </c>
      <c r="C211" s="5">
        <v>0</v>
      </c>
      <c r="D211" s="5">
        <v>1</v>
      </c>
      <c r="E211" s="5">
        <v>204</v>
      </c>
      <c r="F211" s="5">
        <f>ROUND(Source!R197,O211)</f>
        <v>606</v>
      </c>
      <c r="G211" s="5" t="s">
        <v>80</v>
      </c>
      <c r="H211" s="5" t="s">
        <v>81</v>
      </c>
      <c r="I211" s="5"/>
      <c r="J211" s="5"/>
      <c r="K211" s="5">
        <v>204</v>
      </c>
      <c r="L211" s="5">
        <v>13</v>
      </c>
      <c r="M211" s="5">
        <v>3</v>
      </c>
      <c r="N211" s="5" t="s">
        <v>3</v>
      </c>
      <c r="O211" s="5">
        <v>0</v>
      </c>
      <c r="P211" s="5">
        <f>ROUND(Source!DJ197,O211)</f>
        <v>21870</v>
      </c>
      <c r="Q211" s="5"/>
      <c r="R211" s="5"/>
      <c r="S211" s="5"/>
      <c r="T211" s="5"/>
      <c r="U211" s="5"/>
      <c r="V211" s="5"/>
      <c r="W211" s="5">
        <v>606</v>
      </c>
      <c r="X211" s="5">
        <v>1</v>
      </c>
      <c r="Y211" s="5">
        <v>606</v>
      </c>
      <c r="Z211" s="5">
        <v>21870</v>
      </c>
      <c r="AA211" s="5">
        <v>1</v>
      </c>
      <c r="AB211" s="5">
        <v>21870</v>
      </c>
    </row>
    <row r="212" spans="1:28" ht="12.75">
      <c r="A212" s="5">
        <v>50</v>
      </c>
      <c r="B212" s="5">
        <v>0</v>
      </c>
      <c r="C212" s="5">
        <v>0</v>
      </c>
      <c r="D212" s="5">
        <v>1</v>
      </c>
      <c r="E212" s="5">
        <v>205</v>
      </c>
      <c r="F212" s="5">
        <f>ROUND(Source!S197,O212)</f>
        <v>14370</v>
      </c>
      <c r="G212" s="5" t="s">
        <v>82</v>
      </c>
      <c r="H212" s="5" t="s">
        <v>83</v>
      </c>
      <c r="I212" s="5"/>
      <c r="J212" s="5"/>
      <c r="K212" s="5">
        <v>205</v>
      </c>
      <c r="L212" s="5">
        <v>14</v>
      </c>
      <c r="M212" s="5">
        <v>3</v>
      </c>
      <c r="N212" s="5" t="s">
        <v>3</v>
      </c>
      <c r="O212" s="5">
        <v>0</v>
      </c>
      <c r="P212" s="5">
        <f>ROUND(Source!DK197,O212)</f>
        <v>517754</v>
      </c>
      <c r="Q212" s="5"/>
      <c r="R212" s="5"/>
      <c r="S212" s="5"/>
      <c r="T212" s="5"/>
      <c r="U212" s="5"/>
      <c r="V212" s="5"/>
      <c r="W212" s="5">
        <v>14370</v>
      </c>
      <c r="X212" s="5">
        <v>1</v>
      </c>
      <c r="Y212" s="5">
        <v>14370</v>
      </c>
      <c r="Z212" s="5">
        <v>517754</v>
      </c>
      <c r="AA212" s="5">
        <v>1</v>
      </c>
      <c r="AB212" s="5">
        <v>517754</v>
      </c>
    </row>
    <row r="213" spans="1:28" ht="12.75">
      <c r="A213" s="5">
        <v>50</v>
      </c>
      <c r="B213" s="5">
        <v>0</v>
      </c>
      <c r="C213" s="5">
        <v>0</v>
      </c>
      <c r="D213" s="5">
        <v>1</v>
      </c>
      <c r="E213" s="5">
        <v>232</v>
      </c>
      <c r="F213" s="5">
        <f>ROUND(Source!BC197,O213)</f>
        <v>0</v>
      </c>
      <c r="G213" s="5" t="s">
        <v>84</v>
      </c>
      <c r="H213" s="5" t="s">
        <v>85</v>
      </c>
      <c r="I213" s="5"/>
      <c r="J213" s="5"/>
      <c r="K213" s="5">
        <v>232</v>
      </c>
      <c r="L213" s="5">
        <v>15</v>
      </c>
      <c r="M213" s="5">
        <v>3</v>
      </c>
      <c r="N213" s="5" t="s">
        <v>3</v>
      </c>
      <c r="O213" s="5">
        <v>0</v>
      </c>
      <c r="P213" s="5">
        <f>ROUND(Source!EU197,O213)</f>
        <v>0</v>
      </c>
      <c r="Q213" s="5"/>
      <c r="R213" s="5"/>
      <c r="S213" s="5"/>
      <c r="T213" s="5"/>
      <c r="U213" s="5"/>
      <c r="V213" s="5"/>
      <c r="W213" s="5">
        <v>0</v>
      </c>
      <c r="X213" s="5">
        <v>1</v>
      </c>
      <c r="Y213" s="5">
        <v>0</v>
      </c>
      <c r="Z213" s="5">
        <v>0</v>
      </c>
      <c r="AA213" s="5">
        <v>1</v>
      </c>
      <c r="AB213" s="5">
        <v>0</v>
      </c>
    </row>
    <row r="214" spans="1:28" ht="12.75">
      <c r="A214" s="5">
        <v>50</v>
      </c>
      <c r="B214" s="5">
        <v>0</v>
      </c>
      <c r="C214" s="5">
        <v>0</v>
      </c>
      <c r="D214" s="5">
        <v>1</v>
      </c>
      <c r="E214" s="5">
        <v>214</v>
      </c>
      <c r="F214" s="5">
        <f>ROUND(Source!AS197,O214)</f>
        <v>234654</v>
      </c>
      <c r="G214" s="5" t="s">
        <v>86</v>
      </c>
      <c r="H214" s="5" t="s">
        <v>87</v>
      </c>
      <c r="I214" s="5"/>
      <c r="J214" s="5"/>
      <c r="K214" s="5">
        <v>214</v>
      </c>
      <c r="L214" s="5">
        <v>16</v>
      </c>
      <c r="M214" s="5">
        <v>3</v>
      </c>
      <c r="N214" s="5" t="s">
        <v>3</v>
      </c>
      <c r="O214" s="5">
        <v>0</v>
      </c>
      <c r="P214" s="5">
        <f>ROUND(Source!EK197,O214)</f>
        <v>2496116</v>
      </c>
      <c r="Q214" s="5"/>
      <c r="R214" s="5"/>
      <c r="S214" s="5"/>
      <c r="T214" s="5"/>
      <c r="U214" s="5"/>
      <c r="V214" s="5"/>
      <c r="W214" s="5">
        <v>234654</v>
      </c>
      <c r="X214" s="5">
        <v>1</v>
      </c>
      <c r="Y214" s="5">
        <v>234654</v>
      </c>
      <c r="Z214" s="5">
        <v>2496116</v>
      </c>
      <c r="AA214" s="5">
        <v>1</v>
      </c>
      <c r="AB214" s="5">
        <v>2496116</v>
      </c>
    </row>
    <row r="215" spans="1:28" ht="12.75">
      <c r="A215" s="5">
        <v>50</v>
      </c>
      <c r="B215" s="5">
        <v>0</v>
      </c>
      <c r="C215" s="5">
        <v>0</v>
      </c>
      <c r="D215" s="5">
        <v>1</v>
      </c>
      <c r="E215" s="5">
        <v>215</v>
      </c>
      <c r="F215" s="5">
        <f>ROUND(Source!AT197,O215)</f>
        <v>0</v>
      </c>
      <c r="G215" s="5" t="s">
        <v>88</v>
      </c>
      <c r="H215" s="5" t="s">
        <v>89</v>
      </c>
      <c r="I215" s="5"/>
      <c r="J215" s="5"/>
      <c r="K215" s="5">
        <v>215</v>
      </c>
      <c r="L215" s="5">
        <v>17</v>
      </c>
      <c r="M215" s="5">
        <v>3</v>
      </c>
      <c r="N215" s="5" t="s">
        <v>3</v>
      </c>
      <c r="O215" s="5">
        <v>0</v>
      </c>
      <c r="P215" s="5">
        <f>ROUND(Source!EL197,O215)</f>
        <v>0</v>
      </c>
      <c r="Q215" s="5"/>
      <c r="R215" s="5"/>
      <c r="S215" s="5"/>
      <c r="T215" s="5"/>
      <c r="U215" s="5"/>
      <c r="V215" s="5"/>
      <c r="W215" s="5">
        <v>0</v>
      </c>
      <c r="X215" s="5">
        <v>1</v>
      </c>
      <c r="Y215" s="5">
        <v>0</v>
      </c>
      <c r="Z215" s="5">
        <v>0</v>
      </c>
      <c r="AA215" s="5">
        <v>1</v>
      </c>
      <c r="AB215" s="5">
        <v>0</v>
      </c>
    </row>
    <row r="216" spans="1:28" ht="12.75">
      <c r="A216" s="5">
        <v>50</v>
      </c>
      <c r="B216" s="5">
        <v>0</v>
      </c>
      <c r="C216" s="5">
        <v>0</v>
      </c>
      <c r="D216" s="5">
        <v>1</v>
      </c>
      <c r="E216" s="5">
        <v>217</v>
      </c>
      <c r="F216" s="5">
        <f>ROUND(Source!AU197,O216)</f>
        <v>0</v>
      </c>
      <c r="G216" s="5" t="s">
        <v>90</v>
      </c>
      <c r="H216" s="5" t="s">
        <v>91</v>
      </c>
      <c r="I216" s="5"/>
      <c r="J216" s="5"/>
      <c r="K216" s="5">
        <v>217</v>
      </c>
      <c r="L216" s="5">
        <v>18</v>
      </c>
      <c r="M216" s="5">
        <v>3</v>
      </c>
      <c r="N216" s="5" t="s">
        <v>3</v>
      </c>
      <c r="O216" s="5">
        <v>0</v>
      </c>
      <c r="P216" s="5">
        <f>ROUND(Source!EM197,O216)</f>
        <v>0</v>
      </c>
      <c r="Q216" s="5"/>
      <c r="R216" s="5"/>
      <c r="S216" s="5"/>
      <c r="T216" s="5"/>
      <c r="U216" s="5"/>
      <c r="V216" s="5"/>
      <c r="W216" s="5">
        <v>0</v>
      </c>
      <c r="X216" s="5">
        <v>1</v>
      </c>
      <c r="Y216" s="5">
        <v>0</v>
      </c>
      <c r="Z216" s="5">
        <v>0</v>
      </c>
      <c r="AA216" s="5">
        <v>1</v>
      </c>
      <c r="AB216" s="5">
        <v>0</v>
      </c>
    </row>
    <row r="217" spans="1:28" ht="12.75">
      <c r="A217" s="5">
        <v>50</v>
      </c>
      <c r="B217" s="5">
        <v>0</v>
      </c>
      <c r="C217" s="5">
        <v>0</v>
      </c>
      <c r="D217" s="5">
        <v>1</v>
      </c>
      <c r="E217" s="5">
        <v>230</v>
      </c>
      <c r="F217" s="5">
        <f>ROUND(Source!BA197,O217)</f>
        <v>0</v>
      </c>
      <c r="G217" s="5" t="s">
        <v>92</v>
      </c>
      <c r="H217" s="5" t="s">
        <v>93</v>
      </c>
      <c r="I217" s="5"/>
      <c r="J217" s="5"/>
      <c r="K217" s="5">
        <v>230</v>
      </c>
      <c r="L217" s="5">
        <v>19</v>
      </c>
      <c r="M217" s="5">
        <v>3</v>
      </c>
      <c r="N217" s="5" t="s">
        <v>3</v>
      </c>
      <c r="O217" s="5">
        <v>0</v>
      </c>
      <c r="P217" s="5">
        <f>ROUND(Source!ES197,O217)</f>
        <v>0</v>
      </c>
      <c r="Q217" s="5"/>
      <c r="R217" s="5"/>
      <c r="S217" s="5"/>
      <c r="T217" s="5"/>
      <c r="U217" s="5"/>
      <c r="V217" s="5"/>
      <c r="W217" s="5">
        <v>0</v>
      </c>
      <c r="X217" s="5">
        <v>1</v>
      </c>
      <c r="Y217" s="5">
        <v>0</v>
      </c>
      <c r="Z217" s="5">
        <v>0</v>
      </c>
      <c r="AA217" s="5">
        <v>1</v>
      </c>
      <c r="AB217" s="5">
        <v>0</v>
      </c>
    </row>
    <row r="218" spans="1:28" ht="12.75">
      <c r="A218" s="5">
        <v>50</v>
      </c>
      <c r="B218" s="5">
        <v>0</v>
      </c>
      <c r="C218" s="5">
        <v>0</v>
      </c>
      <c r="D218" s="5">
        <v>1</v>
      </c>
      <c r="E218" s="5">
        <v>206</v>
      </c>
      <c r="F218" s="5">
        <f>ROUND(Source!T197,O218)</f>
        <v>0</v>
      </c>
      <c r="G218" s="5" t="s">
        <v>94</v>
      </c>
      <c r="H218" s="5" t="s">
        <v>95</v>
      </c>
      <c r="I218" s="5"/>
      <c r="J218" s="5"/>
      <c r="K218" s="5">
        <v>206</v>
      </c>
      <c r="L218" s="5">
        <v>20</v>
      </c>
      <c r="M218" s="5">
        <v>3</v>
      </c>
      <c r="N218" s="5" t="s">
        <v>3</v>
      </c>
      <c r="O218" s="5">
        <v>0</v>
      </c>
      <c r="P218" s="5">
        <f>ROUND(Source!DL197,O218)</f>
        <v>0</v>
      </c>
      <c r="Q218" s="5"/>
      <c r="R218" s="5"/>
      <c r="S218" s="5"/>
      <c r="T218" s="5"/>
      <c r="U218" s="5"/>
      <c r="V218" s="5"/>
      <c r="W218" s="5">
        <v>0</v>
      </c>
      <c r="X218" s="5">
        <v>1</v>
      </c>
      <c r="Y218" s="5">
        <v>0</v>
      </c>
      <c r="Z218" s="5">
        <v>0</v>
      </c>
      <c r="AA218" s="5">
        <v>1</v>
      </c>
      <c r="AB218" s="5">
        <v>0</v>
      </c>
    </row>
    <row r="219" spans="1:28" ht="12.75">
      <c r="A219" s="5">
        <v>50</v>
      </c>
      <c r="B219" s="5">
        <v>0</v>
      </c>
      <c r="C219" s="5">
        <v>0</v>
      </c>
      <c r="D219" s="5">
        <v>1</v>
      </c>
      <c r="E219" s="5">
        <v>207</v>
      </c>
      <c r="F219" s="5">
        <f>Source!U197</f>
        <v>1694.79254</v>
      </c>
      <c r="G219" s="5" t="s">
        <v>96</v>
      </c>
      <c r="H219" s="5" t="s">
        <v>97</v>
      </c>
      <c r="I219" s="5"/>
      <c r="J219" s="5"/>
      <c r="K219" s="5">
        <v>207</v>
      </c>
      <c r="L219" s="5">
        <v>21</v>
      </c>
      <c r="M219" s="5">
        <v>3</v>
      </c>
      <c r="N219" s="5" t="s">
        <v>3</v>
      </c>
      <c r="O219" s="5">
        <v>-1</v>
      </c>
      <c r="P219" s="5">
        <f>Source!DM197</f>
        <v>1694.79254</v>
      </c>
      <c r="Q219" s="5"/>
      <c r="R219" s="5"/>
      <c r="S219" s="5"/>
      <c r="T219" s="5"/>
      <c r="U219" s="5"/>
      <c r="V219" s="5"/>
      <c r="W219" s="5">
        <v>1694.79254</v>
      </c>
      <c r="X219" s="5">
        <v>1</v>
      </c>
      <c r="Y219" s="5">
        <v>1694.79254</v>
      </c>
      <c r="Z219" s="5">
        <v>1694.79254</v>
      </c>
      <c r="AA219" s="5">
        <v>1</v>
      </c>
      <c r="AB219" s="5">
        <v>1694.79254</v>
      </c>
    </row>
    <row r="220" spans="1:28" ht="12.75">
      <c r="A220" s="5">
        <v>50</v>
      </c>
      <c r="B220" s="5">
        <v>0</v>
      </c>
      <c r="C220" s="5">
        <v>0</v>
      </c>
      <c r="D220" s="5">
        <v>1</v>
      </c>
      <c r="E220" s="5">
        <v>208</v>
      </c>
      <c r="F220" s="5">
        <f>Source!V197</f>
        <v>50.097474999999996</v>
      </c>
      <c r="G220" s="5" t="s">
        <v>98</v>
      </c>
      <c r="H220" s="5" t="s">
        <v>99</v>
      </c>
      <c r="I220" s="5"/>
      <c r="J220" s="5"/>
      <c r="K220" s="5">
        <v>208</v>
      </c>
      <c r="L220" s="5">
        <v>22</v>
      </c>
      <c r="M220" s="5">
        <v>3</v>
      </c>
      <c r="N220" s="5" t="s">
        <v>3</v>
      </c>
      <c r="O220" s="5">
        <v>-1</v>
      </c>
      <c r="P220" s="5">
        <f>Source!DN197</f>
        <v>50.097474999999996</v>
      </c>
      <c r="Q220" s="5"/>
      <c r="R220" s="5"/>
      <c r="S220" s="5"/>
      <c r="T220" s="5"/>
      <c r="U220" s="5"/>
      <c r="V220" s="5"/>
      <c r="W220" s="5">
        <v>50.097475</v>
      </c>
      <c r="X220" s="5">
        <v>1</v>
      </c>
      <c r="Y220" s="5">
        <v>50.097475</v>
      </c>
      <c r="Z220" s="5">
        <v>50.097475</v>
      </c>
      <c r="AA220" s="5">
        <v>1</v>
      </c>
      <c r="AB220" s="5">
        <v>50.097475</v>
      </c>
    </row>
    <row r="221" spans="1:28" ht="12.75">
      <c r="A221" s="5">
        <v>50</v>
      </c>
      <c r="B221" s="5">
        <v>0</v>
      </c>
      <c r="C221" s="5">
        <v>0</v>
      </c>
      <c r="D221" s="5">
        <v>1</v>
      </c>
      <c r="E221" s="5">
        <v>209</v>
      </c>
      <c r="F221" s="5">
        <f>ROUND(Source!W197,O221)</f>
        <v>0</v>
      </c>
      <c r="G221" s="5" t="s">
        <v>100</v>
      </c>
      <c r="H221" s="5" t="s">
        <v>101</v>
      </c>
      <c r="I221" s="5"/>
      <c r="J221" s="5"/>
      <c r="K221" s="5">
        <v>209</v>
      </c>
      <c r="L221" s="5">
        <v>23</v>
      </c>
      <c r="M221" s="5">
        <v>3</v>
      </c>
      <c r="N221" s="5" t="s">
        <v>3</v>
      </c>
      <c r="O221" s="5">
        <v>0</v>
      </c>
      <c r="P221" s="5">
        <f>ROUND(Source!DO197,O221)</f>
        <v>0</v>
      </c>
      <c r="Q221" s="5"/>
      <c r="R221" s="5"/>
      <c r="S221" s="5"/>
      <c r="T221" s="5"/>
      <c r="U221" s="5"/>
      <c r="V221" s="5"/>
      <c r="W221" s="5">
        <v>0</v>
      </c>
      <c r="X221" s="5">
        <v>1</v>
      </c>
      <c r="Y221" s="5">
        <v>0</v>
      </c>
      <c r="Z221" s="5">
        <v>0</v>
      </c>
      <c r="AA221" s="5">
        <v>1</v>
      </c>
      <c r="AB221" s="5">
        <v>0</v>
      </c>
    </row>
    <row r="222" spans="1:28" ht="12.75">
      <c r="A222" s="5">
        <v>50</v>
      </c>
      <c r="B222" s="5">
        <v>0</v>
      </c>
      <c r="C222" s="5">
        <v>0</v>
      </c>
      <c r="D222" s="5">
        <v>1</v>
      </c>
      <c r="E222" s="5">
        <v>233</v>
      </c>
      <c r="F222" s="5">
        <f>ROUND(Source!BD197,O222)</f>
        <v>4066</v>
      </c>
      <c r="G222" s="5" t="s">
        <v>102</v>
      </c>
      <c r="H222" s="5" t="s">
        <v>103</v>
      </c>
      <c r="I222" s="5"/>
      <c r="J222" s="5"/>
      <c r="K222" s="5">
        <v>233</v>
      </c>
      <c r="L222" s="5">
        <v>24</v>
      </c>
      <c r="M222" s="5">
        <v>3</v>
      </c>
      <c r="N222" s="5" t="s">
        <v>3</v>
      </c>
      <c r="O222" s="5">
        <v>0</v>
      </c>
      <c r="P222" s="5">
        <f>ROUND(Source!EV197,O222)</f>
        <v>47334</v>
      </c>
      <c r="Q222" s="5"/>
      <c r="R222" s="5"/>
      <c r="S222" s="5"/>
      <c r="T222" s="5"/>
      <c r="U222" s="5"/>
      <c r="V222" s="5"/>
      <c r="W222" s="5">
        <v>4066</v>
      </c>
      <c r="X222" s="5">
        <v>1</v>
      </c>
      <c r="Y222" s="5">
        <v>4066</v>
      </c>
      <c r="Z222" s="5">
        <v>47334</v>
      </c>
      <c r="AA222" s="5">
        <v>1</v>
      </c>
      <c r="AB222" s="5">
        <v>47334</v>
      </c>
    </row>
    <row r="223" spans="1:28" ht="12.75">
      <c r="A223" s="5">
        <v>50</v>
      </c>
      <c r="B223" s="5">
        <v>0</v>
      </c>
      <c r="C223" s="5">
        <v>0</v>
      </c>
      <c r="D223" s="5">
        <v>1</v>
      </c>
      <c r="E223" s="5">
        <v>210</v>
      </c>
      <c r="F223" s="5">
        <f>ROUND(Source!X197,O223)</f>
        <v>16101</v>
      </c>
      <c r="G223" s="5" t="s">
        <v>104</v>
      </c>
      <c r="H223" s="5" t="s">
        <v>105</v>
      </c>
      <c r="I223" s="5"/>
      <c r="J223" s="5"/>
      <c r="K223" s="5">
        <v>210</v>
      </c>
      <c r="L223" s="5">
        <v>25</v>
      </c>
      <c r="M223" s="5">
        <v>3</v>
      </c>
      <c r="N223" s="5" t="s">
        <v>3</v>
      </c>
      <c r="O223" s="5">
        <v>0</v>
      </c>
      <c r="P223" s="5">
        <f>ROUND(Source!DP197,O223)</f>
        <v>580263</v>
      </c>
      <c r="Q223" s="5"/>
      <c r="R223" s="5"/>
      <c r="S223" s="5"/>
      <c r="T223" s="5"/>
      <c r="U223" s="5"/>
      <c r="V223" s="5"/>
      <c r="W223" s="5">
        <v>16101</v>
      </c>
      <c r="X223" s="5">
        <v>1</v>
      </c>
      <c r="Y223" s="5">
        <v>16101</v>
      </c>
      <c r="Z223" s="5">
        <v>580263</v>
      </c>
      <c r="AA223" s="5">
        <v>1</v>
      </c>
      <c r="AB223" s="5">
        <v>580263</v>
      </c>
    </row>
    <row r="224" spans="1:28" ht="12.75">
      <c r="A224" s="5">
        <v>50</v>
      </c>
      <c r="B224" s="5">
        <v>0</v>
      </c>
      <c r="C224" s="5">
        <v>0</v>
      </c>
      <c r="D224" s="5">
        <v>1</v>
      </c>
      <c r="E224" s="5">
        <v>211</v>
      </c>
      <c r="F224" s="5">
        <f>ROUND(Source!Y197,O224)</f>
        <v>8717</v>
      </c>
      <c r="G224" s="5" t="s">
        <v>106</v>
      </c>
      <c r="H224" s="5" t="s">
        <v>107</v>
      </c>
      <c r="I224" s="5"/>
      <c r="J224" s="5"/>
      <c r="K224" s="5">
        <v>211</v>
      </c>
      <c r="L224" s="5">
        <v>26</v>
      </c>
      <c r="M224" s="5">
        <v>3</v>
      </c>
      <c r="N224" s="5" t="s">
        <v>3</v>
      </c>
      <c r="O224" s="5">
        <v>0</v>
      </c>
      <c r="P224" s="5">
        <f>ROUND(Source!DQ197,O224)</f>
        <v>314115</v>
      </c>
      <c r="Q224" s="5"/>
      <c r="R224" s="5"/>
      <c r="S224" s="5"/>
      <c r="T224" s="5"/>
      <c r="U224" s="5"/>
      <c r="V224" s="5"/>
      <c r="W224" s="5">
        <v>8717</v>
      </c>
      <c r="X224" s="5">
        <v>1</v>
      </c>
      <c r="Y224" s="5">
        <v>8717</v>
      </c>
      <c r="Z224" s="5">
        <v>314115</v>
      </c>
      <c r="AA224" s="5">
        <v>1</v>
      </c>
      <c r="AB224" s="5">
        <v>314115</v>
      </c>
    </row>
    <row r="225" spans="1:28" ht="12.75">
      <c r="A225" s="5">
        <v>50</v>
      </c>
      <c r="B225" s="5">
        <v>0</v>
      </c>
      <c r="C225" s="5">
        <v>0</v>
      </c>
      <c r="D225" s="5">
        <v>1</v>
      </c>
      <c r="E225" s="5">
        <v>224</v>
      </c>
      <c r="F225" s="5">
        <f>ROUND(Source!AR197,O225)</f>
        <v>234654</v>
      </c>
      <c r="G225" s="5" t="s">
        <v>108</v>
      </c>
      <c r="H225" s="5" t="s">
        <v>109</v>
      </c>
      <c r="I225" s="5"/>
      <c r="J225" s="5"/>
      <c r="K225" s="5">
        <v>224</v>
      </c>
      <c r="L225" s="5">
        <v>27</v>
      </c>
      <c r="M225" s="5">
        <v>3</v>
      </c>
      <c r="N225" s="5" t="s">
        <v>3</v>
      </c>
      <c r="O225" s="5">
        <v>0</v>
      </c>
      <c r="P225" s="5">
        <f>ROUND(Source!EJ197,O225)</f>
        <v>2496116</v>
      </c>
      <c r="Q225" s="5"/>
      <c r="R225" s="5"/>
      <c r="S225" s="5"/>
      <c r="T225" s="5"/>
      <c r="U225" s="5"/>
      <c r="V225" s="5"/>
      <c r="W225" s="5">
        <v>234654</v>
      </c>
      <c r="X225" s="5">
        <v>1</v>
      </c>
      <c r="Y225" s="5">
        <v>234654</v>
      </c>
      <c r="Z225" s="5">
        <v>2496116</v>
      </c>
      <c r="AA225" s="5">
        <v>1</v>
      </c>
      <c r="AB225" s="5">
        <v>2496116</v>
      </c>
    </row>
    <row r="227" spans="1:206" ht="12.75">
      <c r="A227" s="3">
        <v>51</v>
      </c>
      <c r="B227" s="3">
        <f>B12</f>
        <v>285</v>
      </c>
      <c r="C227" s="3">
        <f>A12</f>
        <v>1</v>
      </c>
      <c r="D227" s="3">
        <f>ROW(A12)</f>
        <v>12</v>
      </c>
      <c r="E227" s="3"/>
      <c r="F227" s="3">
        <f>IF(F12&lt;&gt;"",F12,"")</f>
      </c>
      <c r="G227" s="3" t="str">
        <f>IF(G12&lt;&gt;"",G12,"")</f>
        <v>Выполнение работ по текущему ремонту кровли строения 2 (КОН)_3 млн</v>
      </c>
      <c r="H227" s="3">
        <v>0</v>
      </c>
      <c r="I227" s="3"/>
      <c r="J227" s="3"/>
      <c r="K227" s="3"/>
      <c r="L227" s="3"/>
      <c r="M227" s="3"/>
      <c r="N227" s="3"/>
      <c r="O227" s="3">
        <f aca="true" t="shared" si="171" ref="O227:T227">ROUND(O197,0)</f>
        <v>205770</v>
      </c>
      <c r="P227" s="3">
        <f t="shared" si="171"/>
        <v>185844</v>
      </c>
      <c r="Q227" s="3">
        <f t="shared" si="171"/>
        <v>5556</v>
      </c>
      <c r="R227" s="3">
        <f t="shared" si="171"/>
        <v>606</v>
      </c>
      <c r="S227" s="3">
        <f t="shared" si="171"/>
        <v>14370</v>
      </c>
      <c r="T227" s="3">
        <f t="shared" si="171"/>
        <v>0</v>
      </c>
      <c r="U227" s="3">
        <f>U197</f>
        <v>1694.79254</v>
      </c>
      <c r="V227" s="3">
        <f>V197</f>
        <v>50.097474999999996</v>
      </c>
      <c r="W227" s="3">
        <f>ROUND(W197,0)</f>
        <v>0</v>
      </c>
      <c r="X227" s="3">
        <f>ROUND(X197,0)</f>
        <v>16101</v>
      </c>
      <c r="Y227" s="3">
        <f>ROUND(Y197,0)</f>
        <v>8717</v>
      </c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>
        <f aca="true" t="shared" si="172" ref="AO227:BD227">ROUND(AO197,0)</f>
        <v>0</v>
      </c>
      <c r="AP227" s="3">
        <f t="shared" si="172"/>
        <v>0</v>
      </c>
      <c r="AQ227" s="3">
        <f t="shared" si="172"/>
        <v>0</v>
      </c>
      <c r="AR227" s="3">
        <f t="shared" si="172"/>
        <v>234654</v>
      </c>
      <c r="AS227" s="3">
        <f t="shared" si="172"/>
        <v>234654</v>
      </c>
      <c r="AT227" s="3">
        <f t="shared" si="172"/>
        <v>0</v>
      </c>
      <c r="AU227" s="3">
        <f t="shared" si="172"/>
        <v>0</v>
      </c>
      <c r="AV227" s="3">
        <f t="shared" si="172"/>
        <v>185844</v>
      </c>
      <c r="AW227" s="3">
        <f t="shared" si="172"/>
        <v>185844</v>
      </c>
      <c r="AX227" s="3">
        <f t="shared" si="172"/>
        <v>0</v>
      </c>
      <c r="AY227" s="3">
        <f t="shared" si="172"/>
        <v>185844</v>
      </c>
      <c r="AZ227" s="3">
        <f t="shared" si="172"/>
        <v>0</v>
      </c>
      <c r="BA227" s="3">
        <f t="shared" si="172"/>
        <v>0</v>
      </c>
      <c r="BB227" s="3">
        <f t="shared" si="172"/>
        <v>0</v>
      </c>
      <c r="BC227" s="3">
        <f t="shared" si="172"/>
        <v>0</v>
      </c>
      <c r="BD227" s="3">
        <f t="shared" si="172"/>
        <v>4066</v>
      </c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4">
        <f aca="true" t="shared" si="173" ref="DG227:DL227">ROUND(DG197,0)</f>
        <v>1554404</v>
      </c>
      <c r="DH227" s="4">
        <f t="shared" si="173"/>
        <v>989058</v>
      </c>
      <c r="DI227" s="4">
        <f t="shared" si="173"/>
        <v>47592</v>
      </c>
      <c r="DJ227" s="4">
        <f t="shared" si="173"/>
        <v>21870</v>
      </c>
      <c r="DK227" s="4">
        <f t="shared" si="173"/>
        <v>517754</v>
      </c>
      <c r="DL227" s="4">
        <f t="shared" si="173"/>
        <v>0</v>
      </c>
      <c r="DM227" s="4">
        <f>DM197</f>
        <v>1694.79254</v>
      </c>
      <c r="DN227" s="4">
        <f>DN197</f>
        <v>50.097474999999996</v>
      </c>
      <c r="DO227" s="4">
        <f>ROUND(DO197,0)</f>
        <v>0</v>
      </c>
      <c r="DP227" s="4">
        <f>ROUND(DP197,0)</f>
        <v>580263</v>
      </c>
      <c r="DQ227" s="4">
        <f>ROUND(DQ197,0)</f>
        <v>314115</v>
      </c>
      <c r="DR227" s="4"/>
      <c r="DS227" s="4"/>
      <c r="DT227" s="4"/>
      <c r="DU227" s="4"/>
      <c r="DV227" s="4"/>
      <c r="DW227" s="4"/>
      <c r="DX227" s="4"/>
      <c r="DY227" s="4"/>
      <c r="DZ227" s="4"/>
      <c r="EA227" s="4"/>
      <c r="EB227" s="4"/>
      <c r="EC227" s="4"/>
      <c r="ED227" s="4"/>
      <c r="EE227" s="4"/>
      <c r="EF227" s="4"/>
      <c r="EG227" s="4">
        <f aca="true" t="shared" si="174" ref="EG227:EV227">ROUND(EG197,0)</f>
        <v>0</v>
      </c>
      <c r="EH227" s="4">
        <f t="shared" si="174"/>
        <v>0</v>
      </c>
      <c r="EI227" s="4">
        <f t="shared" si="174"/>
        <v>0</v>
      </c>
      <c r="EJ227" s="4">
        <f t="shared" si="174"/>
        <v>2496116</v>
      </c>
      <c r="EK227" s="4">
        <f t="shared" si="174"/>
        <v>2496116</v>
      </c>
      <c r="EL227" s="4">
        <f t="shared" si="174"/>
        <v>0</v>
      </c>
      <c r="EM227" s="4">
        <f t="shared" si="174"/>
        <v>0</v>
      </c>
      <c r="EN227" s="4">
        <f t="shared" si="174"/>
        <v>989058</v>
      </c>
      <c r="EO227" s="4">
        <f t="shared" si="174"/>
        <v>989058</v>
      </c>
      <c r="EP227" s="4">
        <f t="shared" si="174"/>
        <v>0</v>
      </c>
      <c r="EQ227" s="4">
        <f t="shared" si="174"/>
        <v>989058</v>
      </c>
      <c r="ER227" s="4">
        <f t="shared" si="174"/>
        <v>0</v>
      </c>
      <c r="ES227" s="4">
        <f t="shared" si="174"/>
        <v>0</v>
      </c>
      <c r="ET227" s="4">
        <f t="shared" si="174"/>
        <v>0</v>
      </c>
      <c r="EU227" s="4">
        <f t="shared" si="174"/>
        <v>0</v>
      </c>
      <c r="EV227" s="4">
        <f t="shared" si="174"/>
        <v>47334</v>
      </c>
      <c r="EW227" s="4"/>
      <c r="EX227" s="4"/>
      <c r="EY227" s="4"/>
      <c r="EZ227" s="4"/>
      <c r="FA227" s="4"/>
      <c r="FB227" s="4"/>
      <c r="FC227" s="4"/>
      <c r="FD227" s="4"/>
      <c r="FE227" s="4"/>
      <c r="FF227" s="4"/>
      <c r="FG227" s="4"/>
      <c r="FH227" s="4"/>
      <c r="FI227" s="4"/>
      <c r="FJ227" s="4"/>
      <c r="FK227" s="4"/>
      <c r="FL227" s="4"/>
      <c r="FM227" s="4"/>
      <c r="FN227" s="4"/>
      <c r="FO227" s="4"/>
      <c r="FP227" s="4"/>
      <c r="FQ227" s="4"/>
      <c r="FR227" s="4"/>
      <c r="FS227" s="4"/>
      <c r="FT227" s="4"/>
      <c r="FU227" s="4"/>
      <c r="FV227" s="4"/>
      <c r="FW227" s="4"/>
      <c r="FX227" s="4"/>
      <c r="FY227" s="4"/>
      <c r="FZ227" s="4"/>
      <c r="GA227" s="4"/>
      <c r="GB227" s="4"/>
      <c r="GC227" s="4"/>
      <c r="GD227" s="4"/>
      <c r="GE227" s="4"/>
      <c r="GF227" s="4"/>
      <c r="GG227" s="4"/>
      <c r="GH227" s="4"/>
      <c r="GI227" s="4"/>
      <c r="GJ227" s="4"/>
      <c r="GK227" s="4"/>
      <c r="GL227" s="4"/>
      <c r="GM227" s="4"/>
      <c r="GN227" s="4"/>
      <c r="GO227" s="4"/>
      <c r="GP227" s="4"/>
      <c r="GQ227" s="4"/>
      <c r="GR227" s="4"/>
      <c r="GS227" s="4"/>
      <c r="GT227" s="4"/>
      <c r="GU227" s="4"/>
      <c r="GV227" s="4"/>
      <c r="GW227" s="4"/>
      <c r="GX227" s="4">
        <v>0</v>
      </c>
    </row>
    <row r="229" spans="1:28" ht="12.75">
      <c r="A229" s="5">
        <v>50</v>
      </c>
      <c r="B229" s="5">
        <v>0</v>
      </c>
      <c r="C229" s="5">
        <v>0</v>
      </c>
      <c r="D229" s="5">
        <v>1</v>
      </c>
      <c r="E229" s="5">
        <v>201</v>
      </c>
      <c r="F229" s="5">
        <f>ROUND(Source!O227,O229)</f>
        <v>205770</v>
      </c>
      <c r="G229" s="5" t="s">
        <v>56</v>
      </c>
      <c r="H229" s="5" t="s">
        <v>57</v>
      </c>
      <c r="I229" s="5"/>
      <c r="J229" s="5"/>
      <c r="K229" s="5">
        <v>201</v>
      </c>
      <c r="L229" s="5">
        <v>1</v>
      </c>
      <c r="M229" s="5">
        <v>3</v>
      </c>
      <c r="N229" s="5" t="s">
        <v>3</v>
      </c>
      <c r="O229" s="5">
        <v>0</v>
      </c>
      <c r="P229" s="5">
        <f>ROUND(Source!DG227,O229)</f>
        <v>1554404</v>
      </c>
      <c r="Q229" s="5"/>
      <c r="R229" s="5"/>
      <c r="S229" s="5"/>
      <c r="T229" s="5"/>
      <c r="U229" s="5"/>
      <c r="V229" s="5"/>
      <c r="W229" s="5">
        <v>209836</v>
      </c>
      <c r="X229" s="5">
        <v>1</v>
      </c>
      <c r="Y229" s="5">
        <v>209836</v>
      </c>
      <c r="Z229" s="5">
        <v>1601738</v>
      </c>
      <c r="AA229" s="5">
        <v>1</v>
      </c>
      <c r="AB229" s="5">
        <v>1601738</v>
      </c>
    </row>
    <row r="230" spans="1:28" ht="12.75">
      <c r="A230" s="5">
        <v>50</v>
      </c>
      <c r="B230" s="5">
        <v>0</v>
      </c>
      <c r="C230" s="5">
        <v>0</v>
      </c>
      <c r="D230" s="5">
        <v>1</v>
      </c>
      <c r="E230" s="5">
        <v>202</v>
      </c>
      <c r="F230" s="5">
        <f>ROUND(Source!P227,O230)</f>
        <v>185844</v>
      </c>
      <c r="G230" s="5" t="s">
        <v>58</v>
      </c>
      <c r="H230" s="5" t="s">
        <v>59</v>
      </c>
      <c r="I230" s="5"/>
      <c r="J230" s="5"/>
      <c r="K230" s="5">
        <v>202</v>
      </c>
      <c r="L230" s="5">
        <v>2</v>
      </c>
      <c r="M230" s="5">
        <v>3</v>
      </c>
      <c r="N230" s="5" t="s">
        <v>3</v>
      </c>
      <c r="O230" s="5">
        <v>0</v>
      </c>
      <c r="P230" s="5">
        <f>ROUND(Source!DH227,O230)</f>
        <v>989058</v>
      </c>
      <c r="Q230" s="5"/>
      <c r="R230" s="5"/>
      <c r="S230" s="5"/>
      <c r="T230" s="5"/>
      <c r="U230" s="5"/>
      <c r="V230" s="5"/>
      <c r="W230" s="5">
        <v>185844</v>
      </c>
      <c r="X230" s="5">
        <v>1</v>
      </c>
      <c r="Y230" s="5">
        <v>185844</v>
      </c>
      <c r="Z230" s="5">
        <v>989058</v>
      </c>
      <c r="AA230" s="5">
        <v>1</v>
      </c>
      <c r="AB230" s="5">
        <v>989058</v>
      </c>
    </row>
    <row r="231" spans="1:28" ht="12.75">
      <c r="A231" s="5">
        <v>50</v>
      </c>
      <c r="B231" s="5">
        <v>0</v>
      </c>
      <c r="C231" s="5">
        <v>0</v>
      </c>
      <c r="D231" s="5">
        <v>1</v>
      </c>
      <c r="E231" s="5">
        <v>222</v>
      </c>
      <c r="F231" s="5">
        <f>ROUND(Source!AO227,O231)</f>
        <v>0</v>
      </c>
      <c r="G231" s="5" t="s">
        <v>60</v>
      </c>
      <c r="H231" s="5" t="s">
        <v>61</v>
      </c>
      <c r="I231" s="5"/>
      <c r="J231" s="5"/>
      <c r="K231" s="5">
        <v>222</v>
      </c>
      <c r="L231" s="5">
        <v>3</v>
      </c>
      <c r="M231" s="5">
        <v>3</v>
      </c>
      <c r="N231" s="5" t="s">
        <v>3</v>
      </c>
      <c r="O231" s="5">
        <v>0</v>
      </c>
      <c r="P231" s="5">
        <f>ROUND(Source!EG227,O231)</f>
        <v>0</v>
      </c>
      <c r="Q231" s="5"/>
      <c r="R231" s="5"/>
      <c r="S231" s="5"/>
      <c r="T231" s="5"/>
      <c r="U231" s="5"/>
      <c r="V231" s="5"/>
      <c r="W231" s="5">
        <v>0</v>
      </c>
      <c r="X231" s="5">
        <v>1</v>
      </c>
      <c r="Y231" s="5">
        <v>0</v>
      </c>
      <c r="Z231" s="5">
        <v>0</v>
      </c>
      <c r="AA231" s="5">
        <v>1</v>
      </c>
      <c r="AB231" s="5">
        <v>0</v>
      </c>
    </row>
    <row r="232" spans="1:28" ht="12.75">
      <c r="A232" s="5">
        <v>50</v>
      </c>
      <c r="B232" s="5">
        <v>0</v>
      </c>
      <c r="C232" s="5">
        <v>0</v>
      </c>
      <c r="D232" s="5">
        <v>1</v>
      </c>
      <c r="E232" s="5">
        <v>225</v>
      </c>
      <c r="F232" s="5">
        <f>ROUND(Source!AV227,O232)</f>
        <v>185844</v>
      </c>
      <c r="G232" s="5" t="s">
        <v>62</v>
      </c>
      <c r="H232" s="5" t="s">
        <v>63</v>
      </c>
      <c r="I232" s="5"/>
      <c r="J232" s="5"/>
      <c r="K232" s="5">
        <v>225</v>
      </c>
      <c r="L232" s="5">
        <v>4</v>
      </c>
      <c r="M232" s="5">
        <v>3</v>
      </c>
      <c r="N232" s="5" t="s">
        <v>3</v>
      </c>
      <c r="O232" s="5">
        <v>0</v>
      </c>
      <c r="P232" s="5">
        <f>ROUND(Source!EN227,O232)</f>
        <v>989058</v>
      </c>
      <c r="Q232" s="5"/>
      <c r="R232" s="5"/>
      <c r="S232" s="5"/>
      <c r="T232" s="5"/>
      <c r="U232" s="5"/>
      <c r="V232" s="5"/>
      <c r="W232" s="5">
        <v>185844</v>
      </c>
      <c r="X232" s="5">
        <v>1</v>
      </c>
      <c r="Y232" s="5">
        <v>185844</v>
      </c>
      <c r="Z232" s="5">
        <v>989058</v>
      </c>
      <c r="AA232" s="5">
        <v>1</v>
      </c>
      <c r="AB232" s="5">
        <v>989058</v>
      </c>
    </row>
    <row r="233" spans="1:28" ht="12.75">
      <c r="A233" s="5">
        <v>50</v>
      </c>
      <c r="B233" s="5">
        <v>0</v>
      </c>
      <c r="C233" s="5">
        <v>0</v>
      </c>
      <c r="D233" s="5">
        <v>1</v>
      </c>
      <c r="E233" s="5">
        <v>226</v>
      </c>
      <c r="F233" s="5">
        <f>ROUND(Source!AW227,O233)</f>
        <v>185844</v>
      </c>
      <c r="G233" s="5" t="s">
        <v>64</v>
      </c>
      <c r="H233" s="5" t="s">
        <v>65</v>
      </c>
      <c r="I233" s="5"/>
      <c r="J233" s="5"/>
      <c r="K233" s="5">
        <v>226</v>
      </c>
      <c r="L233" s="5">
        <v>5</v>
      </c>
      <c r="M233" s="5">
        <v>3</v>
      </c>
      <c r="N233" s="5" t="s">
        <v>3</v>
      </c>
      <c r="O233" s="5">
        <v>0</v>
      </c>
      <c r="P233" s="5">
        <f>ROUND(Source!EO227,O233)</f>
        <v>989058</v>
      </c>
      <c r="Q233" s="5"/>
      <c r="R233" s="5"/>
      <c r="S233" s="5"/>
      <c r="T233" s="5"/>
      <c r="U233" s="5"/>
      <c r="V233" s="5"/>
      <c r="W233" s="5">
        <v>185844</v>
      </c>
      <c r="X233" s="5">
        <v>1</v>
      </c>
      <c r="Y233" s="5">
        <v>185844</v>
      </c>
      <c r="Z233" s="5">
        <v>989058</v>
      </c>
      <c r="AA233" s="5">
        <v>1</v>
      </c>
      <c r="AB233" s="5">
        <v>989058</v>
      </c>
    </row>
    <row r="234" spans="1:28" ht="12.75">
      <c r="A234" s="5">
        <v>50</v>
      </c>
      <c r="B234" s="5">
        <v>0</v>
      </c>
      <c r="C234" s="5">
        <v>0</v>
      </c>
      <c r="D234" s="5">
        <v>1</v>
      </c>
      <c r="E234" s="5">
        <v>227</v>
      </c>
      <c r="F234" s="5">
        <f>ROUND(Source!AX227,O234)</f>
        <v>0</v>
      </c>
      <c r="G234" s="5" t="s">
        <v>66</v>
      </c>
      <c r="H234" s="5" t="s">
        <v>67</v>
      </c>
      <c r="I234" s="5"/>
      <c r="J234" s="5"/>
      <c r="K234" s="5">
        <v>227</v>
      </c>
      <c r="L234" s="5">
        <v>6</v>
      </c>
      <c r="M234" s="5">
        <v>3</v>
      </c>
      <c r="N234" s="5" t="s">
        <v>3</v>
      </c>
      <c r="O234" s="5">
        <v>0</v>
      </c>
      <c r="P234" s="5">
        <f>ROUND(Source!EP227,O234)</f>
        <v>0</v>
      </c>
      <c r="Q234" s="5"/>
      <c r="R234" s="5"/>
      <c r="S234" s="5"/>
      <c r="T234" s="5"/>
      <c r="U234" s="5"/>
      <c r="V234" s="5"/>
      <c r="W234" s="5">
        <v>0</v>
      </c>
      <c r="X234" s="5">
        <v>1</v>
      </c>
      <c r="Y234" s="5">
        <v>0</v>
      </c>
      <c r="Z234" s="5">
        <v>0</v>
      </c>
      <c r="AA234" s="5">
        <v>1</v>
      </c>
      <c r="AB234" s="5">
        <v>0</v>
      </c>
    </row>
    <row r="235" spans="1:28" ht="12.75">
      <c r="A235" s="5">
        <v>50</v>
      </c>
      <c r="B235" s="5">
        <v>0</v>
      </c>
      <c r="C235" s="5">
        <v>0</v>
      </c>
      <c r="D235" s="5">
        <v>1</v>
      </c>
      <c r="E235" s="5">
        <v>228</v>
      </c>
      <c r="F235" s="5">
        <f>ROUND(Source!AY227,O235)</f>
        <v>185844</v>
      </c>
      <c r="G235" s="5" t="s">
        <v>68</v>
      </c>
      <c r="H235" s="5" t="s">
        <v>69</v>
      </c>
      <c r="I235" s="5"/>
      <c r="J235" s="5"/>
      <c r="K235" s="5">
        <v>228</v>
      </c>
      <c r="L235" s="5">
        <v>7</v>
      </c>
      <c r="M235" s="5">
        <v>3</v>
      </c>
      <c r="N235" s="5" t="s">
        <v>3</v>
      </c>
      <c r="O235" s="5">
        <v>0</v>
      </c>
      <c r="P235" s="5">
        <f>ROUND(Source!EQ227,O235)</f>
        <v>989058</v>
      </c>
      <c r="Q235" s="5"/>
      <c r="R235" s="5"/>
      <c r="S235" s="5"/>
      <c r="T235" s="5"/>
      <c r="U235" s="5"/>
      <c r="V235" s="5"/>
      <c r="W235" s="5">
        <v>185844</v>
      </c>
      <c r="X235" s="5">
        <v>1</v>
      </c>
      <c r="Y235" s="5">
        <v>185844</v>
      </c>
      <c r="Z235" s="5">
        <v>989058</v>
      </c>
      <c r="AA235" s="5">
        <v>1</v>
      </c>
      <c r="AB235" s="5">
        <v>989058</v>
      </c>
    </row>
    <row r="236" spans="1:28" ht="12.75">
      <c r="A236" s="5">
        <v>50</v>
      </c>
      <c r="B236" s="5">
        <v>0</v>
      </c>
      <c r="C236" s="5">
        <v>0</v>
      </c>
      <c r="D236" s="5">
        <v>1</v>
      </c>
      <c r="E236" s="5">
        <v>216</v>
      </c>
      <c r="F236" s="5">
        <f>ROUND(Source!AP227,O236)</f>
        <v>0</v>
      </c>
      <c r="G236" s="5" t="s">
        <v>70</v>
      </c>
      <c r="H236" s="5" t="s">
        <v>71</v>
      </c>
      <c r="I236" s="5"/>
      <c r="J236" s="5"/>
      <c r="K236" s="5">
        <v>216</v>
      </c>
      <c r="L236" s="5">
        <v>8</v>
      </c>
      <c r="M236" s="5">
        <v>3</v>
      </c>
      <c r="N236" s="5" t="s">
        <v>3</v>
      </c>
      <c r="O236" s="5">
        <v>0</v>
      </c>
      <c r="P236" s="5">
        <f>ROUND(Source!EH227,O236)</f>
        <v>0</v>
      </c>
      <c r="Q236" s="5"/>
      <c r="R236" s="5"/>
      <c r="S236" s="5"/>
      <c r="T236" s="5"/>
      <c r="U236" s="5"/>
      <c r="V236" s="5"/>
      <c r="W236" s="5">
        <v>0</v>
      </c>
      <c r="X236" s="5">
        <v>1</v>
      </c>
      <c r="Y236" s="5">
        <v>0</v>
      </c>
      <c r="Z236" s="5">
        <v>0</v>
      </c>
      <c r="AA236" s="5">
        <v>1</v>
      </c>
      <c r="AB236" s="5">
        <v>0</v>
      </c>
    </row>
    <row r="237" spans="1:28" ht="12.75">
      <c r="A237" s="5">
        <v>50</v>
      </c>
      <c r="B237" s="5">
        <v>0</v>
      </c>
      <c r="C237" s="5">
        <v>0</v>
      </c>
      <c r="D237" s="5">
        <v>1</v>
      </c>
      <c r="E237" s="5">
        <v>223</v>
      </c>
      <c r="F237" s="5">
        <f>ROUND(Source!AQ227,O237)</f>
        <v>0</v>
      </c>
      <c r="G237" s="5" t="s">
        <v>72</v>
      </c>
      <c r="H237" s="5" t="s">
        <v>73</v>
      </c>
      <c r="I237" s="5"/>
      <c r="J237" s="5"/>
      <c r="K237" s="5">
        <v>223</v>
      </c>
      <c r="L237" s="5">
        <v>9</v>
      </c>
      <c r="M237" s="5">
        <v>3</v>
      </c>
      <c r="N237" s="5" t="s">
        <v>3</v>
      </c>
      <c r="O237" s="5">
        <v>0</v>
      </c>
      <c r="P237" s="5">
        <f>ROUND(Source!EI227,O237)</f>
        <v>0</v>
      </c>
      <c r="Q237" s="5"/>
      <c r="R237" s="5"/>
      <c r="S237" s="5"/>
      <c r="T237" s="5"/>
      <c r="U237" s="5"/>
      <c r="V237" s="5"/>
      <c r="W237" s="5">
        <v>0</v>
      </c>
      <c r="X237" s="5">
        <v>1</v>
      </c>
      <c r="Y237" s="5">
        <v>0</v>
      </c>
      <c r="Z237" s="5">
        <v>0</v>
      </c>
      <c r="AA237" s="5">
        <v>1</v>
      </c>
      <c r="AB237" s="5">
        <v>0</v>
      </c>
    </row>
    <row r="238" spans="1:28" ht="12.75">
      <c r="A238" s="5">
        <v>50</v>
      </c>
      <c r="B238" s="5">
        <v>0</v>
      </c>
      <c r="C238" s="5">
        <v>0</v>
      </c>
      <c r="D238" s="5">
        <v>1</v>
      </c>
      <c r="E238" s="5">
        <v>229</v>
      </c>
      <c r="F238" s="5">
        <f>ROUND(Source!AZ227,O238)</f>
        <v>0</v>
      </c>
      <c r="G238" s="5" t="s">
        <v>74</v>
      </c>
      <c r="H238" s="5" t="s">
        <v>75</v>
      </c>
      <c r="I238" s="5"/>
      <c r="J238" s="5"/>
      <c r="K238" s="5">
        <v>229</v>
      </c>
      <c r="L238" s="5">
        <v>10</v>
      </c>
      <c r="M238" s="5">
        <v>3</v>
      </c>
      <c r="N238" s="5" t="s">
        <v>3</v>
      </c>
      <c r="O238" s="5">
        <v>0</v>
      </c>
      <c r="P238" s="5">
        <f>ROUND(Source!ER227,O238)</f>
        <v>0</v>
      </c>
      <c r="Q238" s="5"/>
      <c r="R238" s="5"/>
      <c r="S238" s="5"/>
      <c r="T238" s="5"/>
      <c r="U238" s="5"/>
      <c r="V238" s="5"/>
      <c r="W238" s="5">
        <v>0</v>
      </c>
      <c r="X238" s="5">
        <v>1</v>
      </c>
      <c r="Y238" s="5">
        <v>0</v>
      </c>
      <c r="Z238" s="5">
        <v>0</v>
      </c>
      <c r="AA238" s="5">
        <v>1</v>
      </c>
      <c r="AB238" s="5">
        <v>0</v>
      </c>
    </row>
    <row r="239" spans="1:28" ht="12.75">
      <c r="A239" s="5">
        <v>50</v>
      </c>
      <c r="B239" s="5">
        <v>0</v>
      </c>
      <c r="C239" s="5">
        <v>0</v>
      </c>
      <c r="D239" s="5">
        <v>1</v>
      </c>
      <c r="E239" s="5">
        <v>203</v>
      </c>
      <c r="F239" s="5">
        <f>ROUND(Source!Q227,O239)</f>
        <v>5556</v>
      </c>
      <c r="G239" s="5" t="s">
        <v>76</v>
      </c>
      <c r="H239" s="5" t="s">
        <v>77</v>
      </c>
      <c r="I239" s="5"/>
      <c r="J239" s="5"/>
      <c r="K239" s="5">
        <v>203</v>
      </c>
      <c r="L239" s="5">
        <v>11</v>
      </c>
      <c r="M239" s="5">
        <v>3</v>
      </c>
      <c r="N239" s="5" t="s">
        <v>3</v>
      </c>
      <c r="O239" s="5">
        <v>0</v>
      </c>
      <c r="P239" s="5">
        <f>ROUND(Source!DI227,O239)</f>
        <v>47592</v>
      </c>
      <c r="Q239" s="5"/>
      <c r="R239" s="5"/>
      <c r="S239" s="5"/>
      <c r="T239" s="5"/>
      <c r="U239" s="5"/>
      <c r="V239" s="5"/>
      <c r="W239" s="5">
        <v>5556</v>
      </c>
      <c r="X239" s="5">
        <v>1</v>
      </c>
      <c r="Y239" s="5">
        <v>5556</v>
      </c>
      <c r="Z239" s="5">
        <v>47592</v>
      </c>
      <c r="AA239" s="5">
        <v>1</v>
      </c>
      <c r="AB239" s="5">
        <v>47592</v>
      </c>
    </row>
    <row r="240" spans="1:28" ht="12.75">
      <c r="A240" s="5">
        <v>50</v>
      </c>
      <c r="B240" s="5">
        <v>0</v>
      </c>
      <c r="C240" s="5">
        <v>0</v>
      </c>
      <c r="D240" s="5">
        <v>1</v>
      </c>
      <c r="E240" s="5">
        <v>231</v>
      </c>
      <c r="F240" s="5">
        <f>ROUND(Source!BB227,O240)</f>
        <v>0</v>
      </c>
      <c r="G240" s="5" t="s">
        <v>78</v>
      </c>
      <c r="H240" s="5" t="s">
        <v>79</v>
      </c>
      <c r="I240" s="5"/>
      <c r="J240" s="5"/>
      <c r="K240" s="5">
        <v>231</v>
      </c>
      <c r="L240" s="5">
        <v>12</v>
      </c>
      <c r="M240" s="5">
        <v>3</v>
      </c>
      <c r="N240" s="5" t="s">
        <v>3</v>
      </c>
      <c r="O240" s="5">
        <v>0</v>
      </c>
      <c r="P240" s="5">
        <f>ROUND(Source!ET227,O240)</f>
        <v>0</v>
      </c>
      <c r="Q240" s="5"/>
      <c r="R240" s="5"/>
      <c r="S240" s="5"/>
      <c r="T240" s="5"/>
      <c r="U240" s="5"/>
      <c r="V240" s="5"/>
      <c r="W240" s="5">
        <v>0</v>
      </c>
      <c r="X240" s="5">
        <v>1</v>
      </c>
      <c r="Y240" s="5">
        <v>0</v>
      </c>
      <c r="Z240" s="5">
        <v>0</v>
      </c>
      <c r="AA240" s="5">
        <v>1</v>
      </c>
      <c r="AB240" s="5">
        <v>0</v>
      </c>
    </row>
    <row r="241" spans="1:28" ht="12.75">
      <c r="A241" s="5">
        <v>50</v>
      </c>
      <c r="B241" s="5">
        <v>0</v>
      </c>
      <c r="C241" s="5">
        <v>0</v>
      </c>
      <c r="D241" s="5">
        <v>1</v>
      </c>
      <c r="E241" s="5">
        <v>204</v>
      </c>
      <c r="F241" s="5">
        <f>ROUND(Source!R227,O241)</f>
        <v>606</v>
      </c>
      <c r="G241" s="5" t="s">
        <v>80</v>
      </c>
      <c r="H241" s="5" t="s">
        <v>81</v>
      </c>
      <c r="I241" s="5"/>
      <c r="J241" s="5"/>
      <c r="K241" s="5">
        <v>204</v>
      </c>
      <c r="L241" s="5">
        <v>13</v>
      </c>
      <c r="M241" s="5">
        <v>3</v>
      </c>
      <c r="N241" s="5" t="s">
        <v>3</v>
      </c>
      <c r="O241" s="5">
        <v>0</v>
      </c>
      <c r="P241" s="5">
        <f>ROUND(Source!DJ227,O241)</f>
        <v>21870</v>
      </c>
      <c r="Q241" s="5"/>
      <c r="R241" s="5"/>
      <c r="S241" s="5"/>
      <c r="T241" s="5"/>
      <c r="U241" s="5"/>
      <c r="V241" s="5"/>
      <c r="W241" s="5">
        <v>606</v>
      </c>
      <c r="X241" s="5">
        <v>1</v>
      </c>
      <c r="Y241" s="5">
        <v>606</v>
      </c>
      <c r="Z241" s="5">
        <v>21870</v>
      </c>
      <c r="AA241" s="5">
        <v>1</v>
      </c>
      <c r="AB241" s="5">
        <v>21870</v>
      </c>
    </row>
    <row r="242" spans="1:28" ht="12.75">
      <c r="A242" s="5">
        <v>50</v>
      </c>
      <c r="B242" s="5">
        <v>0</v>
      </c>
      <c r="C242" s="5">
        <v>0</v>
      </c>
      <c r="D242" s="5">
        <v>1</v>
      </c>
      <c r="E242" s="5">
        <v>205</v>
      </c>
      <c r="F242" s="5">
        <f>ROUND(Source!S227,O242)</f>
        <v>14370</v>
      </c>
      <c r="G242" s="5" t="s">
        <v>82</v>
      </c>
      <c r="H242" s="5" t="s">
        <v>83</v>
      </c>
      <c r="I242" s="5"/>
      <c r="J242" s="5"/>
      <c r="K242" s="5">
        <v>205</v>
      </c>
      <c r="L242" s="5">
        <v>14</v>
      </c>
      <c r="M242" s="5">
        <v>3</v>
      </c>
      <c r="N242" s="5" t="s">
        <v>3</v>
      </c>
      <c r="O242" s="5">
        <v>0</v>
      </c>
      <c r="P242" s="5">
        <f>ROUND(Source!DK227,O242)</f>
        <v>517754</v>
      </c>
      <c r="Q242" s="5"/>
      <c r="R242" s="5"/>
      <c r="S242" s="5"/>
      <c r="T242" s="5"/>
      <c r="U242" s="5"/>
      <c r="V242" s="5"/>
      <c r="W242" s="5">
        <v>14370</v>
      </c>
      <c r="X242" s="5">
        <v>1</v>
      </c>
      <c r="Y242" s="5">
        <v>14370</v>
      </c>
      <c r="Z242" s="5">
        <v>517754</v>
      </c>
      <c r="AA242" s="5">
        <v>1</v>
      </c>
      <c r="AB242" s="5">
        <v>517754</v>
      </c>
    </row>
    <row r="243" spans="1:28" ht="12.75">
      <c r="A243" s="5">
        <v>50</v>
      </c>
      <c r="B243" s="5">
        <v>0</v>
      </c>
      <c r="C243" s="5">
        <v>0</v>
      </c>
      <c r="D243" s="5">
        <v>1</v>
      </c>
      <c r="E243" s="5">
        <v>232</v>
      </c>
      <c r="F243" s="5">
        <f>ROUND(Source!BC227,O243)</f>
        <v>0</v>
      </c>
      <c r="G243" s="5" t="s">
        <v>84</v>
      </c>
      <c r="H243" s="5" t="s">
        <v>85</v>
      </c>
      <c r="I243" s="5"/>
      <c r="J243" s="5"/>
      <c r="K243" s="5">
        <v>232</v>
      </c>
      <c r="L243" s="5">
        <v>15</v>
      </c>
      <c r="M243" s="5">
        <v>3</v>
      </c>
      <c r="N243" s="5" t="s">
        <v>3</v>
      </c>
      <c r="O243" s="5">
        <v>0</v>
      </c>
      <c r="P243" s="5">
        <f>ROUND(Source!EU227,O243)</f>
        <v>0</v>
      </c>
      <c r="Q243" s="5"/>
      <c r="R243" s="5"/>
      <c r="S243" s="5"/>
      <c r="T243" s="5"/>
      <c r="U243" s="5"/>
      <c r="V243" s="5"/>
      <c r="W243" s="5">
        <v>0</v>
      </c>
      <c r="X243" s="5">
        <v>1</v>
      </c>
      <c r="Y243" s="5">
        <v>0</v>
      </c>
      <c r="Z243" s="5">
        <v>0</v>
      </c>
      <c r="AA243" s="5">
        <v>1</v>
      </c>
      <c r="AB243" s="5">
        <v>0</v>
      </c>
    </row>
    <row r="244" spans="1:28" ht="12.75">
      <c r="A244" s="5">
        <v>50</v>
      </c>
      <c r="B244" s="5">
        <v>0</v>
      </c>
      <c r="C244" s="5">
        <v>0</v>
      </c>
      <c r="D244" s="5">
        <v>1</v>
      </c>
      <c r="E244" s="5">
        <v>214</v>
      </c>
      <c r="F244" s="5">
        <f>ROUND(Source!AS227,O244)</f>
        <v>234654</v>
      </c>
      <c r="G244" s="5" t="s">
        <v>86</v>
      </c>
      <c r="H244" s="5" t="s">
        <v>87</v>
      </c>
      <c r="I244" s="5"/>
      <c r="J244" s="5"/>
      <c r="K244" s="5">
        <v>214</v>
      </c>
      <c r="L244" s="5">
        <v>16</v>
      </c>
      <c r="M244" s="5">
        <v>3</v>
      </c>
      <c r="N244" s="5" t="s">
        <v>3</v>
      </c>
      <c r="O244" s="5">
        <v>0</v>
      </c>
      <c r="P244" s="5">
        <f>ROUND(Source!EK227,O244)</f>
        <v>2496116</v>
      </c>
      <c r="Q244" s="5"/>
      <c r="R244" s="5"/>
      <c r="S244" s="5"/>
      <c r="T244" s="5"/>
      <c r="U244" s="5"/>
      <c r="V244" s="5"/>
      <c r="W244" s="5">
        <v>234654</v>
      </c>
      <c r="X244" s="5">
        <v>1</v>
      </c>
      <c r="Y244" s="5">
        <v>234654</v>
      </c>
      <c r="Z244" s="5">
        <v>2496116</v>
      </c>
      <c r="AA244" s="5">
        <v>1</v>
      </c>
      <c r="AB244" s="5">
        <v>2496116</v>
      </c>
    </row>
    <row r="245" spans="1:28" ht="12.75">
      <c r="A245" s="5">
        <v>50</v>
      </c>
      <c r="B245" s="5">
        <v>0</v>
      </c>
      <c r="C245" s="5">
        <v>0</v>
      </c>
      <c r="D245" s="5">
        <v>1</v>
      </c>
      <c r="E245" s="5">
        <v>215</v>
      </c>
      <c r="F245" s="5">
        <f>ROUND(Source!AT227,O245)</f>
        <v>0</v>
      </c>
      <c r="G245" s="5" t="s">
        <v>88</v>
      </c>
      <c r="H245" s="5" t="s">
        <v>89</v>
      </c>
      <c r="I245" s="5"/>
      <c r="J245" s="5"/>
      <c r="K245" s="5">
        <v>215</v>
      </c>
      <c r="L245" s="5">
        <v>17</v>
      </c>
      <c r="M245" s="5">
        <v>3</v>
      </c>
      <c r="N245" s="5" t="s">
        <v>3</v>
      </c>
      <c r="O245" s="5">
        <v>0</v>
      </c>
      <c r="P245" s="5">
        <f>ROUND(Source!EL227,O245)</f>
        <v>0</v>
      </c>
      <c r="Q245" s="5"/>
      <c r="R245" s="5"/>
      <c r="S245" s="5"/>
      <c r="T245" s="5"/>
      <c r="U245" s="5"/>
      <c r="V245" s="5"/>
      <c r="W245" s="5">
        <v>0</v>
      </c>
      <c r="X245" s="5">
        <v>1</v>
      </c>
      <c r="Y245" s="5">
        <v>0</v>
      </c>
      <c r="Z245" s="5">
        <v>0</v>
      </c>
      <c r="AA245" s="5">
        <v>1</v>
      </c>
      <c r="AB245" s="5">
        <v>0</v>
      </c>
    </row>
    <row r="246" spans="1:28" ht="12.75">
      <c r="A246" s="5">
        <v>50</v>
      </c>
      <c r="B246" s="5">
        <v>0</v>
      </c>
      <c r="C246" s="5">
        <v>0</v>
      </c>
      <c r="D246" s="5">
        <v>1</v>
      </c>
      <c r="E246" s="5">
        <v>217</v>
      </c>
      <c r="F246" s="5">
        <f>ROUND(Source!AU227,O246)</f>
        <v>0</v>
      </c>
      <c r="G246" s="5" t="s">
        <v>90</v>
      </c>
      <c r="H246" s="5" t="s">
        <v>91</v>
      </c>
      <c r="I246" s="5"/>
      <c r="J246" s="5"/>
      <c r="K246" s="5">
        <v>217</v>
      </c>
      <c r="L246" s="5">
        <v>18</v>
      </c>
      <c r="M246" s="5">
        <v>3</v>
      </c>
      <c r="N246" s="5" t="s">
        <v>3</v>
      </c>
      <c r="O246" s="5">
        <v>0</v>
      </c>
      <c r="P246" s="5">
        <f>ROUND(Source!EM227,O246)</f>
        <v>0</v>
      </c>
      <c r="Q246" s="5"/>
      <c r="R246" s="5"/>
      <c r="S246" s="5"/>
      <c r="T246" s="5"/>
      <c r="U246" s="5"/>
      <c r="V246" s="5"/>
      <c r="W246" s="5">
        <v>0</v>
      </c>
      <c r="X246" s="5">
        <v>1</v>
      </c>
      <c r="Y246" s="5">
        <v>0</v>
      </c>
      <c r="Z246" s="5">
        <v>0</v>
      </c>
      <c r="AA246" s="5">
        <v>1</v>
      </c>
      <c r="AB246" s="5">
        <v>0</v>
      </c>
    </row>
    <row r="247" spans="1:28" ht="12.75">
      <c r="A247" s="5">
        <v>50</v>
      </c>
      <c r="B247" s="5">
        <v>0</v>
      </c>
      <c r="C247" s="5">
        <v>0</v>
      </c>
      <c r="D247" s="5">
        <v>1</v>
      </c>
      <c r="E247" s="5">
        <v>230</v>
      </c>
      <c r="F247" s="5">
        <f>ROUND(Source!BA227,O247)</f>
        <v>0</v>
      </c>
      <c r="G247" s="5" t="s">
        <v>92</v>
      </c>
      <c r="H247" s="5" t="s">
        <v>93</v>
      </c>
      <c r="I247" s="5"/>
      <c r="J247" s="5"/>
      <c r="K247" s="5">
        <v>230</v>
      </c>
      <c r="L247" s="5">
        <v>19</v>
      </c>
      <c r="M247" s="5">
        <v>3</v>
      </c>
      <c r="N247" s="5" t="s">
        <v>3</v>
      </c>
      <c r="O247" s="5">
        <v>0</v>
      </c>
      <c r="P247" s="5">
        <f>ROUND(Source!ES227,O247)</f>
        <v>0</v>
      </c>
      <c r="Q247" s="5"/>
      <c r="R247" s="5"/>
      <c r="S247" s="5"/>
      <c r="T247" s="5"/>
      <c r="U247" s="5"/>
      <c r="V247" s="5"/>
      <c r="W247" s="5">
        <v>0</v>
      </c>
      <c r="X247" s="5">
        <v>1</v>
      </c>
      <c r="Y247" s="5">
        <v>0</v>
      </c>
      <c r="Z247" s="5">
        <v>0</v>
      </c>
      <c r="AA247" s="5">
        <v>1</v>
      </c>
      <c r="AB247" s="5">
        <v>0</v>
      </c>
    </row>
    <row r="248" spans="1:28" ht="12.75">
      <c r="A248" s="5">
        <v>50</v>
      </c>
      <c r="B248" s="5">
        <v>0</v>
      </c>
      <c r="C248" s="5">
        <v>0</v>
      </c>
      <c r="D248" s="5">
        <v>1</v>
      </c>
      <c r="E248" s="5">
        <v>206</v>
      </c>
      <c r="F248" s="5">
        <f>ROUND(Source!T227,O248)</f>
        <v>0</v>
      </c>
      <c r="G248" s="5" t="s">
        <v>94</v>
      </c>
      <c r="H248" s="5" t="s">
        <v>95</v>
      </c>
      <c r="I248" s="5"/>
      <c r="J248" s="5"/>
      <c r="K248" s="5">
        <v>206</v>
      </c>
      <c r="L248" s="5">
        <v>20</v>
      </c>
      <c r="M248" s="5">
        <v>3</v>
      </c>
      <c r="N248" s="5" t="s">
        <v>3</v>
      </c>
      <c r="O248" s="5">
        <v>0</v>
      </c>
      <c r="P248" s="5">
        <f>ROUND(Source!DL227,O248)</f>
        <v>0</v>
      </c>
      <c r="Q248" s="5"/>
      <c r="R248" s="5"/>
      <c r="S248" s="5"/>
      <c r="T248" s="5"/>
      <c r="U248" s="5"/>
      <c r="V248" s="5"/>
      <c r="W248" s="5">
        <v>0</v>
      </c>
      <c r="X248" s="5">
        <v>1</v>
      </c>
      <c r="Y248" s="5">
        <v>0</v>
      </c>
      <c r="Z248" s="5">
        <v>0</v>
      </c>
      <c r="AA248" s="5">
        <v>1</v>
      </c>
      <c r="AB248" s="5">
        <v>0</v>
      </c>
    </row>
    <row r="249" spans="1:28" ht="12.75">
      <c r="A249" s="5">
        <v>50</v>
      </c>
      <c r="B249" s="5">
        <v>0</v>
      </c>
      <c r="C249" s="5">
        <v>0</v>
      </c>
      <c r="D249" s="5">
        <v>1</v>
      </c>
      <c r="E249" s="5">
        <v>207</v>
      </c>
      <c r="F249" s="5">
        <f>Source!U227</f>
        <v>1694.79254</v>
      </c>
      <c r="G249" s="5" t="s">
        <v>96</v>
      </c>
      <c r="H249" s="5" t="s">
        <v>97</v>
      </c>
      <c r="I249" s="5"/>
      <c r="J249" s="5"/>
      <c r="K249" s="5">
        <v>207</v>
      </c>
      <c r="L249" s="5">
        <v>21</v>
      </c>
      <c r="M249" s="5">
        <v>3</v>
      </c>
      <c r="N249" s="5" t="s">
        <v>3</v>
      </c>
      <c r="O249" s="5">
        <v>-1</v>
      </c>
      <c r="P249" s="5">
        <f>Source!DM227</f>
        <v>1694.79254</v>
      </c>
      <c r="Q249" s="5"/>
      <c r="R249" s="5"/>
      <c r="S249" s="5"/>
      <c r="T249" s="5"/>
      <c r="U249" s="5"/>
      <c r="V249" s="5"/>
      <c r="W249" s="5">
        <v>1694.79254</v>
      </c>
      <c r="X249" s="5">
        <v>1</v>
      </c>
      <c r="Y249" s="5">
        <v>1694.79254</v>
      </c>
      <c r="Z249" s="5">
        <v>1694.79254</v>
      </c>
      <c r="AA249" s="5">
        <v>1</v>
      </c>
      <c r="AB249" s="5">
        <v>1694.79254</v>
      </c>
    </row>
    <row r="250" spans="1:28" ht="12.75">
      <c r="A250" s="5">
        <v>50</v>
      </c>
      <c r="B250" s="5">
        <v>0</v>
      </c>
      <c r="C250" s="5">
        <v>0</v>
      </c>
      <c r="D250" s="5">
        <v>1</v>
      </c>
      <c r="E250" s="5">
        <v>208</v>
      </c>
      <c r="F250" s="5">
        <f>Source!V227</f>
        <v>50.097474999999996</v>
      </c>
      <c r="G250" s="5" t="s">
        <v>98</v>
      </c>
      <c r="H250" s="5" t="s">
        <v>99</v>
      </c>
      <c r="I250" s="5"/>
      <c r="J250" s="5"/>
      <c r="K250" s="5">
        <v>208</v>
      </c>
      <c r="L250" s="5">
        <v>22</v>
      </c>
      <c r="M250" s="5">
        <v>3</v>
      </c>
      <c r="N250" s="5" t="s">
        <v>3</v>
      </c>
      <c r="O250" s="5">
        <v>-1</v>
      </c>
      <c r="P250" s="5">
        <f>Source!DN227</f>
        <v>50.097474999999996</v>
      </c>
      <c r="Q250" s="5"/>
      <c r="R250" s="5"/>
      <c r="S250" s="5"/>
      <c r="T250" s="5"/>
      <c r="U250" s="5"/>
      <c r="V250" s="5"/>
      <c r="W250" s="5">
        <v>50.097475</v>
      </c>
      <c r="X250" s="5">
        <v>1</v>
      </c>
      <c r="Y250" s="5">
        <v>50.097475</v>
      </c>
      <c r="Z250" s="5">
        <v>50.097475</v>
      </c>
      <c r="AA250" s="5">
        <v>1</v>
      </c>
      <c r="AB250" s="5">
        <v>50.097475</v>
      </c>
    </row>
    <row r="251" spans="1:28" ht="12.75">
      <c r="A251" s="5">
        <v>50</v>
      </c>
      <c r="B251" s="5">
        <v>0</v>
      </c>
      <c r="C251" s="5">
        <v>0</v>
      </c>
      <c r="D251" s="5">
        <v>1</v>
      </c>
      <c r="E251" s="5">
        <v>209</v>
      </c>
      <c r="F251" s="5">
        <f>ROUND(Source!W227,O251)</f>
        <v>0</v>
      </c>
      <c r="G251" s="5" t="s">
        <v>100</v>
      </c>
      <c r="H251" s="5" t="s">
        <v>101</v>
      </c>
      <c r="I251" s="5"/>
      <c r="J251" s="5"/>
      <c r="K251" s="5">
        <v>209</v>
      </c>
      <c r="L251" s="5">
        <v>23</v>
      </c>
      <c r="M251" s="5">
        <v>3</v>
      </c>
      <c r="N251" s="5" t="s">
        <v>3</v>
      </c>
      <c r="O251" s="5">
        <v>0</v>
      </c>
      <c r="P251" s="5">
        <f>ROUND(Source!DO227,O251)</f>
        <v>0</v>
      </c>
      <c r="Q251" s="5"/>
      <c r="R251" s="5"/>
      <c r="S251" s="5"/>
      <c r="T251" s="5"/>
      <c r="U251" s="5"/>
      <c r="V251" s="5"/>
      <c r="W251" s="5">
        <v>0</v>
      </c>
      <c r="X251" s="5">
        <v>1</v>
      </c>
      <c r="Y251" s="5">
        <v>0</v>
      </c>
      <c r="Z251" s="5">
        <v>0</v>
      </c>
      <c r="AA251" s="5">
        <v>1</v>
      </c>
      <c r="AB251" s="5">
        <v>0</v>
      </c>
    </row>
    <row r="252" spans="1:28" ht="12.75">
      <c r="A252" s="5">
        <v>50</v>
      </c>
      <c r="B252" s="5">
        <v>0</v>
      </c>
      <c r="C252" s="5">
        <v>0</v>
      </c>
      <c r="D252" s="5">
        <v>1</v>
      </c>
      <c r="E252" s="5">
        <v>233</v>
      </c>
      <c r="F252" s="5">
        <f>ROUND(Source!BD227,O252)</f>
        <v>4066</v>
      </c>
      <c r="G252" s="5" t="s">
        <v>102</v>
      </c>
      <c r="H252" s="5" t="s">
        <v>103</v>
      </c>
      <c r="I252" s="5"/>
      <c r="J252" s="5"/>
      <c r="K252" s="5">
        <v>233</v>
      </c>
      <c r="L252" s="5">
        <v>24</v>
      </c>
      <c r="M252" s="5">
        <v>3</v>
      </c>
      <c r="N252" s="5" t="s">
        <v>3</v>
      </c>
      <c r="O252" s="5">
        <v>0</v>
      </c>
      <c r="P252" s="5">
        <f>ROUND(Source!EV227,O252)</f>
        <v>47334</v>
      </c>
      <c r="Q252" s="5"/>
      <c r="R252" s="5"/>
      <c r="S252" s="5"/>
      <c r="T252" s="5"/>
      <c r="U252" s="5"/>
      <c r="V252" s="5"/>
      <c r="W252" s="5">
        <v>4066</v>
      </c>
      <c r="X252" s="5">
        <v>1</v>
      </c>
      <c r="Y252" s="5">
        <v>4066</v>
      </c>
      <c r="Z252" s="5">
        <v>47334</v>
      </c>
      <c r="AA252" s="5">
        <v>1</v>
      </c>
      <c r="AB252" s="5">
        <v>47334</v>
      </c>
    </row>
    <row r="253" spans="1:28" ht="12.75">
      <c r="A253" s="5">
        <v>50</v>
      </c>
      <c r="B253" s="5">
        <v>0</v>
      </c>
      <c r="C253" s="5">
        <v>0</v>
      </c>
      <c r="D253" s="5">
        <v>1</v>
      </c>
      <c r="E253" s="5">
        <v>210</v>
      </c>
      <c r="F253" s="5">
        <f>ROUND(Source!X227,O253)</f>
        <v>16101</v>
      </c>
      <c r="G253" s="5" t="s">
        <v>104</v>
      </c>
      <c r="H253" s="5" t="s">
        <v>105</v>
      </c>
      <c r="I253" s="5"/>
      <c r="J253" s="5"/>
      <c r="K253" s="5">
        <v>210</v>
      </c>
      <c r="L253" s="5">
        <v>25</v>
      </c>
      <c r="M253" s="5">
        <v>3</v>
      </c>
      <c r="N253" s="5" t="s">
        <v>3</v>
      </c>
      <c r="O253" s="5">
        <v>0</v>
      </c>
      <c r="P253" s="5">
        <f>ROUND(Source!DP227,O253)</f>
        <v>580263</v>
      </c>
      <c r="Q253" s="5"/>
      <c r="R253" s="5"/>
      <c r="S253" s="5"/>
      <c r="T253" s="5"/>
      <c r="U253" s="5"/>
      <c r="V253" s="5"/>
      <c r="W253" s="5">
        <v>16101</v>
      </c>
      <c r="X253" s="5">
        <v>1</v>
      </c>
      <c r="Y253" s="5">
        <v>16101</v>
      </c>
      <c r="Z253" s="5">
        <v>580263</v>
      </c>
      <c r="AA253" s="5">
        <v>1</v>
      </c>
      <c r="AB253" s="5">
        <v>580263</v>
      </c>
    </row>
    <row r="254" spans="1:28" ht="12.75">
      <c r="A254" s="5">
        <v>50</v>
      </c>
      <c r="B254" s="5">
        <v>0</v>
      </c>
      <c r="C254" s="5">
        <v>0</v>
      </c>
      <c r="D254" s="5">
        <v>1</v>
      </c>
      <c r="E254" s="5">
        <v>211</v>
      </c>
      <c r="F254" s="5">
        <f>ROUND(Source!Y227,O254)</f>
        <v>8717</v>
      </c>
      <c r="G254" s="5" t="s">
        <v>106</v>
      </c>
      <c r="H254" s="5" t="s">
        <v>107</v>
      </c>
      <c r="I254" s="5"/>
      <c r="J254" s="5"/>
      <c r="K254" s="5">
        <v>211</v>
      </c>
      <c r="L254" s="5">
        <v>26</v>
      </c>
      <c r="M254" s="5">
        <v>3</v>
      </c>
      <c r="N254" s="5" t="s">
        <v>3</v>
      </c>
      <c r="O254" s="5">
        <v>0</v>
      </c>
      <c r="P254" s="5">
        <f>ROUND(Source!DQ227,O254)</f>
        <v>314115</v>
      </c>
      <c r="Q254" s="5"/>
      <c r="R254" s="5"/>
      <c r="S254" s="5"/>
      <c r="T254" s="5"/>
      <c r="U254" s="5"/>
      <c r="V254" s="5"/>
      <c r="W254" s="5">
        <v>8717</v>
      </c>
      <c r="X254" s="5">
        <v>1</v>
      </c>
      <c r="Y254" s="5">
        <v>8717</v>
      </c>
      <c r="Z254" s="5">
        <v>314115</v>
      </c>
      <c r="AA254" s="5">
        <v>1</v>
      </c>
      <c r="AB254" s="5">
        <v>314115</v>
      </c>
    </row>
    <row r="255" spans="1:28" ht="12.75">
      <c r="A255" s="5">
        <v>50</v>
      </c>
      <c r="B255" s="5">
        <v>0</v>
      </c>
      <c r="C255" s="5">
        <v>0</v>
      </c>
      <c r="D255" s="5">
        <v>1</v>
      </c>
      <c r="E255" s="5">
        <v>0</v>
      </c>
      <c r="F255" s="5">
        <f>ROUND(Source!AR227,O255)</f>
        <v>234654</v>
      </c>
      <c r="G255" s="5" t="s">
        <v>108</v>
      </c>
      <c r="H255" s="5" t="s">
        <v>109</v>
      </c>
      <c r="I255" s="5"/>
      <c r="J255" s="5"/>
      <c r="K255" s="5">
        <v>224</v>
      </c>
      <c r="L255" s="5">
        <v>27</v>
      </c>
      <c r="M255" s="5">
        <v>3</v>
      </c>
      <c r="N255" s="5" t="s">
        <v>3</v>
      </c>
      <c r="O255" s="5">
        <v>0</v>
      </c>
      <c r="P255" s="5">
        <f>ROUND(Source!EJ227,O255)</f>
        <v>2496116</v>
      </c>
      <c r="Q255" s="5"/>
      <c r="R255" s="5"/>
      <c r="S255" s="5"/>
      <c r="T255" s="5"/>
      <c r="U255" s="5"/>
      <c r="V255" s="5"/>
      <c r="W255" s="5">
        <v>234654</v>
      </c>
      <c r="X255" s="5">
        <v>1</v>
      </c>
      <c r="Y255" s="5">
        <v>234654</v>
      </c>
      <c r="Z255" s="5">
        <v>2496116</v>
      </c>
      <c r="AA255" s="5">
        <v>1</v>
      </c>
      <c r="AB255" s="5">
        <v>2496116</v>
      </c>
    </row>
    <row r="256" spans="1:28" ht="12.75">
      <c r="A256" s="5">
        <v>50</v>
      </c>
      <c r="B256" s="5">
        <v>1</v>
      </c>
      <c r="C256" s="5">
        <v>0</v>
      </c>
      <c r="D256" s="5">
        <v>2</v>
      </c>
      <c r="E256" s="5">
        <v>0</v>
      </c>
      <c r="F256" s="5">
        <f>ROUND(F255*0.2,O256)</f>
        <v>46930.8</v>
      </c>
      <c r="G256" s="5" t="s">
        <v>241</v>
      </c>
      <c r="H256" s="5" t="s">
        <v>242</v>
      </c>
      <c r="I256" s="5"/>
      <c r="J256" s="5"/>
      <c r="K256" s="5">
        <v>212</v>
      </c>
      <c r="L256" s="5">
        <v>28</v>
      </c>
      <c r="M256" s="5">
        <v>0</v>
      </c>
      <c r="N256" s="5" t="s">
        <v>3</v>
      </c>
      <c r="O256" s="5">
        <v>2</v>
      </c>
      <c r="P256" s="5">
        <f>ROUND(P255*0.2,O256)</f>
        <v>499223.2</v>
      </c>
      <c r="Q256" s="5"/>
      <c r="R256" s="5"/>
      <c r="S256" s="5"/>
      <c r="T256" s="5"/>
      <c r="U256" s="5"/>
      <c r="V256" s="5"/>
      <c r="W256" s="5">
        <v>46931</v>
      </c>
      <c r="X256" s="5">
        <v>1</v>
      </c>
      <c r="Y256" s="5">
        <v>46931</v>
      </c>
      <c r="Z256" s="5">
        <v>499223</v>
      </c>
      <c r="AA256" s="5">
        <v>1</v>
      </c>
      <c r="AB256" s="5">
        <v>499223</v>
      </c>
    </row>
    <row r="257" spans="1:28" ht="12.75">
      <c r="A257" s="5">
        <v>50</v>
      </c>
      <c r="B257" s="5">
        <v>1</v>
      </c>
      <c r="C257" s="5">
        <v>0</v>
      </c>
      <c r="D257" s="5">
        <v>2</v>
      </c>
      <c r="E257" s="5">
        <v>224</v>
      </c>
      <c r="F257" s="5">
        <f>ROUND(F255+F256,O257)</f>
        <v>281584.8</v>
      </c>
      <c r="G257" s="5" t="s">
        <v>243</v>
      </c>
      <c r="H257" s="5" t="s">
        <v>244</v>
      </c>
      <c r="I257" s="5"/>
      <c r="J257" s="5"/>
      <c r="K257" s="5">
        <v>212</v>
      </c>
      <c r="L257" s="5">
        <v>29</v>
      </c>
      <c r="M257" s="5">
        <v>0</v>
      </c>
      <c r="N257" s="5" t="s">
        <v>3</v>
      </c>
      <c r="O257" s="5">
        <v>2</v>
      </c>
      <c r="P257" s="5">
        <f>ROUND(P255+P256,O257)</f>
        <v>2995339.2</v>
      </c>
      <c r="Q257" s="5"/>
      <c r="R257" s="5"/>
      <c r="S257" s="5"/>
      <c r="T257" s="5"/>
      <c r="U257" s="5"/>
      <c r="V257" s="5"/>
      <c r="W257" s="5">
        <v>281585</v>
      </c>
      <c r="X257" s="5">
        <v>1</v>
      </c>
      <c r="Y257" s="5">
        <v>281585</v>
      </c>
      <c r="Z257" s="5">
        <v>2995339</v>
      </c>
      <c r="AA257" s="5">
        <v>1</v>
      </c>
      <c r="AB257" s="5">
        <v>2995339</v>
      </c>
    </row>
    <row r="259" spans="1:8" ht="12.75">
      <c r="A259" s="6">
        <v>61</v>
      </c>
      <c r="B259" s="6"/>
      <c r="C259" s="6"/>
      <c r="D259" s="6"/>
      <c r="E259" s="6"/>
      <c r="F259" s="6">
        <v>3</v>
      </c>
      <c r="G259" s="6" t="s">
        <v>245</v>
      </c>
      <c r="H259" s="6" t="s">
        <v>246</v>
      </c>
    </row>
    <row r="260" spans="1:8" ht="12.75">
      <c r="A260" s="6">
        <v>61</v>
      </c>
      <c r="B260" s="6"/>
      <c r="C260" s="6"/>
      <c r="D260" s="6"/>
      <c r="E260" s="6"/>
      <c r="F260" s="6">
        <v>2</v>
      </c>
      <c r="G260" s="6" t="s">
        <v>247</v>
      </c>
      <c r="H260" s="6" t="s">
        <v>246</v>
      </c>
    </row>
    <row r="261" spans="1:8" ht="12.75">
      <c r="A261" s="6">
        <v>61</v>
      </c>
      <c r="B261" s="6"/>
      <c r="C261" s="6"/>
      <c r="D261" s="6"/>
      <c r="E261" s="6"/>
      <c r="F261" s="6">
        <v>1</v>
      </c>
      <c r="G261" s="6" t="s">
        <v>248</v>
      </c>
      <c r="H261" s="6" t="s">
        <v>246</v>
      </c>
    </row>
    <row r="264" spans="1:16" ht="12.75">
      <c r="A264">
        <v>70</v>
      </c>
      <c r="B264">
        <v>1</v>
      </c>
      <c r="D264">
        <v>1</v>
      </c>
      <c r="E264" t="s">
        <v>249</v>
      </c>
      <c r="F264" t="s">
        <v>250</v>
      </c>
      <c r="G264">
        <v>1</v>
      </c>
      <c r="H264">
        <v>0</v>
      </c>
      <c r="J264">
        <v>1</v>
      </c>
      <c r="K264">
        <v>0</v>
      </c>
      <c r="N264">
        <v>0</v>
      </c>
      <c r="O264">
        <v>1</v>
      </c>
      <c r="P264" t="s">
        <v>251</v>
      </c>
    </row>
    <row r="265" spans="1:16" ht="12.75">
      <c r="A265">
        <v>70</v>
      </c>
      <c r="B265">
        <v>1</v>
      </c>
      <c r="D265">
        <v>2</v>
      </c>
      <c r="E265" t="s">
        <v>252</v>
      </c>
      <c r="F265" t="s">
        <v>253</v>
      </c>
      <c r="G265">
        <v>0</v>
      </c>
      <c r="H265">
        <v>0</v>
      </c>
      <c r="J265">
        <v>1</v>
      </c>
      <c r="K265">
        <v>0</v>
      </c>
      <c r="N265">
        <v>0</v>
      </c>
      <c r="O265">
        <v>0</v>
      </c>
      <c r="P265" t="s">
        <v>254</v>
      </c>
    </row>
    <row r="266" spans="1:16" ht="12.75">
      <c r="A266">
        <v>70</v>
      </c>
      <c r="B266">
        <v>1</v>
      </c>
      <c r="D266">
        <v>3</v>
      </c>
      <c r="E266" t="s">
        <v>255</v>
      </c>
      <c r="F266" t="s">
        <v>256</v>
      </c>
      <c r="G266">
        <v>0</v>
      </c>
      <c r="H266">
        <v>0</v>
      </c>
      <c r="J266">
        <v>1</v>
      </c>
      <c r="K266">
        <v>0</v>
      </c>
      <c r="N266">
        <v>0</v>
      </c>
      <c r="O266">
        <v>0</v>
      </c>
      <c r="P266" t="s">
        <v>257</v>
      </c>
    </row>
    <row r="267" spans="1:16" ht="12.75">
      <c r="A267">
        <v>70</v>
      </c>
      <c r="B267">
        <v>1</v>
      </c>
      <c r="D267">
        <v>4</v>
      </c>
      <c r="E267" t="s">
        <v>258</v>
      </c>
      <c r="F267" t="s">
        <v>259</v>
      </c>
      <c r="G267">
        <v>1</v>
      </c>
      <c r="H267">
        <v>0</v>
      </c>
      <c r="J267">
        <v>2</v>
      </c>
      <c r="K267">
        <v>0</v>
      </c>
      <c r="N267">
        <v>0</v>
      </c>
      <c r="O267">
        <v>1</v>
      </c>
    </row>
    <row r="268" spans="1:16" ht="12.75">
      <c r="A268">
        <v>70</v>
      </c>
      <c r="B268">
        <v>1</v>
      </c>
      <c r="D268">
        <v>5</v>
      </c>
      <c r="E268" t="s">
        <v>260</v>
      </c>
      <c r="F268" t="s">
        <v>261</v>
      </c>
      <c r="G268">
        <v>0</v>
      </c>
      <c r="H268">
        <v>0</v>
      </c>
      <c r="J268">
        <v>2</v>
      </c>
      <c r="K268">
        <v>0</v>
      </c>
      <c r="N268">
        <v>0</v>
      </c>
      <c r="O268">
        <v>0</v>
      </c>
    </row>
    <row r="269" spans="1:16" ht="12.75">
      <c r="A269">
        <v>70</v>
      </c>
      <c r="B269">
        <v>1</v>
      </c>
      <c r="D269">
        <v>6</v>
      </c>
      <c r="E269" t="s">
        <v>262</v>
      </c>
      <c r="F269" t="s">
        <v>263</v>
      </c>
      <c r="G269">
        <v>0</v>
      </c>
      <c r="H269">
        <v>0</v>
      </c>
      <c r="J269">
        <v>2</v>
      </c>
      <c r="K269">
        <v>0</v>
      </c>
      <c r="N269">
        <v>0</v>
      </c>
      <c r="O269">
        <v>0</v>
      </c>
    </row>
    <row r="270" spans="1:16" ht="12.75">
      <c r="A270">
        <v>70</v>
      </c>
      <c r="B270">
        <v>1</v>
      </c>
      <c r="D270">
        <v>7</v>
      </c>
      <c r="E270" t="s">
        <v>264</v>
      </c>
      <c r="F270" t="s">
        <v>265</v>
      </c>
      <c r="G270">
        <v>0</v>
      </c>
      <c r="H270">
        <v>0</v>
      </c>
      <c r="I270" t="s">
        <v>266</v>
      </c>
      <c r="J270">
        <v>0</v>
      </c>
      <c r="K270">
        <v>0</v>
      </c>
      <c r="N270">
        <v>0</v>
      </c>
      <c r="O270">
        <v>0</v>
      </c>
      <c r="P270" t="s">
        <v>267</v>
      </c>
    </row>
    <row r="271" spans="1:16" ht="12.75">
      <c r="A271">
        <v>70</v>
      </c>
      <c r="B271">
        <v>1</v>
      </c>
      <c r="D271">
        <v>8</v>
      </c>
      <c r="E271" t="s">
        <v>268</v>
      </c>
      <c r="F271" t="s">
        <v>269</v>
      </c>
      <c r="G271">
        <v>0</v>
      </c>
      <c r="H271">
        <v>0</v>
      </c>
      <c r="I271" t="s">
        <v>270</v>
      </c>
      <c r="J271">
        <v>0</v>
      </c>
      <c r="K271">
        <v>0</v>
      </c>
      <c r="N271">
        <v>0</v>
      </c>
      <c r="O271">
        <v>0</v>
      </c>
      <c r="P271" t="s">
        <v>268</v>
      </c>
    </row>
    <row r="272" spans="1:16" ht="12.75">
      <c r="A272">
        <v>70</v>
      </c>
      <c r="B272">
        <v>1</v>
      </c>
      <c r="D272">
        <v>9</v>
      </c>
      <c r="E272" t="s">
        <v>271</v>
      </c>
      <c r="F272" t="s">
        <v>272</v>
      </c>
      <c r="G272">
        <v>0</v>
      </c>
      <c r="H272">
        <v>0</v>
      </c>
      <c r="I272" t="s">
        <v>273</v>
      </c>
      <c r="J272">
        <v>0</v>
      </c>
      <c r="K272">
        <v>0</v>
      </c>
      <c r="N272">
        <v>0</v>
      </c>
      <c r="O272">
        <v>0</v>
      </c>
      <c r="P272" t="s">
        <v>274</v>
      </c>
    </row>
    <row r="273" spans="1:16" ht="12.75">
      <c r="A273">
        <v>70</v>
      </c>
      <c r="B273">
        <v>1</v>
      </c>
      <c r="D273">
        <v>10</v>
      </c>
      <c r="E273" t="s">
        <v>275</v>
      </c>
      <c r="F273" t="s">
        <v>276</v>
      </c>
      <c r="G273">
        <v>0</v>
      </c>
      <c r="H273">
        <v>0</v>
      </c>
      <c r="I273" t="s">
        <v>277</v>
      </c>
      <c r="J273">
        <v>0</v>
      </c>
      <c r="K273">
        <v>0</v>
      </c>
      <c r="N273">
        <v>0</v>
      </c>
      <c r="O273">
        <v>0</v>
      </c>
      <c r="P273" t="s">
        <v>278</v>
      </c>
    </row>
    <row r="274" spans="1:16" ht="12.75">
      <c r="A274">
        <v>70</v>
      </c>
      <c r="B274">
        <v>1</v>
      </c>
      <c r="D274">
        <v>11</v>
      </c>
      <c r="E274" t="s">
        <v>279</v>
      </c>
      <c r="F274" t="s">
        <v>280</v>
      </c>
      <c r="G274">
        <v>0</v>
      </c>
      <c r="H274">
        <v>0</v>
      </c>
      <c r="I274" t="s">
        <v>281</v>
      </c>
      <c r="J274">
        <v>0</v>
      </c>
      <c r="K274">
        <v>0</v>
      </c>
      <c r="N274">
        <v>0</v>
      </c>
      <c r="O274">
        <v>0</v>
      </c>
      <c r="P274" t="s">
        <v>282</v>
      </c>
    </row>
    <row r="275" spans="1:16" ht="12.75">
      <c r="A275">
        <v>70</v>
      </c>
      <c r="B275">
        <v>1</v>
      </c>
      <c r="D275">
        <v>12</v>
      </c>
      <c r="E275" t="s">
        <v>283</v>
      </c>
      <c r="F275" t="s">
        <v>284</v>
      </c>
      <c r="G275">
        <v>0</v>
      </c>
      <c r="H275">
        <v>0</v>
      </c>
      <c r="J275">
        <v>0</v>
      </c>
      <c r="K275">
        <v>0</v>
      </c>
      <c r="N275">
        <v>0</v>
      </c>
      <c r="O275">
        <v>0</v>
      </c>
      <c r="P275" t="s">
        <v>285</v>
      </c>
    </row>
    <row r="276" spans="1:16" ht="12.75">
      <c r="A276">
        <v>70</v>
      </c>
      <c r="B276">
        <v>1</v>
      </c>
      <c r="D276">
        <v>1</v>
      </c>
      <c r="E276" t="s">
        <v>286</v>
      </c>
      <c r="F276" t="s">
        <v>287</v>
      </c>
      <c r="G276">
        <v>0.9</v>
      </c>
      <c r="H276">
        <v>1</v>
      </c>
      <c r="I276" t="s">
        <v>288</v>
      </c>
      <c r="J276">
        <v>0</v>
      </c>
      <c r="K276">
        <v>0</v>
      </c>
      <c r="N276">
        <v>0</v>
      </c>
      <c r="O276">
        <v>0.9</v>
      </c>
      <c r="P276" t="s">
        <v>289</v>
      </c>
    </row>
    <row r="277" spans="1:16" ht="12.75">
      <c r="A277">
        <v>70</v>
      </c>
      <c r="B277">
        <v>1</v>
      </c>
      <c r="D277">
        <v>2</v>
      </c>
      <c r="E277" t="s">
        <v>290</v>
      </c>
      <c r="F277" t="s">
        <v>291</v>
      </c>
      <c r="G277">
        <v>0.85</v>
      </c>
      <c r="H277">
        <v>1</v>
      </c>
      <c r="I277" t="s">
        <v>292</v>
      </c>
      <c r="J277">
        <v>0</v>
      </c>
      <c r="K277">
        <v>0</v>
      </c>
      <c r="N277">
        <v>0</v>
      </c>
      <c r="O277">
        <v>0.85</v>
      </c>
      <c r="P277" t="s">
        <v>293</v>
      </c>
    </row>
    <row r="278" spans="1:16" ht="12.75">
      <c r="A278">
        <v>70</v>
      </c>
      <c r="B278">
        <v>1</v>
      </c>
      <c r="D278">
        <v>3</v>
      </c>
      <c r="E278" t="s">
        <v>294</v>
      </c>
      <c r="F278" t="s">
        <v>295</v>
      </c>
      <c r="G278">
        <v>1.03</v>
      </c>
      <c r="H278">
        <v>0</v>
      </c>
      <c r="J278">
        <v>0</v>
      </c>
      <c r="K278">
        <v>0</v>
      </c>
      <c r="N278">
        <v>0</v>
      </c>
      <c r="O278">
        <v>1.03</v>
      </c>
      <c r="P278" t="s">
        <v>296</v>
      </c>
    </row>
    <row r="279" spans="1:16" ht="12.75">
      <c r="A279">
        <v>70</v>
      </c>
      <c r="B279">
        <v>1</v>
      </c>
      <c r="D279">
        <v>4</v>
      </c>
      <c r="E279" t="s">
        <v>297</v>
      </c>
      <c r="F279" t="s">
        <v>298</v>
      </c>
      <c r="G279">
        <v>1.09</v>
      </c>
      <c r="H279">
        <v>0</v>
      </c>
      <c r="J279">
        <v>0</v>
      </c>
      <c r="K279">
        <v>0</v>
      </c>
      <c r="N279">
        <v>0</v>
      </c>
      <c r="O279">
        <v>1.09</v>
      </c>
      <c r="P279" t="s">
        <v>299</v>
      </c>
    </row>
    <row r="280" spans="1:16" ht="12.75">
      <c r="A280">
        <v>70</v>
      </c>
      <c r="B280">
        <v>1</v>
      </c>
      <c r="D280">
        <v>5</v>
      </c>
      <c r="E280" t="s">
        <v>300</v>
      </c>
      <c r="F280" t="s">
        <v>301</v>
      </c>
      <c r="G280">
        <v>7</v>
      </c>
      <c r="H280">
        <v>0</v>
      </c>
      <c r="J280">
        <v>0</v>
      </c>
      <c r="K280">
        <v>0</v>
      </c>
      <c r="N280">
        <v>0</v>
      </c>
      <c r="O280">
        <v>7</v>
      </c>
    </row>
    <row r="281" spans="1:16" ht="12.75">
      <c r="A281">
        <v>70</v>
      </c>
      <c r="B281">
        <v>1</v>
      </c>
      <c r="D281">
        <v>6</v>
      </c>
      <c r="E281" t="s">
        <v>302</v>
      </c>
      <c r="G281">
        <v>2</v>
      </c>
      <c r="H281">
        <v>0</v>
      </c>
      <c r="J281">
        <v>0</v>
      </c>
      <c r="K281">
        <v>0</v>
      </c>
      <c r="N281">
        <v>0</v>
      </c>
      <c r="O281">
        <v>2</v>
      </c>
    </row>
    <row r="283" ht="12.75">
      <c r="A283">
        <v>-1</v>
      </c>
    </row>
    <row r="285" spans="1:15" ht="12.75">
      <c r="A285" s="4">
        <v>75</v>
      </c>
      <c r="B285" s="4" t="s">
        <v>303</v>
      </c>
      <c r="C285" s="4">
        <v>2000</v>
      </c>
      <c r="D285" s="4">
        <v>0</v>
      </c>
      <c r="E285" s="4">
        <v>1</v>
      </c>
      <c r="F285" s="4"/>
      <c r="G285" s="4">
        <v>0</v>
      </c>
      <c r="H285" s="4">
        <v>1</v>
      </c>
      <c r="I285" s="4">
        <v>0</v>
      </c>
      <c r="J285" s="4">
        <v>1</v>
      </c>
      <c r="K285" s="4">
        <v>0</v>
      </c>
      <c r="L285" s="4">
        <v>0</v>
      </c>
      <c r="M285" s="4">
        <v>0</v>
      </c>
      <c r="N285" s="4">
        <v>55110074</v>
      </c>
      <c r="O285" s="4">
        <v>1</v>
      </c>
    </row>
    <row r="286" spans="1:15" ht="12.75">
      <c r="A286" s="4">
        <v>75</v>
      </c>
      <c r="B286" s="4" t="s">
        <v>304</v>
      </c>
      <c r="C286" s="4">
        <v>2022</v>
      </c>
      <c r="D286" s="4">
        <v>0</v>
      </c>
      <c r="E286" s="4">
        <v>3</v>
      </c>
      <c r="F286" s="4"/>
      <c r="G286" s="4">
        <v>0</v>
      </c>
      <c r="H286" s="4">
        <v>1</v>
      </c>
      <c r="I286" s="4">
        <v>0</v>
      </c>
      <c r="J286" s="4">
        <v>1</v>
      </c>
      <c r="K286" s="4">
        <v>0</v>
      </c>
      <c r="L286" s="4">
        <v>0</v>
      </c>
      <c r="M286" s="4">
        <v>1</v>
      </c>
      <c r="N286" s="4">
        <v>55110083</v>
      </c>
      <c r="O286" s="4">
        <v>2</v>
      </c>
    </row>
    <row r="287" spans="1:40" ht="12.75">
      <c r="A287" s="7">
        <v>1</v>
      </c>
      <c r="B287" s="7" t="s">
        <v>305</v>
      </c>
      <c r="C287" s="7" t="s">
        <v>306</v>
      </c>
      <c r="D287" s="7">
        <v>2022</v>
      </c>
      <c r="E287" s="7">
        <v>3</v>
      </c>
      <c r="F287" s="7">
        <v>1</v>
      </c>
      <c r="G287" s="7">
        <v>1</v>
      </c>
      <c r="H287" s="7">
        <v>0</v>
      </c>
      <c r="I287" s="7">
        <v>2</v>
      </c>
      <c r="J287" s="7">
        <v>1</v>
      </c>
      <c r="K287" s="7">
        <v>1</v>
      </c>
      <c r="L287" s="7">
        <v>1</v>
      </c>
      <c r="M287" s="7">
        <v>1</v>
      </c>
      <c r="N287" s="7">
        <v>1</v>
      </c>
      <c r="O287" s="7">
        <v>1</v>
      </c>
      <c r="P287" s="7">
        <v>1</v>
      </c>
      <c r="Q287" s="7">
        <v>1</v>
      </c>
      <c r="R287" s="7" t="s">
        <v>3</v>
      </c>
      <c r="S287" s="7" t="s">
        <v>3</v>
      </c>
      <c r="T287" s="7" t="s">
        <v>3</v>
      </c>
      <c r="U287" s="7" t="s">
        <v>3</v>
      </c>
      <c r="V287" s="7" t="s">
        <v>3</v>
      </c>
      <c r="W287" s="7" t="s">
        <v>3</v>
      </c>
      <c r="X287" s="7" t="s">
        <v>3</v>
      </c>
      <c r="Y287" s="7" t="s">
        <v>3</v>
      </c>
      <c r="Z287" s="7" t="s">
        <v>3</v>
      </c>
      <c r="AA287" s="7" t="s">
        <v>3</v>
      </c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>
        <v>55110092</v>
      </c>
    </row>
    <row r="291" spans="1:5" ht="12.75">
      <c r="A291">
        <v>65</v>
      </c>
      <c r="C291">
        <v>1</v>
      </c>
      <c r="D291">
        <v>0</v>
      </c>
      <c r="E291">
        <v>245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C55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7" ht="12.75">
      <c r="A1">
        <v>0</v>
      </c>
      <c r="B1" t="s">
        <v>0</v>
      </c>
      <c r="D1" t="s">
        <v>307</v>
      </c>
      <c r="F1">
        <v>0</v>
      </c>
      <c r="G1">
        <v>0</v>
      </c>
      <c r="H1">
        <v>0</v>
      </c>
      <c r="I1" t="s">
        <v>2</v>
      </c>
      <c r="K1">
        <v>1</v>
      </c>
      <c r="L1">
        <v>58091</v>
      </c>
      <c r="M1">
        <v>10</v>
      </c>
      <c r="N1">
        <v>11</v>
      </c>
      <c r="O1">
        <v>5</v>
      </c>
      <c r="P1">
        <v>0</v>
      </c>
      <c r="Q1">
        <v>1</v>
      </c>
    </row>
    <row r="12" spans="1:133" ht="12.75">
      <c r="A12" s="1">
        <v>1</v>
      </c>
      <c r="B12" s="1">
        <v>53</v>
      </c>
      <c r="C12" s="1">
        <v>0</v>
      </c>
      <c r="D12" s="1"/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>
        <v>0</v>
      </c>
      <c r="M12" s="1">
        <v>11</v>
      </c>
      <c r="N12" s="1"/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4</v>
      </c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5</v>
      </c>
      <c r="AC12" s="1" t="s">
        <v>6</v>
      </c>
      <c r="AD12" s="1" t="s">
        <v>7</v>
      </c>
      <c r="AE12" s="1" t="s">
        <v>8</v>
      </c>
      <c r="AF12" s="1" t="s">
        <v>3</v>
      </c>
      <c r="AG12" s="1" t="s">
        <v>3</v>
      </c>
      <c r="AH12" s="1" t="s">
        <v>9</v>
      </c>
      <c r="AI12" s="1" t="s">
        <v>10</v>
      </c>
      <c r="AJ12" s="1" t="s">
        <v>11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>
        <v>0</v>
      </c>
      <c r="BC12" s="1"/>
      <c r="BD12" s="1"/>
      <c r="BE12" s="1"/>
      <c r="BF12" s="1"/>
      <c r="BG12" s="1"/>
      <c r="BH12" s="1" t="s">
        <v>12</v>
      </c>
      <c r="BI12" s="1" t="s">
        <v>13</v>
      </c>
      <c r="BJ12" s="1">
        <v>1</v>
      </c>
      <c r="BK12" s="1">
        <v>1</v>
      </c>
      <c r="BL12" s="1">
        <v>0</v>
      </c>
      <c r="BM12" s="1">
        <v>0</v>
      </c>
      <c r="BN12" s="1">
        <v>1</v>
      </c>
      <c r="BO12" s="1">
        <v>0</v>
      </c>
      <c r="BP12" s="1">
        <v>2</v>
      </c>
      <c r="BQ12" s="1">
        <v>0</v>
      </c>
      <c r="BR12" s="1">
        <v>1</v>
      </c>
      <c r="BS12" s="1">
        <v>1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 t="s">
        <v>14</v>
      </c>
      <c r="BZ12" s="1" t="s">
        <v>15</v>
      </c>
      <c r="CA12" s="1" t="s">
        <v>16</v>
      </c>
      <c r="CB12" s="1" t="s">
        <v>16</v>
      </c>
      <c r="CC12" s="1" t="s">
        <v>16</v>
      </c>
      <c r="CD12" s="1" t="s">
        <v>16</v>
      </c>
      <c r="CE12" s="1" t="s">
        <v>17</v>
      </c>
      <c r="CF12" s="1">
        <v>0</v>
      </c>
      <c r="CG12" s="1">
        <v>0</v>
      </c>
      <c r="CH12" s="1">
        <v>403177480</v>
      </c>
      <c r="CI12" s="1" t="s">
        <v>3</v>
      </c>
      <c r="CJ12" s="1" t="s">
        <v>3</v>
      </c>
      <c r="CK12" s="1">
        <v>9</v>
      </c>
      <c r="CL12" s="1"/>
      <c r="CM12" s="1"/>
      <c r="CN12" s="1"/>
      <c r="CO12" s="1"/>
      <c r="CP12" s="1"/>
      <c r="CQ12" s="1" t="s">
        <v>380</v>
      </c>
      <c r="CR12" s="1" t="s">
        <v>308</v>
      </c>
      <c r="CS12" s="1">
        <v>44551</v>
      </c>
      <c r="CT12" s="1">
        <v>395</v>
      </c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5" ht="12.75">
      <c r="A14" s="1">
        <v>22</v>
      </c>
      <c r="B14" s="1">
        <v>0</v>
      </c>
      <c r="C14" s="1">
        <v>0</v>
      </c>
      <c r="D14" s="1">
        <v>55110074</v>
      </c>
      <c r="E14" s="1">
        <v>55110083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87" ht="12.75">
      <c r="A16" s="8">
        <v>3</v>
      </c>
      <c r="B16" s="8">
        <v>1</v>
      </c>
      <c r="C16" s="8" t="s">
        <v>18</v>
      </c>
      <c r="D16" s="8" t="s">
        <v>18</v>
      </c>
      <c r="E16" s="9">
        <f>(Source!F214)/1000</f>
        <v>234.654</v>
      </c>
      <c r="F16" s="9">
        <f>(Source!F215)/1000</f>
        <v>0</v>
      </c>
      <c r="G16" s="9">
        <f>(Source!F206)/1000</f>
        <v>0</v>
      </c>
      <c r="H16" s="9">
        <f>(Source!F216)/1000+(Source!F217)/1000</f>
        <v>0</v>
      </c>
      <c r="I16" s="9">
        <f>E16+F16+G16+H16</f>
        <v>234.654</v>
      </c>
      <c r="J16" s="9">
        <f>(Source!F212)/1000</f>
        <v>14.37</v>
      </c>
      <c r="T16" s="10">
        <f>(Source!P214)/1000</f>
        <v>2496.116</v>
      </c>
      <c r="U16" s="10">
        <f>(Source!P215)/1000</f>
        <v>0</v>
      </c>
      <c r="V16" s="10">
        <f>(Source!P206)/1000</f>
        <v>0</v>
      </c>
      <c r="W16" s="10">
        <f>(Source!P216)/1000+(Source!P217)/1000</f>
        <v>0</v>
      </c>
      <c r="X16" s="10">
        <f>T16+U16+V16+W16</f>
        <v>2496.116</v>
      </c>
      <c r="Y16" s="10">
        <f>(Source!P212)/1000</f>
        <v>517.754</v>
      </c>
      <c r="AI16" s="8">
        <v>0</v>
      </c>
      <c r="AJ16" s="8">
        <v>0</v>
      </c>
      <c r="AK16" s="8" t="s">
        <v>3</v>
      </c>
      <c r="AL16" s="8" t="s">
        <v>3</v>
      </c>
      <c r="AM16" s="8" t="s">
        <v>3</v>
      </c>
      <c r="AN16" s="8">
        <v>0</v>
      </c>
      <c r="AO16" s="8" t="s">
        <v>3</v>
      </c>
      <c r="AP16" s="8" t="s">
        <v>3</v>
      </c>
      <c r="AT16" s="9">
        <v>209836</v>
      </c>
      <c r="AU16" s="9">
        <v>185844</v>
      </c>
      <c r="AV16" s="9">
        <v>0</v>
      </c>
      <c r="AW16" s="9">
        <v>0</v>
      </c>
      <c r="AX16" s="9">
        <v>0</v>
      </c>
      <c r="AY16" s="9">
        <v>5556</v>
      </c>
      <c r="AZ16" s="9">
        <v>606</v>
      </c>
      <c r="BA16" s="9">
        <v>14370</v>
      </c>
      <c r="BB16" s="9">
        <v>234654</v>
      </c>
      <c r="BC16" s="9">
        <v>0</v>
      </c>
      <c r="BD16" s="9">
        <v>0</v>
      </c>
      <c r="BE16" s="9">
        <v>0</v>
      </c>
      <c r="BF16" s="9">
        <v>1694.79254</v>
      </c>
      <c r="BG16" s="9">
        <v>50.097475</v>
      </c>
      <c r="BH16" s="9">
        <v>0</v>
      </c>
      <c r="BI16" s="9">
        <v>16101</v>
      </c>
      <c r="BJ16" s="9">
        <v>8717</v>
      </c>
      <c r="BK16" s="9">
        <v>234654</v>
      </c>
      <c r="BR16" s="10">
        <v>1601738</v>
      </c>
      <c r="BS16" s="10">
        <v>989058</v>
      </c>
      <c r="BT16" s="10">
        <v>0</v>
      </c>
      <c r="BU16" s="10">
        <v>0</v>
      </c>
      <c r="BV16" s="10">
        <v>0</v>
      </c>
      <c r="BW16" s="10">
        <v>47592</v>
      </c>
      <c r="BX16" s="10">
        <v>21870</v>
      </c>
      <c r="BY16" s="10">
        <v>517754</v>
      </c>
      <c r="BZ16" s="10">
        <v>2496116</v>
      </c>
      <c r="CA16" s="10">
        <v>0</v>
      </c>
      <c r="CB16" s="10">
        <v>0</v>
      </c>
      <c r="CC16" s="10">
        <v>0</v>
      </c>
      <c r="CD16" s="10">
        <v>1694.79254</v>
      </c>
      <c r="CE16" s="10">
        <v>50.097475</v>
      </c>
      <c r="CF16" s="10">
        <v>0</v>
      </c>
      <c r="CG16" s="10">
        <v>580263</v>
      </c>
      <c r="CH16" s="10">
        <v>314115</v>
      </c>
      <c r="CI16" s="10">
        <v>2496116</v>
      </c>
    </row>
    <row r="18" spans="1:40" ht="12.75">
      <c r="A18">
        <v>51</v>
      </c>
      <c r="E18" s="6">
        <f>SUMIF(A16:A17,3,E16:E17)</f>
        <v>234.654</v>
      </c>
      <c r="F18" s="6">
        <f>SUMIF(A16:A17,3,F16:F17)</f>
        <v>0</v>
      </c>
      <c r="G18" s="6">
        <f>SUMIF(A16:A17,3,G16:G17)</f>
        <v>0</v>
      </c>
      <c r="H18" s="6">
        <f>SUMIF(A16:A17,3,H16:H17)</f>
        <v>0</v>
      </c>
      <c r="I18" s="6">
        <f>SUMIF(A16:A17,3,I16:I17)</f>
        <v>234.654</v>
      </c>
      <c r="J18" s="6">
        <f>SUMIF(A16:A17,3,J16:J17)</f>
        <v>14.37</v>
      </c>
      <c r="K18" s="6"/>
      <c r="L18" s="6"/>
      <c r="M18" s="6"/>
      <c r="N18" s="6"/>
      <c r="O18" s="6"/>
      <c r="P18" s="6"/>
      <c r="Q18" s="6"/>
      <c r="R18" s="6"/>
      <c r="S18" s="6"/>
      <c r="T18" s="3">
        <f>SUMIF(A16:A17,3,T16:T17)</f>
        <v>2496.116</v>
      </c>
      <c r="U18" s="3">
        <f>SUMIF(A16:A17,3,U16:U17)</f>
        <v>0</v>
      </c>
      <c r="V18" s="3">
        <f>SUMIF(A16:A17,3,V16:V17)</f>
        <v>0</v>
      </c>
      <c r="W18" s="3">
        <f>SUMIF(A16:A17,3,W16:W17)</f>
        <v>0</v>
      </c>
      <c r="X18" s="3">
        <f>SUMIF(A16:A17,3,X16:X17)</f>
        <v>2496.116</v>
      </c>
      <c r="Y18" s="3">
        <f>SUMIF(A16:A17,3,Y16:Y17)</f>
        <v>517.754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16" ht="12.75">
      <c r="A20" s="5">
        <v>50</v>
      </c>
      <c r="B20" s="5">
        <v>0</v>
      </c>
      <c r="C20" s="5">
        <v>0</v>
      </c>
      <c r="D20" s="5">
        <v>1</v>
      </c>
      <c r="E20" s="5">
        <v>201</v>
      </c>
      <c r="F20" s="5">
        <v>209836</v>
      </c>
      <c r="G20" s="5" t="s">
        <v>56</v>
      </c>
      <c r="H20" s="5" t="s">
        <v>57</v>
      </c>
      <c r="I20" s="5"/>
      <c r="J20" s="5"/>
      <c r="K20" s="5">
        <v>201</v>
      </c>
      <c r="L20" s="5">
        <v>1</v>
      </c>
      <c r="M20" s="5">
        <v>3</v>
      </c>
      <c r="N20" s="5" t="s">
        <v>3</v>
      </c>
      <c r="O20" s="5">
        <v>0</v>
      </c>
      <c r="P20" s="5">
        <v>1601738</v>
      </c>
    </row>
    <row r="21" spans="1:16" ht="12.75">
      <c r="A21" s="5">
        <v>50</v>
      </c>
      <c r="B21" s="5">
        <v>0</v>
      </c>
      <c r="C21" s="5">
        <v>0</v>
      </c>
      <c r="D21" s="5">
        <v>1</v>
      </c>
      <c r="E21" s="5">
        <v>202</v>
      </c>
      <c r="F21" s="5">
        <v>185844</v>
      </c>
      <c r="G21" s="5" t="s">
        <v>58</v>
      </c>
      <c r="H21" s="5" t="s">
        <v>59</v>
      </c>
      <c r="I21" s="5"/>
      <c r="J21" s="5"/>
      <c r="K21" s="5">
        <v>202</v>
      </c>
      <c r="L21" s="5">
        <v>2</v>
      </c>
      <c r="M21" s="5">
        <v>3</v>
      </c>
      <c r="N21" s="5" t="s">
        <v>3</v>
      </c>
      <c r="O21" s="5">
        <v>0</v>
      </c>
      <c r="P21" s="5">
        <v>989058</v>
      </c>
    </row>
    <row r="22" spans="1:16" ht="12.75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60</v>
      </c>
      <c r="H22" s="5" t="s">
        <v>61</v>
      </c>
      <c r="I22" s="5"/>
      <c r="J22" s="5"/>
      <c r="K22" s="5">
        <v>222</v>
      </c>
      <c r="L22" s="5">
        <v>3</v>
      </c>
      <c r="M22" s="5">
        <v>3</v>
      </c>
      <c r="N22" s="5" t="s">
        <v>3</v>
      </c>
      <c r="O22" s="5">
        <v>0</v>
      </c>
      <c r="P22" s="5">
        <v>0</v>
      </c>
    </row>
    <row r="23" spans="1:16" ht="12.75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185844</v>
      </c>
      <c r="G23" s="5" t="s">
        <v>62</v>
      </c>
      <c r="H23" s="5" t="s">
        <v>63</v>
      </c>
      <c r="I23" s="5"/>
      <c r="J23" s="5"/>
      <c r="K23" s="5">
        <v>225</v>
      </c>
      <c r="L23" s="5">
        <v>4</v>
      </c>
      <c r="M23" s="5">
        <v>3</v>
      </c>
      <c r="N23" s="5" t="s">
        <v>3</v>
      </c>
      <c r="O23" s="5">
        <v>0</v>
      </c>
      <c r="P23" s="5">
        <v>989058</v>
      </c>
    </row>
    <row r="24" spans="1:16" ht="12.75">
      <c r="A24" s="5">
        <v>50</v>
      </c>
      <c r="B24" s="5">
        <v>0</v>
      </c>
      <c r="C24" s="5">
        <v>0</v>
      </c>
      <c r="D24" s="5">
        <v>1</v>
      </c>
      <c r="E24" s="5">
        <v>226</v>
      </c>
      <c r="F24" s="5">
        <v>185844</v>
      </c>
      <c r="G24" s="5" t="s">
        <v>64</v>
      </c>
      <c r="H24" s="5" t="s">
        <v>65</v>
      </c>
      <c r="I24" s="5"/>
      <c r="J24" s="5"/>
      <c r="K24" s="5">
        <v>226</v>
      </c>
      <c r="L24" s="5">
        <v>5</v>
      </c>
      <c r="M24" s="5">
        <v>3</v>
      </c>
      <c r="N24" s="5" t="s">
        <v>3</v>
      </c>
      <c r="O24" s="5">
        <v>0</v>
      </c>
      <c r="P24" s="5">
        <v>989058</v>
      </c>
    </row>
    <row r="25" spans="1:16" ht="12.75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66</v>
      </c>
      <c r="H25" s="5" t="s">
        <v>67</v>
      </c>
      <c r="I25" s="5"/>
      <c r="J25" s="5"/>
      <c r="K25" s="5">
        <v>227</v>
      </c>
      <c r="L25" s="5">
        <v>6</v>
      </c>
      <c r="M25" s="5">
        <v>3</v>
      </c>
      <c r="N25" s="5" t="s">
        <v>3</v>
      </c>
      <c r="O25" s="5">
        <v>0</v>
      </c>
      <c r="P25" s="5">
        <v>0</v>
      </c>
    </row>
    <row r="26" spans="1:16" ht="12.75">
      <c r="A26" s="5">
        <v>50</v>
      </c>
      <c r="B26" s="5">
        <v>0</v>
      </c>
      <c r="C26" s="5">
        <v>0</v>
      </c>
      <c r="D26" s="5">
        <v>1</v>
      </c>
      <c r="E26" s="5">
        <v>228</v>
      </c>
      <c r="F26" s="5">
        <v>185844</v>
      </c>
      <c r="G26" s="5" t="s">
        <v>68</v>
      </c>
      <c r="H26" s="5" t="s">
        <v>69</v>
      </c>
      <c r="I26" s="5"/>
      <c r="J26" s="5"/>
      <c r="K26" s="5">
        <v>228</v>
      </c>
      <c r="L26" s="5">
        <v>7</v>
      </c>
      <c r="M26" s="5">
        <v>3</v>
      </c>
      <c r="N26" s="5" t="s">
        <v>3</v>
      </c>
      <c r="O26" s="5">
        <v>0</v>
      </c>
      <c r="P26" s="5">
        <v>989058</v>
      </c>
    </row>
    <row r="27" spans="1:16" ht="12.75">
      <c r="A27" s="5">
        <v>50</v>
      </c>
      <c r="B27" s="5">
        <v>0</v>
      </c>
      <c r="C27" s="5">
        <v>0</v>
      </c>
      <c r="D27" s="5">
        <v>1</v>
      </c>
      <c r="E27" s="5">
        <v>216</v>
      </c>
      <c r="F27" s="5">
        <v>0</v>
      </c>
      <c r="G27" s="5" t="s">
        <v>70</v>
      </c>
      <c r="H27" s="5" t="s">
        <v>71</v>
      </c>
      <c r="I27" s="5"/>
      <c r="J27" s="5"/>
      <c r="K27" s="5">
        <v>216</v>
      </c>
      <c r="L27" s="5">
        <v>8</v>
      </c>
      <c r="M27" s="5">
        <v>3</v>
      </c>
      <c r="N27" s="5" t="s">
        <v>3</v>
      </c>
      <c r="O27" s="5">
        <v>0</v>
      </c>
      <c r="P27" s="5">
        <v>0</v>
      </c>
    </row>
    <row r="28" spans="1:16" ht="12.75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72</v>
      </c>
      <c r="H28" s="5" t="s">
        <v>73</v>
      </c>
      <c r="I28" s="5"/>
      <c r="J28" s="5"/>
      <c r="K28" s="5">
        <v>223</v>
      </c>
      <c r="L28" s="5">
        <v>9</v>
      </c>
      <c r="M28" s="5">
        <v>3</v>
      </c>
      <c r="N28" s="5" t="s">
        <v>3</v>
      </c>
      <c r="O28" s="5">
        <v>0</v>
      </c>
      <c r="P28" s="5">
        <v>0</v>
      </c>
    </row>
    <row r="29" spans="1:16" ht="12.75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0</v>
      </c>
      <c r="G29" s="5" t="s">
        <v>74</v>
      </c>
      <c r="H29" s="5" t="s">
        <v>75</v>
      </c>
      <c r="I29" s="5"/>
      <c r="J29" s="5"/>
      <c r="K29" s="5">
        <v>229</v>
      </c>
      <c r="L29" s="5">
        <v>10</v>
      </c>
      <c r="M29" s="5">
        <v>3</v>
      </c>
      <c r="N29" s="5" t="s">
        <v>3</v>
      </c>
      <c r="O29" s="5">
        <v>0</v>
      </c>
      <c r="P29" s="5">
        <v>0</v>
      </c>
    </row>
    <row r="30" spans="1:16" ht="12.75">
      <c r="A30" s="5">
        <v>50</v>
      </c>
      <c r="B30" s="5">
        <v>0</v>
      </c>
      <c r="C30" s="5">
        <v>0</v>
      </c>
      <c r="D30" s="5">
        <v>1</v>
      </c>
      <c r="E30" s="5">
        <v>203</v>
      </c>
      <c r="F30" s="5">
        <v>5556</v>
      </c>
      <c r="G30" s="5" t="s">
        <v>76</v>
      </c>
      <c r="H30" s="5" t="s">
        <v>77</v>
      </c>
      <c r="I30" s="5"/>
      <c r="J30" s="5"/>
      <c r="K30" s="5">
        <v>203</v>
      </c>
      <c r="L30" s="5">
        <v>11</v>
      </c>
      <c r="M30" s="5">
        <v>3</v>
      </c>
      <c r="N30" s="5" t="s">
        <v>3</v>
      </c>
      <c r="O30" s="5">
        <v>0</v>
      </c>
      <c r="P30" s="5">
        <v>47592</v>
      </c>
    </row>
    <row r="31" spans="1:16" ht="12.75">
      <c r="A31" s="5">
        <v>50</v>
      </c>
      <c r="B31" s="5">
        <v>0</v>
      </c>
      <c r="C31" s="5">
        <v>0</v>
      </c>
      <c r="D31" s="5">
        <v>1</v>
      </c>
      <c r="E31" s="5">
        <v>231</v>
      </c>
      <c r="F31" s="5">
        <v>0</v>
      </c>
      <c r="G31" s="5" t="s">
        <v>78</v>
      </c>
      <c r="H31" s="5" t="s">
        <v>79</v>
      </c>
      <c r="I31" s="5"/>
      <c r="J31" s="5"/>
      <c r="K31" s="5">
        <v>231</v>
      </c>
      <c r="L31" s="5">
        <v>12</v>
      </c>
      <c r="M31" s="5">
        <v>3</v>
      </c>
      <c r="N31" s="5" t="s">
        <v>3</v>
      </c>
      <c r="O31" s="5">
        <v>0</v>
      </c>
      <c r="P31" s="5">
        <v>0</v>
      </c>
    </row>
    <row r="32" spans="1:16" ht="12.75">
      <c r="A32" s="5">
        <v>50</v>
      </c>
      <c r="B32" s="5">
        <v>0</v>
      </c>
      <c r="C32" s="5">
        <v>0</v>
      </c>
      <c r="D32" s="5">
        <v>1</v>
      </c>
      <c r="E32" s="5">
        <v>204</v>
      </c>
      <c r="F32" s="5">
        <v>606</v>
      </c>
      <c r="G32" s="5" t="s">
        <v>80</v>
      </c>
      <c r="H32" s="5" t="s">
        <v>81</v>
      </c>
      <c r="I32" s="5"/>
      <c r="J32" s="5"/>
      <c r="K32" s="5">
        <v>204</v>
      </c>
      <c r="L32" s="5">
        <v>13</v>
      </c>
      <c r="M32" s="5">
        <v>3</v>
      </c>
      <c r="N32" s="5" t="s">
        <v>3</v>
      </c>
      <c r="O32" s="5">
        <v>0</v>
      </c>
      <c r="P32" s="5">
        <v>21870</v>
      </c>
    </row>
    <row r="33" spans="1:16" ht="12.75">
      <c r="A33" s="5">
        <v>50</v>
      </c>
      <c r="B33" s="5">
        <v>0</v>
      </c>
      <c r="C33" s="5">
        <v>0</v>
      </c>
      <c r="D33" s="5">
        <v>1</v>
      </c>
      <c r="E33" s="5">
        <v>205</v>
      </c>
      <c r="F33" s="5">
        <v>14370</v>
      </c>
      <c r="G33" s="5" t="s">
        <v>82</v>
      </c>
      <c r="H33" s="5" t="s">
        <v>83</v>
      </c>
      <c r="I33" s="5"/>
      <c r="J33" s="5"/>
      <c r="K33" s="5">
        <v>205</v>
      </c>
      <c r="L33" s="5">
        <v>14</v>
      </c>
      <c r="M33" s="5">
        <v>3</v>
      </c>
      <c r="N33" s="5" t="s">
        <v>3</v>
      </c>
      <c r="O33" s="5">
        <v>0</v>
      </c>
      <c r="P33" s="5">
        <v>517754</v>
      </c>
    </row>
    <row r="34" spans="1:16" ht="12.75">
      <c r="A34" s="5">
        <v>50</v>
      </c>
      <c r="B34" s="5">
        <v>0</v>
      </c>
      <c r="C34" s="5">
        <v>0</v>
      </c>
      <c r="D34" s="5">
        <v>1</v>
      </c>
      <c r="E34" s="5">
        <v>232</v>
      </c>
      <c r="F34" s="5">
        <v>0</v>
      </c>
      <c r="G34" s="5" t="s">
        <v>84</v>
      </c>
      <c r="H34" s="5" t="s">
        <v>85</v>
      </c>
      <c r="I34" s="5"/>
      <c r="J34" s="5"/>
      <c r="K34" s="5">
        <v>232</v>
      </c>
      <c r="L34" s="5">
        <v>15</v>
      </c>
      <c r="M34" s="5">
        <v>3</v>
      </c>
      <c r="N34" s="5" t="s">
        <v>3</v>
      </c>
      <c r="O34" s="5">
        <v>0</v>
      </c>
      <c r="P34" s="5">
        <v>0</v>
      </c>
    </row>
    <row r="35" spans="1:16" ht="12.75">
      <c r="A35" s="5">
        <v>50</v>
      </c>
      <c r="B35" s="5">
        <v>0</v>
      </c>
      <c r="C35" s="5">
        <v>0</v>
      </c>
      <c r="D35" s="5">
        <v>1</v>
      </c>
      <c r="E35" s="5">
        <v>214</v>
      </c>
      <c r="F35" s="5">
        <v>234654</v>
      </c>
      <c r="G35" s="5" t="s">
        <v>86</v>
      </c>
      <c r="H35" s="5" t="s">
        <v>87</v>
      </c>
      <c r="I35" s="5"/>
      <c r="J35" s="5"/>
      <c r="K35" s="5">
        <v>214</v>
      </c>
      <c r="L35" s="5">
        <v>16</v>
      </c>
      <c r="M35" s="5">
        <v>3</v>
      </c>
      <c r="N35" s="5" t="s">
        <v>3</v>
      </c>
      <c r="O35" s="5">
        <v>0</v>
      </c>
      <c r="P35" s="5">
        <v>2496116</v>
      </c>
    </row>
    <row r="36" spans="1:16" ht="12.75">
      <c r="A36" s="5">
        <v>50</v>
      </c>
      <c r="B36" s="5">
        <v>0</v>
      </c>
      <c r="C36" s="5">
        <v>0</v>
      </c>
      <c r="D36" s="5">
        <v>1</v>
      </c>
      <c r="E36" s="5">
        <v>215</v>
      </c>
      <c r="F36" s="5">
        <v>0</v>
      </c>
      <c r="G36" s="5" t="s">
        <v>88</v>
      </c>
      <c r="H36" s="5" t="s">
        <v>89</v>
      </c>
      <c r="I36" s="5"/>
      <c r="J36" s="5"/>
      <c r="K36" s="5">
        <v>215</v>
      </c>
      <c r="L36" s="5">
        <v>17</v>
      </c>
      <c r="M36" s="5">
        <v>3</v>
      </c>
      <c r="N36" s="5" t="s">
        <v>3</v>
      </c>
      <c r="O36" s="5">
        <v>0</v>
      </c>
      <c r="P36" s="5">
        <v>0</v>
      </c>
    </row>
    <row r="37" spans="1:16" ht="12.75">
      <c r="A37" s="5">
        <v>50</v>
      </c>
      <c r="B37" s="5">
        <v>0</v>
      </c>
      <c r="C37" s="5">
        <v>0</v>
      </c>
      <c r="D37" s="5">
        <v>1</v>
      </c>
      <c r="E37" s="5">
        <v>217</v>
      </c>
      <c r="F37" s="5">
        <v>0</v>
      </c>
      <c r="G37" s="5" t="s">
        <v>90</v>
      </c>
      <c r="H37" s="5" t="s">
        <v>91</v>
      </c>
      <c r="I37" s="5"/>
      <c r="J37" s="5"/>
      <c r="K37" s="5">
        <v>217</v>
      </c>
      <c r="L37" s="5">
        <v>18</v>
      </c>
      <c r="M37" s="5">
        <v>3</v>
      </c>
      <c r="N37" s="5" t="s">
        <v>3</v>
      </c>
      <c r="O37" s="5">
        <v>0</v>
      </c>
      <c r="P37" s="5">
        <v>0</v>
      </c>
    </row>
    <row r="38" spans="1:16" ht="12.75">
      <c r="A38" s="5">
        <v>50</v>
      </c>
      <c r="B38" s="5">
        <v>0</v>
      </c>
      <c r="C38" s="5">
        <v>0</v>
      </c>
      <c r="D38" s="5">
        <v>1</v>
      </c>
      <c r="E38" s="5">
        <v>230</v>
      </c>
      <c r="F38" s="5">
        <v>0</v>
      </c>
      <c r="G38" s="5" t="s">
        <v>92</v>
      </c>
      <c r="H38" s="5" t="s">
        <v>93</v>
      </c>
      <c r="I38" s="5"/>
      <c r="J38" s="5"/>
      <c r="K38" s="5">
        <v>230</v>
      </c>
      <c r="L38" s="5">
        <v>19</v>
      </c>
      <c r="M38" s="5">
        <v>3</v>
      </c>
      <c r="N38" s="5" t="s">
        <v>3</v>
      </c>
      <c r="O38" s="5">
        <v>0</v>
      </c>
      <c r="P38" s="5">
        <v>0</v>
      </c>
    </row>
    <row r="39" spans="1:16" ht="12.75">
      <c r="A39" s="5">
        <v>50</v>
      </c>
      <c r="B39" s="5">
        <v>0</v>
      </c>
      <c r="C39" s="5">
        <v>0</v>
      </c>
      <c r="D39" s="5">
        <v>1</v>
      </c>
      <c r="E39" s="5">
        <v>206</v>
      </c>
      <c r="F39" s="5">
        <v>0</v>
      </c>
      <c r="G39" s="5" t="s">
        <v>94</v>
      </c>
      <c r="H39" s="5" t="s">
        <v>95</v>
      </c>
      <c r="I39" s="5"/>
      <c r="J39" s="5"/>
      <c r="K39" s="5">
        <v>206</v>
      </c>
      <c r="L39" s="5">
        <v>20</v>
      </c>
      <c r="M39" s="5">
        <v>3</v>
      </c>
      <c r="N39" s="5" t="s">
        <v>3</v>
      </c>
      <c r="O39" s="5">
        <v>0</v>
      </c>
      <c r="P39" s="5">
        <v>0</v>
      </c>
    </row>
    <row r="40" spans="1:16" ht="12.75">
      <c r="A40" s="5">
        <v>50</v>
      </c>
      <c r="B40" s="5">
        <v>0</v>
      </c>
      <c r="C40" s="5">
        <v>0</v>
      </c>
      <c r="D40" s="5">
        <v>1</v>
      </c>
      <c r="E40" s="5">
        <v>207</v>
      </c>
      <c r="F40" s="5">
        <v>1694.79254</v>
      </c>
      <c r="G40" s="5" t="s">
        <v>96</v>
      </c>
      <c r="H40" s="5" t="s">
        <v>97</v>
      </c>
      <c r="I40" s="5"/>
      <c r="J40" s="5"/>
      <c r="K40" s="5">
        <v>207</v>
      </c>
      <c r="L40" s="5">
        <v>21</v>
      </c>
      <c r="M40" s="5">
        <v>3</v>
      </c>
      <c r="N40" s="5" t="s">
        <v>3</v>
      </c>
      <c r="O40" s="5">
        <v>-1</v>
      </c>
      <c r="P40" s="5">
        <v>1694.79254</v>
      </c>
    </row>
    <row r="41" spans="1:16" ht="12.75">
      <c r="A41" s="5">
        <v>50</v>
      </c>
      <c r="B41" s="5">
        <v>0</v>
      </c>
      <c r="C41" s="5">
        <v>0</v>
      </c>
      <c r="D41" s="5">
        <v>1</v>
      </c>
      <c r="E41" s="5">
        <v>208</v>
      </c>
      <c r="F41" s="5">
        <v>50.097475</v>
      </c>
      <c r="G41" s="5" t="s">
        <v>98</v>
      </c>
      <c r="H41" s="5" t="s">
        <v>99</v>
      </c>
      <c r="I41" s="5"/>
      <c r="J41" s="5"/>
      <c r="K41" s="5">
        <v>208</v>
      </c>
      <c r="L41" s="5">
        <v>22</v>
      </c>
      <c r="M41" s="5">
        <v>3</v>
      </c>
      <c r="N41" s="5" t="s">
        <v>3</v>
      </c>
      <c r="O41" s="5">
        <v>-1</v>
      </c>
      <c r="P41" s="5">
        <v>50.097475</v>
      </c>
    </row>
    <row r="42" spans="1:16" ht="12.75">
      <c r="A42" s="5">
        <v>50</v>
      </c>
      <c r="B42" s="5">
        <v>0</v>
      </c>
      <c r="C42" s="5">
        <v>0</v>
      </c>
      <c r="D42" s="5">
        <v>1</v>
      </c>
      <c r="E42" s="5">
        <v>209</v>
      </c>
      <c r="F42" s="5">
        <v>0</v>
      </c>
      <c r="G42" s="5" t="s">
        <v>100</v>
      </c>
      <c r="H42" s="5" t="s">
        <v>101</v>
      </c>
      <c r="I42" s="5"/>
      <c r="J42" s="5"/>
      <c r="K42" s="5">
        <v>209</v>
      </c>
      <c r="L42" s="5">
        <v>23</v>
      </c>
      <c r="M42" s="5">
        <v>3</v>
      </c>
      <c r="N42" s="5" t="s">
        <v>3</v>
      </c>
      <c r="O42" s="5">
        <v>0</v>
      </c>
      <c r="P42" s="5">
        <v>0</v>
      </c>
    </row>
    <row r="43" spans="1:16" ht="12.75">
      <c r="A43" s="5">
        <v>50</v>
      </c>
      <c r="B43" s="5">
        <v>0</v>
      </c>
      <c r="C43" s="5">
        <v>0</v>
      </c>
      <c r="D43" s="5">
        <v>1</v>
      </c>
      <c r="E43" s="5">
        <v>233</v>
      </c>
      <c r="F43" s="5">
        <v>4066</v>
      </c>
      <c r="G43" s="5" t="s">
        <v>102</v>
      </c>
      <c r="H43" s="5" t="s">
        <v>103</v>
      </c>
      <c r="I43" s="5"/>
      <c r="J43" s="5"/>
      <c r="K43" s="5">
        <v>233</v>
      </c>
      <c r="L43" s="5">
        <v>24</v>
      </c>
      <c r="M43" s="5">
        <v>3</v>
      </c>
      <c r="N43" s="5" t="s">
        <v>3</v>
      </c>
      <c r="O43" s="5">
        <v>0</v>
      </c>
      <c r="P43" s="5">
        <v>47334</v>
      </c>
    </row>
    <row r="44" spans="1:16" ht="12.75">
      <c r="A44" s="5">
        <v>50</v>
      </c>
      <c r="B44" s="5">
        <v>0</v>
      </c>
      <c r="C44" s="5">
        <v>0</v>
      </c>
      <c r="D44" s="5">
        <v>1</v>
      </c>
      <c r="E44" s="5">
        <v>210</v>
      </c>
      <c r="F44" s="5">
        <v>16101</v>
      </c>
      <c r="G44" s="5" t="s">
        <v>104</v>
      </c>
      <c r="H44" s="5" t="s">
        <v>105</v>
      </c>
      <c r="I44" s="5"/>
      <c r="J44" s="5"/>
      <c r="K44" s="5">
        <v>210</v>
      </c>
      <c r="L44" s="5">
        <v>25</v>
      </c>
      <c r="M44" s="5">
        <v>3</v>
      </c>
      <c r="N44" s="5" t="s">
        <v>3</v>
      </c>
      <c r="O44" s="5">
        <v>0</v>
      </c>
      <c r="P44" s="5">
        <v>580263</v>
      </c>
    </row>
    <row r="45" spans="1:16" ht="12.75">
      <c r="A45" s="5">
        <v>50</v>
      </c>
      <c r="B45" s="5">
        <v>0</v>
      </c>
      <c r="C45" s="5">
        <v>0</v>
      </c>
      <c r="D45" s="5">
        <v>1</v>
      </c>
      <c r="E45" s="5">
        <v>211</v>
      </c>
      <c r="F45" s="5">
        <v>8717</v>
      </c>
      <c r="G45" s="5" t="s">
        <v>106</v>
      </c>
      <c r="H45" s="5" t="s">
        <v>107</v>
      </c>
      <c r="I45" s="5"/>
      <c r="J45" s="5"/>
      <c r="K45" s="5">
        <v>211</v>
      </c>
      <c r="L45" s="5">
        <v>26</v>
      </c>
      <c r="M45" s="5">
        <v>3</v>
      </c>
      <c r="N45" s="5" t="s">
        <v>3</v>
      </c>
      <c r="O45" s="5">
        <v>0</v>
      </c>
      <c r="P45" s="5">
        <v>314115</v>
      </c>
    </row>
    <row r="46" spans="1:16" ht="12.75">
      <c r="A46" s="5">
        <v>50</v>
      </c>
      <c r="B46" s="5">
        <v>0</v>
      </c>
      <c r="C46" s="5">
        <v>0</v>
      </c>
      <c r="D46" s="5">
        <v>1</v>
      </c>
      <c r="E46" s="5">
        <v>0</v>
      </c>
      <c r="F46" s="5">
        <v>234654</v>
      </c>
      <c r="G46" s="5" t="s">
        <v>108</v>
      </c>
      <c r="H46" s="5" t="s">
        <v>109</v>
      </c>
      <c r="I46" s="5"/>
      <c r="J46" s="5"/>
      <c r="K46" s="5">
        <v>224</v>
      </c>
      <c r="L46" s="5">
        <v>27</v>
      </c>
      <c r="M46" s="5">
        <v>3</v>
      </c>
      <c r="N46" s="5" t="s">
        <v>3</v>
      </c>
      <c r="O46" s="5">
        <v>0</v>
      </c>
      <c r="P46" s="5">
        <v>2496116</v>
      </c>
    </row>
    <row r="47" spans="1:16" ht="12.75">
      <c r="A47" s="5">
        <v>50</v>
      </c>
      <c r="B47" s="5">
        <v>1</v>
      </c>
      <c r="C47" s="5">
        <v>0</v>
      </c>
      <c r="D47" s="5">
        <v>2</v>
      </c>
      <c r="E47" s="5">
        <v>0</v>
      </c>
      <c r="F47" s="5">
        <v>46931</v>
      </c>
      <c r="G47" s="5" t="s">
        <v>241</v>
      </c>
      <c r="H47" s="5" t="s">
        <v>242</v>
      </c>
      <c r="I47" s="5"/>
      <c r="J47" s="5"/>
      <c r="K47" s="5">
        <v>212</v>
      </c>
      <c r="L47" s="5">
        <v>28</v>
      </c>
      <c r="M47" s="5">
        <v>0</v>
      </c>
      <c r="N47" s="5" t="s">
        <v>3</v>
      </c>
      <c r="O47" s="5">
        <v>2</v>
      </c>
      <c r="P47" s="5">
        <v>499223</v>
      </c>
    </row>
    <row r="48" spans="1:16" ht="12.75">
      <c r="A48" s="5">
        <v>50</v>
      </c>
      <c r="B48" s="5">
        <v>1</v>
      </c>
      <c r="C48" s="5">
        <v>0</v>
      </c>
      <c r="D48" s="5">
        <v>2</v>
      </c>
      <c r="E48" s="5">
        <v>224</v>
      </c>
      <c r="F48" s="5">
        <v>281585</v>
      </c>
      <c r="G48" s="5" t="s">
        <v>243</v>
      </c>
      <c r="H48" s="5" t="s">
        <v>244</v>
      </c>
      <c r="I48" s="5"/>
      <c r="J48" s="5"/>
      <c r="K48" s="5">
        <v>212</v>
      </c>
      <c r="L48" s="5">
        <v>29</v>
      </c>
      <c r="M48" s="5">
        <v>0</v>
      </c>
      <c r="N48" s="5" t="s">
        <v>3</v>
      </c>
      <c r="O48" s="5">
        <v>2</v>
      </c>
      <c r="P48" s="5">
        <v>2995339</v>
      </c>
    </row>
    <row r="50" ht="12.75">
      <c r="A50">
        <v>-1</v>
      </c>
    </row>
    <row r="53" spans="1:15" ht="12.75">
      <c r="A53" s="4">
        <v>75</v>
      </c>
      <c r="B53" s="4" t="s">
        <v>303</v>
      </c>
      <c r="C53" s="4">
        <v>2000</v>
      </c>
      <c r="D53" s="4">
        <v>0</v>
      </c>
      <c r="E53" s="4">
        <v>1</v>
      </c>
      <c r="F53" s="4"/>
      <c r="G53" s="4">
        <v>0</v>
      </c>
      <c r="H53" s="4">
        <v>1</v>
      </c>
      <c r="I53" s="4">
        <v>0</v>
      </c>
      <c r="J53" s="4">
        <v>1</v>
      </c>
      <c r="K53" s="4">
        <v>0</v>
      </c>
      <c r="L53" s="4">
        <v>0</v>
      </c>
      <c r="M53" s="4">
        <v>0</v>
      </c>
      <c r="N53" s="4">
        <v>55110074</v>
      </c>
      <c r="O53" s="4">
        <v>1</v>
      </c>
    </row>
    <row r="54" spans="1:15" ht="12.75">
      <c r="A54" s="4">
        <v>75</v>
      </c>
      <c r="B54" s="4" t="s">
        <v>304</v>
      </c>
      <c r="C54" s="4">
        <v>2022</v>
      </c>
      <c r="D54" s="4">
        <v>0</v>
      </c>
      <c r="E54" s="4">
        <v>3</v>
      </c>
      <c r="F54" s="4"/>
      <c r="G54" s="4">
        <v>0</v>
      </c>
      <c r="H54" s="4">
        <v>1</v>
      </c>
      <c r="I54" s="4">
        <v>0</v>
      </c>
      <c r="J54" s="4">
        <v>1</v>
      </c>
      <c r="K54" s="4">
        <v>0</v>
      </c>
      <c r="L54" s="4">
        <v>0</v>
      </c>
      <c r="M54" s="4">
        <v>1</v>
      </c>
      <c r="N54" s="4">
        <v>55110083</v>
      </c>
      <c r="O54" s="4">
        <v>2</v>
      </c>
    </row>
    <row r="55" spans="1:40" ht="12.75">
      <c r="A55" s="7">
        <v>1</v>
      </c>
      <c r="B55" s="7" t="s">
        <v>305</v>
      </c>
      <c r="C55" s="7" t="s">
        <v>306</v>
      </c>
      <c r="D55" s="7">
        <v>2022</v>
      </c>
      <c r="E55" s="7">
        <v>3</v>
      </c>
      <c r="F55" s="7">
        <v>1</v>
      </c>
      <c r="G55" s="7">
        <v>1</v>
      </c>
      <c r="H55" s="7">
        <v>0</v>
      </c>
      <c r="I55" s="7">
        <v>2</v>
      </c>
      <c r="J55" s="7">
        <v>1</v>
      </c>
      <c r="K55" s="7">
        <v>1</v>
      </c>
      <c r="L55" s="7">
        <v>1</v>
      </c>
      <c r="M55" s="7">
        <v>1</v>
      </c>
      <c r="N55" s="7">
        <v>1</v>
      </c>
      <c r="O55" s="7">
        <v>1</v>
      </c>
      <c r="P55" s="7">
        <v>1</v>
      </c>
      <c r="Q55" s="7">
        <v>1</v>
      </c>
      <c r="R55" s="7" t="s">
        <v>3</v>
      </c>
      <c r="S55" s="7" t="s">
        <v>3</v>
      </c>
      <c r="T55" s="7" t="s">
        <v>3</v>
      </c>
      <c r="U55" s="7" t="s">
        <v>3</v>
      </c>
      <c r="V55" s="7" t="s">
        <v>3</v>
      </c>
      <c r="W55" s="7" t="s">
        <v>3</v>
      </c>
      <c r="X55" s="7" t="s">
        <v>3</v>
      </c>
      <c r="Y55" s="7" t="s">
        <v>3</v>
      </c>
      <c r="Z55" s="7" t="s">
        <v>3</v>
      </c>
      <c r="AA55" s="7" t="s">
        <v>3</v>
      </c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>
        <v>55110092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C138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07" ht="12.75">
      <c r="A1">
        <f>ROW(Source!A28)</f>
        <v>28</v>
      </c>
      <c r="B1">
        <v>55110074</v>
      </c>
      <c r="C1">
        <v>55100128</v>
      </c>
      <c r="D1">
        <v>37822877</v>
      </c>
      <c r="E1">
        <v>70</v>
      </c>
      <c r="F1">
        <v>1</v>
      </c>
      <c r="G1">
        <v>1</v>
      </c>
      <c r="H1">
        <v>1</v>
      </c>
      <c r="I1" t="s">
        <v>309</v>
      </c>
      <c r="K1" t="s">
        <v>310</v>
      </c>
      <c r="L1">
        <v>1191</v>
      </c>
      <c r="N1">
        <v>1013</v>
      </c>
      <c r="O1" t="s">
        <v>311</v>
      </c>
      <c r="P1" t="s">
        <v>311</v>
      </c>
      <c r="Q1">
        <v>1</v>
      </c>
      <c r="W1">
        <v>0</v>
      </c>
      <c r="X1">
        <v>2031828327</v>
      </c>
      <c r="Y1">
        <v>8.58</v>
      </c>
      <c r="AA1">
        <v>0</v>
      </c>
      <c r="AB1">
        <v>0</v>
      </c>
      <c r="AC1">
        <v>0</v>
      </c>
      <c r="AD1">
        <v>7.8</v>
      </c>
      <c r="AE1">
        <v>0</v>
      </c>
      <c r="AF1">
        <v>0</v>
      </c>
      <c r="AG1">
        <v>0</v>
      </c>
      <c r="AH1">
        <v>7.8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0</v>
      </c>
      <c r="AQ1">
        <v>0</v>
      </c>
      <c r="AR1">
        <v>0</v>
      </c>
      <c r="AT1">
        <v>8.58</v>
      </c>
      <c r="AV1">
        <v>1</v>
      </c>
      <c r="AW1">
        <v>2</v>
      </c>
      <c r="AX1">
        <v>55100131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Y1*Source!I28</f>
        <v>11.583</v>
      </c>
      <c r="CY1">
        <f>AD1</f>
        <v>7.8</v>
      </c>
      <c r="CZ1">
        <f>AH1</f>
        <v>7.8</v>
      </c>
      <c r="DA1">
        <f>AL1</f>
        <v>1</v>
      </c>
      <c r="DB1">
        <f aca="true" t="shared" si="0" ref="DB1:DB8">ROUND(ROUND(AT1*CZ1,2),2)</f>
        <v>66.92</v>
      </c>
      <c r="DC1">
        <f aca="true" t="shared" si="1" ref="DC1:DC8">ROUND(ROUND(AT1*AG1,2),2)</f>
        <v>0</v>
      </c>
    </row>
    <row r="2" spans="1:107" ht="12.75">
      <c r="A2">
        <f>ROW(Source!A28)</f>
        <v>28</v>
      </c>
      <c r="B2">
        <v>55110074</v>
      </c>
      <c r="C2">
        <v>55100128</v>
      </c>
      <c r="D2">
        <v>53792127</v>
      </c>
      <c r="E2">
        <v>1</v>
      </c>
      <c r="F2">
        <v>1</v>
      </c>
      <c r="G2">
        <v>1</v>
      </c>
      <c r="H2">
        <v>2</v>
      </c>
      <c r="I2" t="s">
        <v>312</v>
      </c>
      <c r="J2" t="s">
        <v>313</v>
      </c>
      <c r="K2" t="s">
        <v>314</v>
      </c>
      <c r="L2">
        <v>1367</v>
      </c>
      <c r="N2">
        <v>1011</v>
      </c>
      <c r="O2" t="s">
        <v>315</v>
      </c>
      <c r="P2" t="s">
        <v>315</v>
      </c>
      <c r="Q2">
        <v>1</v>
      </c>
      <c r="W2">
        <v>0</v>
      </c>
      <c r="X2">
        <v>-1424865896</v>
      </c>
      <c r="Y2">
        <v>1.88</v>
      </c>
      <c r="AA2">
        <v>0</v>
      </c>
      <c r="AB2">
        <v>6.66</v>
      </c>
      <c r="AC2">
        <v>0</v>
      </c>
      <c r="AD2">
        <v>0</v>
      </c>
      <c r="AE2">
        <v>0</v>
      </c>
      <c r="AF2">
        <v>6.66</v>
      </c>
      <c r="AG2">
        <v>0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0</v>
      </c>
      <c r="AQ2">
        <v>0</v>
      </c>
      <c r="AR2">
        <v>0</v>
      </c>
      <c r="AT2">
        <v>1.88</v>
      </c>
      <c r="AV2">
        <v>0</v>
      </c>
      <c r="AW2">
        <v>2</v>
      </c>
      <c r="AX2">
        <v>55100132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Y2*Source!I28</f>
        <v>2.538</v>
      </c>
      <c r="CY2">
        <f>AB2</f>
        <v>6.66</v>
      </c>
      <c r="CZ2">
        <f>AF2</f>
        <v>6.66</v>
      </c>
      <c r="DA2">
        <f>AJ2</f>
        <v>1</v>
      </c>
      <c r="DB2">
        <f t="shared" si="0"/>
        <v>12.52</v>
      </c>
      <c r="DC2">
        <f t="shared" si="1"/>
        <v>0</v>
      </c>
    </row>
    <row r="3" spans="1:107" ht="12.75">
      <c r="A3">
        <f>ROW(Source!A29)</f>
        <v>29</v>
      </c>
      <c r="B3">
        <v>55110083</v>
      </c>
      <c r="C3">
        <v>55100128</v>
      </c>
      <c r="D3">
        <v>37822877</v>
      </c>
      <c r="E3">
        <v>70</v>
      </c>
      <c r="F3">
        <v>1</v>
      </c>
      <c r="G3">
        <v>1</v>
      </c>
      <c r="H3">
        <v>1</v>
      </c>
      <c r="I3" t="s">
        <v>309</v>
      </c>
      <c r="K3" t="s">
        <v>310</v>
      </c>
      <c r="L3">
        <v>1191</v>
      </c>
      <c r="N3">
        <v>1013</v>
      </c>
      <c r="O3" t="s">
        <v>311</v>
      </c>
      <c r="P3" t="s">
        <v>311</v>
      </c>
      <c r="Q3">
        <v>1</v>
      </c>
      <c r="W3">
        <v>0</v>
      </c>
      <c r="X3">
        <v>2031828327</v>
      </c>
      <c r="Y3">
        <v>8.58</v>
      </c>
      <c r="AA3">
        <v>0</v>
      </c>
      <c r="AB3">
        <v>0</v>
      </c>
      <c r="AC3">
        <v>0</v>
      </c>
      <c r="AD3">
        <v>7.8</v>
      </c>
      <c r="AE3">
        <v>0</v>
      </c>
      <c r="AF3">
        <v>0</v>
      </c>
      <c r="AG3">
        <v>0</v>
      </c>
      <c r="AH3">
        <v>7.8</v>
      </c>
      <c r="AI3">
        <v>1</v>
      </c>
      <c r="AJ3">
        <v>1</v>
      </c>
      <c r="AK3">
        <v>1</v>
      </c>
      <c r="AL3">
        <v>1</v>
      </c>
      <c r="AN3">
        <v>0</v>
      </c>
      <c r="AO3">
        <v>1</v>
      </c>
      <c r="AP3">
        <v>0</v>
      </c>
      <c r="AQ3">
        <v>0</v>
      </c>
      <c r="AR3">
        <v>0</v>
      </c>
      <c r="AT3">
        <v>8.58</v>
      </c>
      <c r="AV3">
        <v>1</v>
      </c>
      <c r="AW3">
        <v>2</v>
      </c>
      <c r="AX3">
        <v>55100131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Y3*Source!I29</f>
        <v>11.583</v>
      </c>
      <c r="CY3">
        <f>AD3</f>
        <v>7.8</v>
      </c>
      <c r="CZ3">
        <f>AH3</f>
        <v>7.8</v>
      </c>
      <c r="DA3">
        <f>AL3</f>
        <v>1</v>
      </c>
      <c r="DB3">
        <f t="shared" si="0"/>
        <v>66.92</v>
      </c>
      <c r="DC3">
        <f t="shared" si="1"/>
        <v>0</v>
      </c>
    </row>
    <row r="4" spans="1:107" ht="12.75">
      <c r="A4">
        <f>ROW(Source!A29)</f>
        <v>29</v>
      </c>
      <c r="B4">
        <v>55110083</v>
      </c>
      <c r="C4">
        <v>55100128</v>
      </c>
      <c r="D4">
        <v>53792127</v>
      </c>
      <c r="E4">
        <v>1</v>
      </c>
      <c r="F4">
        <v>1</v>
      </c>
      <c r="G4">
        <v>1</v>
      </c>
      <c r="H4">
        <v>2</v>
      </c>
      <c r="I4" t="s">
        <v>312</v>
      </c>
      <c r="J4" t="s">
        <v>313</v>
      </c>
      <c r="K4" t="s">
        <v>314</v>
      </c>
      <c r="L4">
        <v>1367</v>
      </c>
      <c r="N4">
        <v>1011</v>
      </c>
      <c r="O4" t="s">
        <v>315</v>
      </c>
      <c r="P4" t="s">
        <v>315</v>
      </c>
      <c r="Q4">
        <v>1</v>
      </c>
      <c r="W4">
        <v>0</v>
      </c>
      <c r="X4">
        <v>-1424865896</v>
      </c>
      <c r="Y4">
        <v>1.88</v>
      </c>
      <c r="AA4">
        <v>0</v>
      </c>
      <c r="AB4">
        <v>35.63</v>
      </c>
      <c r="AC4">
        <v>0</v>
      </c>
      <c r="AD4">
        <v>0</v>
      </c>
      <c r="AE4">
        <v>0</v>
      </c>
      <c r="AF4">
        <v>6.66</v>
      </c>
      <c r="AG4">
        <v>0</v>
      </c>
      <c r="AH4">
        <v>0</v>
      </c>
      <c r="AI4">
        <v>1</v>
      </c>
      <c r="AJ4">
        <v>5.35</v>
      </c>
      <c r="AK4">
        <v>36.03</v>
      </c>
      <c r="AL4">
        <v>1</v>
      </c>
      <c r="AN4">
        <v>0</v>
      </c>
      <c r="AO4">
        <v>1</v>
      </c>
      <c r="AP4">
        <v>0</v>
      </c>
      <c r="AQ4">
        <v>0</v>
      </c>
      <c r="AR4">
        <v>0</v>
      </c>
      <c r="AT4">
        <v>1.88</v>
      </c>
      <c r="AV4">
        <v>0</v>
      </c>
      <c r="AW4">
        <v>2</v>
      </c>
      <c r="AX4">
        <v>55100132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Y4*Source!I29</f>
        <v>2.538</v>
      </c>
      <c r="CY4">
        <f>AB4</f>
        <v>35.63</v>
      </c>
      <c r="CZ4">
        <f>AF4</f>
        <v>6.66</v>
      </c>
      <c r="DA4">
        <f>AJ4</f>
        <v>5.35</v>
      </c>
      <c r="DB4">
        <f t="shared" si="0"/>
        <v>12.52</v>
      </c>
      <c r="DC4">
        <f t="shared" si="1"/>
        <v>0</v>
      </c>
    </row>
    <row r="5" spans="1:107" ht="12.75">
      <c r="A5">
        <f>ROW(Source!A30)</f>
        <v>30</v>
      </c>
      <c r="B5">
        <v>55110074</v>
      </c>
      <c r="C5">
        <v>55096070</v>
      </c>
      <c r="D5">
        <v>37822877</v>
      </c>
      <c r="E5">
        <v>1</v>
      </c>
      <c r="F5">
        <v>1</v>
      </c>
      <c r="G5">
        <v>1</v>
      </c>
      <c r="H5">
        <v>1</v>
      </c>
      <c r="I5" t="s">
        <v>309</v>
      </c>
      <c r="K5" t="s">
        <v>316</v>
      </c>
      <c r="L5">
        <v>1191</v>
      </c>
      <c r="N5">
        <v>1013</v>
      </c>
      <c r="O5" t="s">
        <v>311</v>
      </c>
      <c r="P5" t="s">
        <v>311</v>
      </c>
      <c r="Q5">
        <v>1</v>
      </c>
      <c r="W5">
        <v>0</v>
      </c>
      <c r="X5">
        <v>735429535</v>
      </c>
      <c r="Y5">
        <v>14.38</v>
      </c>
      <c r="AA5">
        <v>0</v>
      </c>
      <c r="AB5">
        <v>0</v>
      </c>
      <c r="AC5">
        <v>0</v>
      </c>
      <c r="AD5">
        <v>7.8</v>
      </c>
      <c r="AE5">
        <v>0</v>
      </c>
      <c r="AF5">
        <v>0</v>
      </c>
      <c r="AG5">
        <v>0</v>
      </c>
      <c r="AH5">
        <v>7.8</v>
      </c>
      <c r="AI5">
        <v>1</v>
      </c>
      <c r="AJ5">
        <v>1</v>
      </c>
      <c r="AK5">
        <v>1</v>
      </c>
      <c r="AL5">
        <v>1</v>
      </c>
      <c r="AN5">
        <v>0</v>
      </c>
      <c r="AO5">
        <v>1</v>
      </c>
      <c r="AP5">
        <v>0</v>
      </c>
      <c r="AQ5">
        <v>0</v>
      </c>
      <c r="AR5">
        <v>0</v>
      </c>
      <c r="AT5">
        <v>14.38</v>
      </c>
      <c r="AV5">
        <v>1</v>
      </c>
      <c r="AW5">
        <v>2</v>
      </c>
      <c r="AX5">
        <v>55096073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Y5*Source!I30</f>
        <v>304.856</v>
      </c>
      <c r="CY5">
        <f>AD5</f>
        <v>7.8</v>
      </c>
      <c r="CZ5">
        <f>AH5</f>
        <v>7.8</v>
      </c>
      <c r="DA5">
        <f>AL5</f>
        <v>1</v>
      </c>
      <c r="DB5">
        <f t="shared" si="0"/>
        <v>112.16</v>
      </c>
      <c r="DC5">
        <f t="shared" si="1"/>
        <v>0</v>
      </c>
    </row>
    <row r="6" spans="1:107" ht="12.75">
      <c r="A6">
        <f>ROW(Source!A30)</f>
        <v>30</v>
      </c>
      <c r="B6">
        <v>55110074</v>
      </c>
      <c r="C6">
        <v>55096070</v>
      </c>
      <c r="D6">
        <v>44976395</v>
      </c>
      <c r="E6">
        <v>1</v>
      </c>
      <c r="F6">
        <v>1</v>
      </c>
      <c r="G6">
        <v>1</v>
      </c>
      <c r="H6">
        <v>2</v>
      </c>
      <c r="I6" t="s">
        <v>312</v>
      </c>
      <c r="J6" t="s">
        <v>313</v>
      </c>
      <c r="K6" t="s">
        <v>314</v>
      </c>
      <c r="L6">
        <v>1368</v>
      </c>
      <c r="N6">
        <v>1011</v>
      </c>
      <c r="O6" t="s">
        <v>317</v>
      </c>
      <c r="P6" t="s">
        <v>317</v>
      </c>
      <c r="Q6">
        <v>1</v>
      </c>
      <c r="W6">
        <v>0</v>
      </c>
      <c r="X6">
        <v>-1641382595</v>
      </c>
      <c r="Y6">
        <v>6.22</v>
      </c>
      <c r="AA6">
        <v>0</v>
      </c>
      <c r="AB6">
        <v>6.66</v>
      </c>
      <c r="AC6">
        <v>0</v>
      </c>
      <c r="AD6">
        <v>0</v>
      </c>
      <c r="AE6">
        <v>0</v>
      </c>
      <c r="AF6">
        <v>6.66</v>
      </c>
      <c r="AG6">
        <v>0</v>
      </c>
      <c r="AH6">
        <v>0</v>
      </c>
      <c r="AI6">
        <v>1</v>
      </c>
      <c r="AJ6">
        <v>1</v>
      </c>
      <c r="AK6">
        <v>1</v>
      </c>
      <c r="AL6">
        <v>1</v>
      </c>
      <c r="AN6">
        <v>0</v>
      </c>
      <c r="AO6">
        <v>1</v>
      </c>
      <c r="AP6">
        <v>0</v>
      </c>
      <c r="AQ6">
        <v>0</v>
      </c>
      <c r="AR6">
        <v>0</v>
      </c>
      <c r="AT6">
        <v>6.22</v>
      </c>
      <c r="AV6">
        <v>0</v>
      </c>
      <c r="AW6">
        <v>2</v>
      </c>
      <c r="AX6">
        <v>55096074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Y6*Source!I30</f>
        <v>131.864</v>
      </c>
      <c r="CY6">
        <f>AB6</f>
        <v>6.66</v>
      </c>
      <c r="CZ6">
        <f>AF6</f>
        <v>6.66</v>
      </c>
      <c r="DA6">
        <f>AJ6</f>
        <v>1</v>
      </c>
      <c r="DB6">
        <f t="shared" si="0"/>
        <v>41.43</v>
      </c>
      <c r="DC6">
        <f t="shared" si="1"/>
        <v>0</v>
      </c>
    </row>
    <row r="7" spans="1:107" ht="12.75">
      <c r="A7">
        <f>ROW(Source!A31)</f>
        <v>31</v>
      </c>
      <c r="B7">
        <v>55110083</v>
      </c>
      <c r="C7">
        <v>55096070</v>
      </c>
      <c r="D7">
        <v>37822877</v>
      </c>
      <c r="E7">
        <v>1</v>
      </c>
      <c r="F7">
        <v>1</v>
      </c>
      <c r="G7">
        <v>1</v>
      </c>
      <c r="H7">
        <v>1</v>
      </c>
      <c r="I7" t="s">
        <v>309</v>
      </c>
      <c r="K7" t="s">
        <v>316</v>
      </c>
      <c r="L7">
        <v>1191</v>
      </c>
      <c r="N7">
        <v>1013</v>
      </c>
      <c r="O7" t="s">
        <v>311</v>
      </c>
      <c r="P7" t="s">
        <v>311</v>
      </c>
      <c r="Q7">
        <v>1</v>
      </c>
      <c r="W7">
        <v>0</v>
      </c>
      <c r="X7">
        <v>735429535</v>
      </c>
      <c r="Y7">
        <v>14.38</v>
      </c>
      <c r="AA7">
        <v>0</v>
      </c>
      <c r="AB7">
        <v>0</v>
      </c>
      <c r="AC7">
        <v>0</v>
      </c>
      <c r="AD7">
        <v>7.8</v>
      </c>
      <c r="AE7">
        <v>0</v>
      </c>
      <c r="AF7">
        <v>0</v>
      </c>
      <c r="AG7">
        <v>0</v>
      </c>
      <c r="AH7">
        <v>7.8</v>
      </c>
      <c r="AI7">
        <v>1</v>
      </c>
      <c r="AJ7">
        <v>1</v>
      </c>
      <c r="AK7">
        <v>1</v>
      </c>
      <c r="AL7">
        <v>1</v>
      </c>
      <c r="AN7">
        <v>0</v>
      </c>
      <c r="AO7">
        <v>1</v>
      </c>
      <c r="AP7">
        <v>0</v>
      </c>
      <c r="AQ7">
        <v>0</v>
      </c>
      <c r="AR7">
        <v>0</v>
      </c>
      <c r="AT7">
        <v>14.38</v>
      </c>
      <c r="AV7">
        <v>1</v>
      </c>
      <c r="AW7">
        <v>2</v>
      </c>
      <c r="AX7">
        <v>55096073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Y7*Source!I31</f>
        <v>304.856</v>
      </c>
      <c r="CY7">
        <f>AD7</f>
        <v>7.8</v>
      </c>
      <c r="CZ7">
        <f>AH7</f>
        <v>7.8</v>
      </c>
      <c r="DA7">
        <f>AL7</f>
        <v>1</v>
      </c>
      <c r="DB7">
        <f t="shared" si="0"/>
        <v>112.16</v>
      </c>
      <c r="DC7">
        <f t="shared" si="1"/>
        <v>0</v>
      </c>
    </row>
    <row r="8" spans="1:107" ht="12.75">
      <c r="A8">
        <f>ROW(Source!A31)</f>
        <v>31</v>
      </c>
      <c r="B8">
        <v>55110083</v>
      </c>
      <c r="C8">
        <v>55096070</v>
      </c>
      <c r="D8">
        <v>44976395</v>
      </c>
      <c r="E8">
        <v>1</v>
      </c>
      <c r="F8">
        <v>1</v>
      </c>
      <c r="G8">
        <v>1</v>
      </c>
      <c r="H8">
        <v>2</v>
      </c>
      <c r="I8" t="s">
        <v>312</v>
      </c>
      <c r="J8" t="s">
        <v>313</v>
      </c>
      <c r="K8" t="s">
        <v>314</v>
      </c>
      <c r="L8">
        <v>1368</v>
      </c>
      <c r="N8">
        <v>1011</v>
      </c>
      <c r="O8" t="s">
        <v>317</v>
      </c>
      <c r="P8" t="s">
        <v>317</v>
      </c>
      <c r="Q8">
        <v>1</v>
      </c>
      <c r="W8">
        <v>0</v>
      </c>
      <c r="X8">
        <v>-1641382595</v>
      </c>
      <c r="Y8">
        <v>6.22</v>
      </c>
      <c r="AA8">
        <v>0</v>
      </c>
      <c r="AB8">
        <v>35.63</v>
      </c>
      <c r="AC8">
        <v>0</v>
      </c>
      <c r="AD8">
        <v>0</v>
      </c>
      <c r="AE8">
        <v>0</v>
      </c>
      <c r="AF8">
        <v>6.66</v>
      </c>
      <c r="AG8">
        <v>0</v>
      </c>
      <c r="AH8">
        <v>0</v>
      </c>
      <c r="AI8">
        <v>1</v>
      </c>
      <c r="AJ8">
        <v>5.35</v>
      </c>
      <c r="AK8">
        <v>36.03</v>
      </c>
      <c r="AL8">
        <v>1</v>
      </c>
      <c r="AN8">
        <v>0</v>
      </c>
      <c r="AO8">
        <v>1</v>
      </c>
      <c r="AP8">
        <v>0</v>
      </c>
      <c r="AQ8">
        <v>0</v>
      </c>
      <c r="AR8">
        <v>0</v>
      </c>
      <c r="AT8">
        <v>6.22</v>
      </c>
      <c r="AV8">
        <v>0</v>
      </c>
      <c r="AW8">
        <v>2</v>
      </c>
      <c r="AX8">
        <v>55096074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Y8*Source!I31</f>
        <v>131.864</v>
      </c>
      <c r="CY8">
        <f>AB8</f>
        <v>35.63</v>
      </c>
      <c r="CZ8">
        <f>AF8</f>
        <v>6.66</v>
      </c>
      <c r="DA8">
        <f>AJ8</f>
        <v>5.35</v>
      </c>
      <c r="DB8">
        <f t="shared" si="0"/>
        <v>41.43</v>
      </c>
      <c r="DC8">
        <f t="shared" si="1"/>
        <v>0</v>
      </c>
    </row>
    <row r="9" spans="1:107" ht="12.75">
      <c r="A9">
        <f>ROW(Source!A32)</f>
        <v>32</v>
      </c>
      <c r="B9">
        <v>55110074</v>
      </c>
      <c r="C9">
        <v>55096075</v>
      </c>
      <c r="D9">
        <v>53630041</v>
      </c>
      <c r="E9">
        <v>70</v>
      </c>
      <c r="F9">
        <v>1</v>
      </c>
      <c r="G9">
        <v>1</v>
      </c>
      <c r="H9">
        <v>1</v>
      </c>
      <c r="I9" t="s">
        <v>318</v>
      </c>
      <c r="K9" t="s">
        <v>319</v>
      </c>
      <c r="L9">
        <v>1191</v>
      </c>
      <c r="N9">
        <v>1013</v>
      </c>
      <c r="O9" t="s">
        <v>311</v>
      </c>
      <c r="P9" t="s">
        <v>311</v>
      </c>
      <c r="Q9">
        <v>1</v>
      </c>
      <c r="W9">
        <v>0</v>
      </c>
      <c r="X9">
        <v>-366857280</v>
      </c>
      <c r="Y9">
        <v>28.480000000000004</v>
      </c>
      <c r="AA9">
        <v>0</v>
      </c>
      <c r="AB9">
        <v>0</v>
      </c>
      <c r="AC9">
        <v>0</v>
      </c>
      <c r="AD9">
        <v>7.94</v>
      </c>
      <c r="AE9">
        <v>0</v>
      </c>
      <c r="AF9">
        <v>0</v>
      </c>
      <c r="AG9">
        <v>0</v>
      </c>
      <c r="AH9">
        <v>7.94</v>
      </c>
      <c r="AI9">
        <v>1</v>
      </c>
      <c r="AJ9">
        <v>1</v>
      </c>
      <c r="AK9">
        <v>1</v>
      </c>
      <c r="AL9">
        <v>1</v>
      </c>
      <c r="AN9">
        <v>0</v>
      </c>
      <c r="AO9">
        <v>1</v>
      </c>
      <c r="AP9">
        <v>1</v>
      </c>
      <c r="AQ9">
        <v>0</v>
      </c>
      <c r="AR9">
        <v>0</v>
      </c>
      <c r="AT9">
        <v>35.6</v>
      </c>
      <c r="AU9" t="s">
        <v>45</v>
      </c>
      <c r="AV9">
        <v>1</v>
      </c>
      <c r="AW9">
        <v>2</v>
      </c>
      <c r="AX9">
        <v>55096081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Y9*Source!I32</f>
        <v>316.12800000000004</v>
      </c>
      <c r="CY9">
        <f>AD9</f>
        <v>7.94</v>
      </c>
      <c r="CZ9">
        <f>AH9</f>
        <v>7.94</v>
      </c>
      <c r="DA9">
        <f>AL9</f>
        <v>1</v>
      </c>
      <c r="DB9">
        <f>ROUND((ROUND(AT9*CZ9,2)*ROUND(0.8,7)),2)</f>
        <v>226.13</v>
      </c>
      <c r="DC9">
        <f>ROUND((ROUND(AT9*AG9,2)*ROUND(0.8,7)),2)</f>
        <v>0</v>
      </c>
    </row>
    <row r="10" spans="1:107" ht="12.75">
      <c r="A10">
        <f>ROW(Source!A32)</f>
        <v>32</v>
      </c>
      <c r="B10">
        <v>55110074</v>
      </c>
      <c r="C10">
        <v>55096075</v>
      </c>
      <c r="D10">
        <v>53630257</v>
      </c>
      <c r="E10">
        <v>70</v>
      </c>
      <c r="F10">
        <v>1</v>
      </c>
      <c r="G10">
        <v>1</v>
      </c>
      <c r="H10">
        <v>1</v>
      </c>
      <c r="I10" t="s">
        <v>320</v>
      </c>
      <c r="K10" t="s">
        <v>321</v>
      </c>
      <c r="L10">
        <v>1191</v>
      </c>
      <c r="N10">
        <v>1013</v>
      </c>
      <c r="O10" t="s">
        <v>311</v>
      </c>
      <c r="P10" t="s">
        <v>311</v>
      </c>
      <c r="Q10">
        <v>1</v>
      </c>
      <c r="W10">
        <v>0</v>
      </c>
      <c r="X10">
        <v>-1417349443</v>
      </c>
      <c r="Y10">
        <v>1.016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1</v>
      </c>
      <c r="AJ10">
        <v>1</v>
      </c>
      <c r="AK10">
        <v>1</v>
      </c>
      <c r="AL10">
        <v>1</v>
      </c>
      <c r="AN10">
        <v>0</v>
      </c>
      <c r="AO10">
        <v>1</v>
      </c>
      <c r="AP10">
        <v>1</v>
      </c>
      <c r="AQ10">
        <v>0</v>
      </c>
      <c r="AR10">
        <v>0</v>
      </c>
      <c r="AT10">
        <v>1.27</v>
      </c>
      <c r="AU10" t="s">
        <v>45</v>
      </c>
      <c r="AV10">
        <v>2</v>
      </c>
      <c r="AW10">
        <v>2</v>
      </c>
      <c r="AX10">
        <v>55096082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Y10*Source!I32</f>
        <v>11.2776</v>
      </c>
      <c r="CY10">
        <f>AD10</f>
        <v>0</v>
      </c>
      <c r="CZ10">
        <f>AH10</f>
        <v>0</v>
      </c>
      <c r="DA10">
        <f>AL10</f>
        <v>1</v>
      </c>
      <c r="DB10">
        <f>ROUND((ROUND(AT10*CZ10,2)*ROUND(0.8,7)),2)</f>
        <v>0</v>
      </c>
      <c r="DC10">
        <f>ROUND((ROUND(AT10*AG10,2)*ROUND(0.8,7)),2)</f>
        <v>0</v>
      </c>
    </row>
    <row r="11" spans="1:107" ht="12.75">
      <c r="A11">
        <f>ROW(Source!A32)</f>
        <v>32</v>
      </c>
      <c r="B11">
        <v>55110074</v>
      </c>
      <c r="C11">
        <v>55096075</v>
      </c>
      <c r="D11">
        <v>53792191</v>
      </c>
      <c r="E11">
        <v>1</v>
      </c>
      <c r="F11">
        <v>1</v>
      </c>
      <c r="G11">
        <v>1</v>
      </c>
      <c r="H11">
        <v>2</v>
      </c>
      <c r="I11" t="s">
        <v>322</v>
      </c>
      <c r="J11" t="s">
        <v>323</v>
      </c>
      <c r="K11" t="s">
        <v>324</v>
      </c>
      <c r="L11">
        <v>1367</v>
      </c>
      <c r="N11">
        <v>1011</v>
      </c>
      <c r="O11" t="s">
        <v>315</v>
      </c>
      <c r="P11" t="s">
        <v>315</v>
      </c>
      <c r="Q11">
        <v>1</v>
      </c>
      <c r="W11">
        <v>0</v>
      </c>
      <c r="X11">
        <v>1232162608</v>
      </c>
      <c r="Y11">
        <v>1.016</v>
      </c>
      <c r="AA11">
        <v>0</v>
      </c>
      <c r="AB11">
        <v>31.26</v>
      </c>
      <c r="AC11">
        <v>13.5</v>
      </c>
      <c r="AD11">
        <v>0</v>
      </c>
      <c r="AE11">
        <v>0</v>
      </c>
      <c r="AF11">
        <v>31.26</v>
      </c>
      <c r="AG11">
        <v>13.5</v>
      </c>
      <c r="AH11">
        <v>0</v>
      </c>
      <c r="AI11">
        <v>1</v>
      </c>
      <c r="AJ11">
        <v>1</v>
      </c>
      <c r="AK11">
        <v>1</v>
      </c>
      <c r="AL11">
        <v>1</v>
      </c>
      <c r="AN11">
        <v>0</v>
      </c>
      <c r="AO11">
        <v>1</v>
      </c>
      <c r="AP11">
        <v>1</v>
      </c>
      <c r="AQ11">
        <v>0</v>
      </c>
      <c r="AR11">
        <v>0</v>
      </c>
      <c r="AT11">
        <v>1.27</v>
      </c>
      <c r="AU11" t="s">
        <v>45</v>
      </c>
      <c r="AV11">
        <v>0</v>
      </c>
      <c r="AW11">
        <v>2</v>
      </c>
      <c r="AX11">
        <v>55096083</v>
      </c>
      <c r="AY11">
        <v>1</v>
      </c>
      <c r="AZ11">
        <v>0</v>
      </c>
      <c r="BA11">
        <v>11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Y11*Source!I32</f>
        <v>11.2776</v>
      </c>
      <c r="CY11">
        <f>AB11</f>
        <v>31.26</v>
      </c>
      <c r="CZ11">
        <f>AF11</f>
        <v>31.26</v>
      </c>
      <c r="DA11">
        <f>AJ11</f>
        <v>1</v>
      </c>
      <c r="DB11">
        <f>ROUND((ROUND(AT11*CZ11,2)*ROUND(0.8,7)),2)</f>
        <v>31.76</v>
      </c>
      <c r="DC11">
        <f>ROUND((ROUND(AT11*AG11,2)*ROUND(0.8,7)),2)</f>
        <v>13.72</v>
      </c>
    </row>
    <row r="12" spans="1:107" ht="12.75">
      <c r="A12">
        <f>ROW(Source!A32)</f>
        <v>32</v>
      </c>
      <c r="B12">
        <v>55110074</v>
      </c>
      <c r="C12">
        <v>55096075</v>
      </c>
      <c r="D12">
        <v>53792275</v>
      </c>
      <c r="E12">
        <v>1</v>
      </c>
      <c r="F12">
        <v>1</v>
      </c>
      <c r="G12">
        <v>1</v>
      </c>
      <c r="H12">
        <v>2</v>
      </c>
      <c r="I12" t="s">
        <v>325</v>
      </c>
      <c r="J12" t="s">
        <v>326</v>
      </c>
      <c r="K12" t="s">
        <v>327</v>
      </c>
      <c r="L12">
        <v>1367</v>
      </c>
      <c r="N12">
        <v>1011</v>
      </c>
      <c r="O12" t="s">
        <v>315</v>
      </c>
      <c r="P12" t="s">
        <v>315</v>
      </c>
      <c r="Q12">
        <v>1</v>
      </c>
      <c r="W12">
        <v>0</v>
      </c>
      <c r="X12">
        <v>-1322498708</v>
      </c>
      <c r="Y12">
        <v>6.256</v>
      </c>
      <c r="AA12">
        <v>0</v>
      </c>
      <c r="AB12">
        <v>0.5</v>
      </c>
      <c r="AC12">
        <v>0</v>
      </c>
      <c r="AD12">
        <v>0</v>
      </c>
      <c r="AE12">
        <v>0</v>
      </c>
      <c r="AF12">
        <v>0.5</v>
      </c>
      <c r="AG12">
        <v>0</v>
      </c>
      <c r="AH12">
        <v>0</v>
      </c>
      <c r="AI12">
        <v>1</v>
      </c>
      <c r="AJ12">
        <v>1</v>
      </c>
      <c r="AK12">
        <v>1</v>
      </c>
      <c r="AL12">
        <v>1</v>
      </c>
      <c r="AN12">
        <v>0</v>
      </c>
      <c r="AO12">
        <v>1</v>
      </c>
      <c r="AP12">
        <v>1</v>
      </c>
      <c r="AQ12">
        <v>0</v>
      </c>
      <c r="AR12">
        <v>0</v>
      </c>
      <c r="AT12">
        <v>7.82</v>
      </c>
      <c r="AU12" t="s">
        <v>45</v>
      </c>
      <c r="AV12">
        <v>0</v>
      </c>
      <c r="AW12">
        <v>2</v>
      </c>
      <c r="AX12">
        <v>55096084</v>
      </c>
      <c r="AY12">
        <v>1</v>
      </c>
      <c r="AZ12">
        <v>0</v>
      </c>
      <c r="BA12">
        <v>12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Y12*Source!I32</f>
        <v>69.4416</v>
      </c>
      <c r="CY12">
        <f>AB12</f>
        <v>0.5</v>
      </c>
      <c r="CZ12">
        <f>AF12</f>
        <v>0.5</v>
      </c>
      <c r="DA12">
        <f>AJ12</f>
        <v>1</v>
      </c>
      <c r="DB12">
        <f>ROUND((ROUND(AT12*CZ12,2)*ROUND(0.8,7)),2)</f>
        <v>3.13</v>
      </c>
      <c r="DC12">
        <f>ROUND((ROUND(AT12*AG12,2)*ROUND(0.8,7)),2)</f>
        <v>0</v>
      </c>
    </row>
    <row r="13" spans="1:107" ht="12.75">
      <c r="A13">
        <f>ROW(Source!A32)</f>
        <v>32</v>
      </c>
      <c r="B13">
        <v>55110074</v>
      </c>
      <c r="C13">
        <v>55096075</v>
      </c>
      <c r="D13">
        <v>53642555</v>
      </c>
      <c r="E13">
        <v>1</v>
      </c>
      <c r="F13">
        <v>1</v>
      </c>
      <c r="G13">
        <v>1</v>
      </c>
      <c r="H13">
        <v>3</v>
      </c>
      <c r="I13" t="s">
        <v>52</v>
      </c>
      <c r="J13" t="s">
        <v>55</v>
      </c>
      <c r="K13" t="s">
        <v>53</v>
      </c>
      <c r="L13">
        <v>1339</v>
      </c>
      <c r="N13">
        <v>1007</v>
      </c>
      <c r="O13" t="s">
        <v>54</v>
      </c>
      <c r="P13" t="s">
        <v>54</v>
      </c>
      <c r="Q13">
        <v>1</v>
      </c>
      <c r="W13">
        <v>1</v>
      </c>
      <c r="X13">
        <v>-143474561</v>
      </c>
      <c r="Y13">
        <v>0</v>
      </c>
      <c r="AA13">
        <v>2.44</v>
      </c>
      <c r="AB13">
        <v>0</v>
      </c>
      <c r="AC13">
        <v>0</v>
      </c>
      <c r="AD13">
        <v>0</v>
      </c>
      <c r="AE13">
        <v>2.44</v>
      </c>
      <c r="AF13">
        <v>0</v>
      </c>
      <c r="AG13">
        <v>0</v>
      </c>
      <c r="AH13">
        <v>0</v>
      </c>
      <c r="AI13">
        <v>1</v>
      </c>
      <c r="AJ13">
        <v>1</v>
      </c>
      <c r="AK13">
        <v>1</v>
      </c>
      <c r="AL13">
        <v>1</v>
      </c>
      <c r="AN13">
        <v>0</v>
      </c>
      <c r="AO13">
        <v>1</v>
      </c>
      <c r="AP13">
        <v>1</v>
      </c>
      <c r="AQ13">
        <v>0</v>
      </c>
      <c r="AR13">
        <v>0</v>
      </c>
      <c r="AT13">
        <v>-3.5</v>
      </c>
      <c r="AU13" t="s">
        <v>44</v>
      </c>
      <c r="AV13">
        <v>0</v>
      </c>
      <c r="AW13">
        <v>2</v>
      </c>
      <c r="AX13">
        <v>55096085</v>
      </c>
      <c r="AY13">
        <v>1</v>
      </c>
      <c r="AZ13">
        <v>4096</v>
      </c>
      <c r="BA13">
        <v>13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Y13*Source!I32</f>
        <v>0</v>
      </c>
      <c r="CY13">
        <f>AA13</f>
        <v>2.44</v>
      </c>
      <c r="CZ13">
        <f>AE13</f>
        <v>2.44</v>
      </c>
      <c r="DA13">
        <f>AI13</f>
        <v>1</v>
      </c>
      <c r="DB13">
        <f>ROUND((ROUND(AT13*CZ13,2)*ROUND(0,7)),2)</f>
        <v>0</v>
      </c>
      <c r="DC13">
        <f>ROUND((ROUND(AT13*AG13,2)*ROUND(0,7)),2)</f>
        <v>0</v>
      </c>
    </row>
    <row r="14" spans="1:107" ht="12.75">
      <c r="A14">
        <f>ROW(Source!A33)</f>
        <v>33</v>
      </c>
      <c r="B14">
        <v>55110083</v>
      </c>
      <c r="C14">
        <v>55096075</v>
      </c>
      <c r="D14">
        <v>53630041</v>
      </c>
      <c r="E14">
        <v>70</v>
      </c>
      <c r="F14">
        <v>1</v>
      </c>
      <c r="G14">
        <v>1</v>
      </c>
      <c r="H14">
        <v>1</v>
      </c>
      <c r="I14" t="s">
        <v>318</v>
      </c>
      <c r="K14" t="s">
        <v>319</v>
      </c>
      <c r="L14">
        <v>1191</v>
      </c>
      <c r="N14">
        <v>1013</v>
      </c>
      <c r="O14" t="s">
        <v>311</v>
      </c>
      <c r="P14" t="s">
        <v>311</v>
      </c>
      <c r="Q14">
        <v>1</v>
      </c>
      <c r="W14">
        <v>0</v>
      </c>
      <c r="X14">
        <v>-366857280</v>
      </c>
      <c r="Y14">
        <v>28.480000000000004</v>
      </c>
      <c r="AA14">
        <v>0</v>
      </c>
      <c r="AB14">
        <v>0</v>
      </c>
      <c r="AC14">
        <v>0</v>
      </c>
      <c r="AD14">
        <v>7.94</v>
      </c>
      <c r="AE14">
        <v>0</v>
      </c>
      <c r="AF14">
        <v>0</v>
      </c>
      <c r="AG14">
        <v>0</v>
      </c>
      <c r="AH14">
        <v>7.94</v>
      </c>
      <c r="AI14">
        <v>1</v>
      </c>
      <c r="AJ14">
        <v>1</v>
      </c>
      <c r="AK14">
        <v>1</v>
      </c>
      <c r="AL14">
        <v>1</v>
      </c>
      <c r="AN14">
        <v>0</v>
      </c>
      <c r="AO14">
        <v>1</v>
      </c>
      <c r="AP14">
        <v>1</v>
      </c>
      <c r="AQ14">
        <v>0</v>
      </c>
      <c r="AR14">
        <v>0</v>
      </c>
      <c r="AT14">
        <v>35.6</v>
      </c>
      <c r="AU14" t="s">
        <v>45</v>
      </c>
      <c r="AV14">
        <v>1</v>
      </c>
      <c r="AW14">
        <v>2</v>
      </c>
      <c r="AX14">
        <v>55096081</v>
      </c>
      <c r="AY14">
        <v>1</v>
      </c>
      <c r="AZ14">
        <v>0</v>
      </c>
      <c r="BA14">
        <v>15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Y14*Source!I33</f>
        <v>316.12800000000004</v>
      </c>
      <c r="CY14">
        <f>AD14</f>
        <v>7.94</v>
      </c>
      <c r="CZ14">
        <f>AH14</f>
        <v>7.94</v>
      </c>
      <c r="DA14">
        <f>AL14</f>
        <v>1</v>
      </c>
      <c r="DB14">
        <f>ROUND((ROUND(AT14*CZ14,2)*ROUND(0.8,7)),2)</f>
        <v>226.13</v>
      </c>
      <c r="DC14">
        <f>ROUND((ROUND(AT14*AG14,2)*ROUND(0.8,7)),2)</f>
        <v>0</v>
      </c>
    </row>
    <row r="15" spans="1:107" ht="12.75">
      <c r="A15">
        <f>ROW(Source!A33)</f>
        <v>33</v>
      </c>
      <c r="B15">
        <v>55110083</v>
      </c>
      <c r="C15">
        <v>55096075</v>
      </c>
      <c r="D15">
        <v>53630257</v>
      </c>
      <c r="E15">
        <v>70</v>
      </c>
      <c r="F15">
        <v>1</v>
      </c>
      <c r="G15">
        <v>1</v>
      </c>
      <c r="H15">
        <v>1</v>
      </c>
      <c r="I15" t="s">
        <v>320</v>
      </c>
      <c r="K15" t="s">
        <v>321</v>
      </c>
      <c r="L15">
        <v>1191</v>
      </c>
      <c r="N15">
        <v>1013</v>
      </c>
      <c r="O15" t="s">
        <v>311</v>
      </c>
      <c r="P15" t="s">
        <v>311</v>
      </c>
      <c r="Q15">
        <v>1</v>
      </c>
      <c r="W15">
        <v>0</v>
      </c>
      <c r="X15">
        <v>-1417349443</v>
      </c>
      <c r="Y15">
        <v>1.016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1</v>
      </c>
      <c r="AJ15">
        <v>1</v>
      </c>
      <c r="AK15">
        <v>1</v>
      </c>
      <c r="AL15">
        <v>1</v>
      </c>
      <c r="AN15">
        <v>0</v>
      </c>
      <c r="AO15">
        <v>1</v>
      </c>
      <c r="AP15">
        <v>1</v>
      </c>
      <c r="AQ15">
        <v>0</v>
      </c>
      <c r="AR15">
        <v>0</v>
      </c>
      <c r="AT15">
        <v>1.27</v>
      </c>
      <c r="AU15" t="s">
        <v>45</v>
      </c>
      <c r="AV15">
        <v>2</v>
      </c>
      <c r="AW15">
        <v>2</v>
      </c>
      <c r="AX15">
        <v>55096082</v>
      </c>
      <c r="AY15">
        <v>1</v>
      </c>
      <c r="AZ15">
        <v>0</v>
      </c>
      <c r="BA15">
        <v>16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Y15*Source!I33</f>
        <v>11.2776</v>
      </c>
      <c r="CY15">
        <f>AD15</f>
        <v>0</v>
      </c>
      <c r="CZ15">
        <f>AH15</f>
        <v>0</v>
      </c>
      <c r="DA15">
        <f>AL15</f>
        <v>1</v>
      </c>
      <c r="DB15">
        <f>ROUND((ROUND(AT15*CZ15,2)*ROUND(0.8,7)),2)</f>
        <v>0</v>
      </c>
      <c r="DC15">
        <f>ROUND((ROUND(AT15*AG15,2)*ROUND(0.8,7)),2)</f>
        <v>0</v>
      </c>
    </row>
    <row r="16" spans="1:107" ht="12.75">
      <c r="A16">
        <f>ROW(Source!A33)</f>
        <v>33</v>
      </c>
      <c r="B16">
        <v>55110083</v>
      </c>
      <c r="C16">
        <v>55096075</v>
      </c>
      <c r="D16">
        <v>53792191</v>
      </c>
      <c r="E16">
        <v>1</v>
      </c>
      <c r="F16">
        <v>1</v>
      </c>
      <c r="G16">
        <v>1</v>
      </c>
      <c r="H16">
        <v>2</v>
      </c>
      <c r="I16" t="s">
        <v>322</v>
      </c>
      <c r="J16" t="s">
        <v>323</v>
      </c>
      <c r="K16" t="s">
        <v>324</v>
      </c>
      <c r="L16">
        <v>1367</v>
      </c>
      <c r="N16">
        <v>1011</v>
      </c>
      <c r="O16" t="s">
        <v>315</v>
      </c>
      <c r="P16" t="s">
        <v>315</v>
      </c>
      <c r="Q16">
        <v>1</v>
      </c>
      <c r="W16">
        <v>0</v>
      </c>
      <c r="X16">
        <v>1232162608</v>
      </c>
      <c r="Y16">
        <v>1.016</v>
      </c>
      <c r="AA16">
        <v>0</v>
      </c>
      <c r="AB16">
        <v>533.3</v>
      </c>
      <c r="AC16">
        <v>486.41</v>
      </c>
      <c r="AD16">
        <v>0</v>
      </c>
      <c r="AE16">
        <v>0</v>
      </c>
      <c r="AF16">
        <v>31.26</v>
      </c>
      <c r="AG16">
        <v>13.5</v>
      </c>
      <c r="AH16">
        <v>0</v>
      </c>
      <c r="AI16">
        <v>1</v>
      </c>
      <c r="AJ16">
        <v>17.06</v>
      </c>
      <c r="AK16">
        <v>36.03</v>
      </c>
      <c r="AL16">
        <v>1</v>
      </c>
      <c r="AN16">
        <v>0</v>
      </c>
      <c r="AO16">
        <v>1</v>
      </c>
      <c r="AP16">
        <v>1</v>
      </c>
      <c r="AQ16">
        <v>0</v>
      </c>
      <c r="AR16">
        <v>0</v>
      </c>
      <c r="AT16">
        <v>1.27</v>
      </c>
      <c r="AU16" t="s">
        <v>45</v>
      </c>
      <c r="AV16">
        <v>0</v>
      </c>
      <c r="AW16">
        <v>2</v>
      </c>
      <c r="AX16">
        <v>55096083</v>
      </c>
      <c r="AY16">
        <v>1</v>
      </c>
      <c r="AZ16">
        <v>0</v>
      </c>
      <c r="BA16">
        <v>17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Y16*Source!I33</f>
        <v>11.2776</v>
      </c>
      <c r="CY16">
        <f>AB16</f>
        <v>533.3</v>
      </c>
      <c r="CZ16">
        <f>AF16</f>
        <v>31.26</v>
      </c>
      <c r="DA16">
        <f>AJ16</f>
        <v>17.06</v>
      </c>
      <c r="DB16">
        <f>ROUND((ROUND(AT16*CZ16,2)*ROUND(0.8,7)),2)</f>
        <v>31.76</v>
      </c>
      <c r="DC16">
        <f>ROUND((ROUND(AT16*AG16,2)*ROUND(0.8,7)),2)</f>
        <v>13.72</v>
      </c>
    </row>
    <row r="17" spans="1:107" ht="12.75">
      <c r="A17">
        <f>ROW(Source!A33)</f>
        <v>33</v>
      </c>
      <c r="B17">
        <v>55110083</v>
      </c>
      <c r="C17">
        <v>55096075</v>
      </c>
      <c r="D17">
        <v>53792275</v>
      </c>
      <c r="E17">
        <v>1</v>
      </c>
      <c r="F17">
        <v>1</v>
      </c>
      <c r="G17">
        <v>1</v>
      </c>
      <c r="H17">
        <v>2</v>
      </c>
      <c r="I17" t="s">
        <v>325</v>
      </c>
      <c r="J17" t="s">
        <v>326</v>
      </c>
      <c r="K17" t="s">
        <v>327</v>
      </c>
      <c r="L17">
        <v>1367</v>
      </c>
      <c r="N17">
        <v>1011</v>
      </c>
      <c r="O17" t="s">
        <v>315</v>
      </c>
      <c r="P17" t="s">
        <v>315</v>
      </c>
      <c r="Q17">
        <v>1</v>
      </c>
      <c r="W17">
        <v>0</v>
      </c>
      <c r="X17">
        <v>-1322498708</v>
      </c>
      <c r="Y17">
        <v>6.256</v>
      </c>
      <c r="AA17">
        <v>0</v>
      </c>
      <c r="AB17">
        <v>3.03</v>
      </c>
      <c r="AC17">
        <v>0</v>
      </c>
      <c r="AD17">
        <v>0</v>
      </c>
      <c r="AE17">
        <v>0</v>
      </c>
      <c r="AF17">
        <v>0.5</v>
      </c>
      <c r="AG17">
        <v>0</v>
      </c>
      <c r="AH17">
        <v>0</v>
      </c>
      <c r="AI17">
        <v>1</v>
      </c>
      <c r="AJ17">
        <v>6.06</v>
      </c>
      <c r="AK17">
        <v>36.03</v>
      </c>
      <c r="AL17">
        <v>1</v>
      </c>
      <c r="AN17">
        <v>0</v>
      </c>
      <c r="AO17">
        <v>1</v>
      </c>
      <c r="AP17">
        <v>1</v>
      </c>
      <c r="AQ17">
        <v>0</v>
      </c>
      <c r="AR17">
        <v>0</v>
      </c>
      <c r="AT17">
        <v>7.82</v>
      </c>
      <c r="AU17" t="s">
        <v>45</v>
      </c>
      <c r="AV17">
        <v>0</v>
      </c>
      <c r="AW17">
        <v>2</v>
      </c>
      <c r="AX17">
        <v>55096084</v>
      </c>
      <c r="AY17">
        <v>1</v>
      </c>
      <c r="AZ17">
        <v>0</v>
      </c>
      <c r="BA17">
        <v>18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Y17*Source!I33</f>
        <v>69.4416</v>
      </c>
      <c r="CY17">
        <f>AB17</f>
        <v>3.03</v>
      </c>
      <c r="CZ17">
        <f>AF17</f>
        <v>0.5</v>
      </c>
      <c r="DA17">
        <f>AJ17</f>
        <v>6.06</v>
      </c>
      <c r="DB17">
        <f>ROUND((ROUND(AT17*CZ17,2)*ROUND(0.8,7)),2)</f>
        <v>3.13</v>
      </c>
      <c r="DC17">
        <f>ROUND((ROUND(AT17*AG17,2)*ROUND(0.8,7)),2)</f>
        <v>0</v>
      </c>
    </row>
    <row r="18" spans="1:107" ht="12.75">
      <c r="A18">
        <f>ROW(Source!A33)</f>
        <v>33</v>
      </c>
      <c r="B18">
        <v>55110083</v>
      </c>
      <c r="C18">
        <v>55096075</v>
      </c>
      <c r="D18">
        <v>53642555</v>
      </c>
      <c r="E18">
        <v>1</v>
      </c>
      <c r="F18">
        <v>1</v>
      </c>
      <c r="G18">
        <v>1</v>
      </c>
      <c r="H18">
        <v>3</v>
      </c>
      <c r="I18" t="s">
        <v>52</v>
      </c>
      <c r="J18" t="s">
        <v>55</v>
      </c>
      <c r="K18" t="s">
        <v>53</v>
      </c>
      <c r="L18">
        <v>1339</v>
      </c>
      <c r="N18">
        <v>1007</v>
      </c>
      <c r="O18" t="s">
        <v>54</v>
      </c>
      <c r="P18" t="s">
        <v>54</v>
      </c>
      <c r="Q18">
        <v>1</v>
      </c>
      <c r="W18">
        <v>1</v>
      </c>
      <c r="X18">
        <v>-143474561</v>
      </c>
      <c r="Y18">
        <v>0</v>
      </c>
      <c r="AA18">
        <v>35.87</v>
      </c>
      <c r="AB18">
        <v>0</v>
      </c>
      <c r="AC18">
        <v>0</v>
      </c>
      <c r="AD18">
        <v>0</v>
      </c>
      <c r="AE18">
        <v>2.44</v>
      </c>
      <c r="AF18">
        <v>0</v>
      </c>
      <c r="AG18">
        <v>0</v>
      </c>
      <c r="AH18">
        <v>0</v>
      </c>
      <c r="AI18">
        <v>14.7</v>
      </c>
      <c r="AJ18">
        <v>1</v>
      </c>
      <c r="AK18">
        <v>1</v>
      </c>
      <c r="AL18">
        <v>1</v>
      </c>
      <c r="AN18">
        <v>0</v>
      </c>
      <c r="AO18">
        <v>1</v>
      </c>
      <c r="AP18">
        <v>1</v>
      </c>
      <c r="AQ18">
        <v>0</v>
      </c>
      <c r="AR18">
        <v>0</v>
      </c>
      <c r="AT18">
        <v>-3.5</v>
      </c>
      <c r="AU18" t="s">
        <v>44</v>
      </c>
      <c r="AV18">
        <v>0</v>
      </c>
      <c r="AW18">
        <v>2</v>
      </c>
      <c r="AX18">
        <v>55096085</v>
      </c>
      <c r="AY18">
        <v>1</v>
      </c>
      <c r="AZ18">
        <v>4096</v>
      </c>
      <c r="BA18">
        <v>19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Y18*Source!I33</f>
        <v>0</v>
      </c>
      <c r="CY18">
        <f>AA18</f>
        <v>35.87</v>
      </c>
      <c r="CZ18">
        <f>AE18</f>
        <v>2.44</v>
      </c>
      <c r="DA18">
        <f>AI18</f>
        <v>14.7</v>
      </c>
      <c r="DB18">
        <f>ROUND((ROUND(AT18*CZ18,2)*ROUND(0,7)),2)</f>
        <v>0</v>
      </c>
      <c r="DC18">
        <f>ROUND((ROUND(AT18*AG18,2)*ROUND(0,7)),2)</f>
        <v>0</v>
      </c>
    </row>
    <row r="19" spans="1:107" ht="12.75">
      <c r="A19">
        <f>ROW(Source!A71)</f>
        <v>71</v>
      </c>
      <c r="B19">
        <v>55110074</v>
      </c>
      <c r="C19">
        <v>55096087</v>
      </c>
      <c r="D19">
        <v>49459389</v>
      </c>
      <c r="E19">
        <v>58</v>
      </c>
      <c r="F19">
        <v>1</v>
      </c>
      <c r="G19">
        <v>1</v>
      </c>
      <c r="H19">
        <v>1</v>
      </c>
      <c r="I19" t="s">
        <v>328</v>
      </c>
      <c r="K19" t="s">
        <v>329</v>
      </c>
      <c r="L19">
        <v>1191</v>
      </c>
      <c r="N19">
        <v>1013</v>
      </c>
      <c r="O19" t="s">
        <v>311</v>
      </c>
      <c r="P19" t="s">
        <v>311</v>
      </c>
      <c r="Q19">
        <v>1</v>
      </c>
      <c r="W19">
        <v>0</v>
      </c>
      <c r="X19">
        <v>1010519658</v>
      </c>
      <c r="Y19">
        <v>27.945</v>
      </c>
      <c r="AA19">
        <v>0</v>
      </c>
      <c r="AB19">
        <v>0</v>
      </c>
      <c r="AC19">
        <v>0</v>
      </c>
      <c r="AD19">
        <v>8.64</v>
      </c>
      <c r="AE19">
        <v>0</v>
      </c>
      <c r="AF19">
        <v>0</v>
      </c>
      <c r="AG19">
        <v>0</v>
      </c>
      <c r="AH19">
        <v>8.64</v>
      </c>
      <c r="AI19">
        <v>1</v>
      </c>
      <c r="AJ19">
        <v>1</v>
      </c>
      <c r="AK19">
        <v>1</v>
      </c>
      <c r="AL19">
        <v>1</v>
      </c>
      <c r="AN19">
        <v>0</v>
      </c>
      <c r="AO19">
        <v>1</v>
      </c>
      <c r="AP19">
        <v>1</v>
      </c>
      <c r="AQ19">
        <v>0</v>
      </c>
      <c r="AR19">
        <v>0</v>
      </c>
      <c r="AT19">
        <v>24.3</v>
      </c>
      <c r="AU19" t="s">
        <v>116</v>
      </c>
      <c r="AV19">
        <v>1</v>
      </c>
      <c r="AW19">
        <v>2</v>
      </c>
      <c r="AX19">
        <v>55096096</v>
      </c>
      <c r="AY19">
        <v>1</v>
      </c>
      <c r="AZ19">
        <v>0</v>
      </c>
      <c r="BA19">
        <v>21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Y19*Source!I71</f>
        <v>310.1895</v>
      </c>
      <c r="CY19">
        <f>AD19</f>
        <v>8.64</v>
      </c>
      <c r="CZ19">
        <f>AH19</f>
        <v>8.64</v>
      </c>
      <c r="DA19">
        <f>AL19</f>
        <v>1</v>
      </c>
      <c r="DB19">
        <f>ROUND((ROUND(AT19*CZ19,2)*ROUND(1.15,7)),2)</f>
        <v>241.44</v>
      </c>
      <c r="DC19">
        <f>ROUND((ROUND(AT19*AG19,2)*ROUND(1.15,7)),2)</f>
        <v>0</v>
      </c>
    </row>
    <row r="20" spans="1:107" ht="12.75">
      <c r="A20">
        <f>ROW(Source!A71)</f>
        <v>71</v>
      </c>
      <c r="B20">
        <v>55110074</v>
      </c>
      <c r="C20">
        <v>55096087</v>
      </c>
      <c r="D20">
        <v>49459566</v>
      </c>
      <c r="E20">
        <v>58</v>
      </c>
      <c r="F20">
        <v>1</v>
      </c>
      <c r="G20">
        <v>1</v>
      </c>
      <c r="H20">
        <v>1</v>
      </c>
      <c r="I20" t="s">
        <v>330</v>
      </c>
      <c r="K20" t="s">
        <v>321</v>
      </c>
      <c r="L20">
        <v>1191</v>
      </c>
      <c r="N20">
        <v>1013</v>
      </c>
      <c r="O20" t="s">
        <v>311</v>
      </c>
      <c r="P20" t="s">
        <v>311</v>
      </c>
      <c r="Q20">
        <v>1</v>
      </c>
      <c r="W20">
        <v>0</v>
      </c>
      <c r="X20">
        <v>-1173606021</v>
      </c>
      <c r="Y20">
        <v>2.425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1</v>
      </c>
      <c r="AJ20">
        <v>1</v>
      </c>
      <c r="AK20">
        <v>1</v>
      </c>
      <c r="AL20">
        <v>1</v>
      </c>
      <c r="AN20">
        <v>0</v>
      </c>
      <c r="AO20">
        <v>1</v>
      </c>
      <c r="AP20">
        <v>1</v>
      </c>
      <c r="AQ20">
        <v>0</v>
      </c>
      <c r="AR20">
        <v>0</v>
      </c>
      <c r="AT20">
        <v>1.94</v>
      </c>
      <c r="AU20" t="s">
        <v>115</v>
      </c>
      <c r="AV20">
        <v>2</v>
      </c>
      <c r="AW20">
        <v>2</v>
      </c>
      <c r="AX20">
        <v>55096097</v>
      </c>
      <c r="AY20">
        <v>1</v>
      </c>
      <c r="AZ20">
        <v>0</v>
      </c>
      <c r="BA20">
        <v>22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Y20*Source!I71</f>
        <v>26.917499999999997</v>
      </c>
      <c r="CY20">
        <f>AD20</f>
        <v>0</v>
      </c>
      <c r="CZ20">
        <f>AH20</f>
        <v>0</v>
      </c>
      <c r="DA20">
        <f>AL20</f>
        <v>1</v>
      </c>
      <c r="DB20">
        <f>ROUND((ROUND(AT20*CZ20,2)*ROUND(1.25,7)),2)</f>
        <v>0</v>
      </c>
      <c r="DC20">
        <f>ROUND((ROUND(AT20*AG20,2)*ROUND(1.25,7)),2)</f>
        <v>0</v>
      </c>
    </row>
    <row r="21" spans="1:107" ht="12.75">
      <c r="A21">
        <f>ROW(Source!A71)</f>
        <v>71</v>
      </c>
      <c r="B21">
        <v>55110074</v>
      </c>
      <c r="C21">
        <v>55096087</v>
      </c>
      <c r="D21">
        <v>49620286</v>
      </c>
      <c r="E21">
        <v>1</v>
      </c>
      <c r="F21">
        <v>1</v>
      </c>
      <c r="G21">
        <v>1</v>
      </c>
      <c r="H21">
        <v>2</v>
      </c>
      <c r="I21" t="s">
        <v>331</v>
      </c>
      <c r="J21" t="s">
        <v>332</v>
      </c>
      <c r="K21" t="s">
        <v>333</v>
      </c>
      <c r="L21">
        <v>1368</v>
      </c>
      <c r="N21">
        <v>1011</v>
      </c>
      <c r="O21" t="s">
        <v>317</v>
      </c>
      <c r="P21" t="s">
        <v>317</v>
      </c>
      <c r="Q21">
        <v>1</v>
      </c>
      <c r="W21">
        <v>0</v>
      </c>
      <c r="X21">
        <v>-1554407757</v>
      </c>
      <c r="Y21">
        <v>0.8500000000000001</v>
      </c>
      <c r="AA21">
        <v>0</v>
      </c>
      <c r="AB21">
        <v>86.4</v>
      </c>
      <c r="AC21">
        <v>13.5</v>
      </c>
      <c r="AD21">
        <v>0</v>
      </c>
      <c r="AE21">
        <v>0</v>
      </c>
      <c r="AF21">
        <v>86.4</v>
      </c>
      <c r="AG21">
        <v>13.5</v>
      </c>
      <c r="AH21">
        <v>0</v>
      </c>
      <c r="AI21">
        <v>1</v>
      </c>
      <c r="AJ21">
        <v>1</v>
      </c>
      <c r="AK21">
        <v>1</v>
      </c>
      <c r="AL21">
        <v>1</v>
      </c>
      <c r="AN21">
        <v>0</v>
      </c>
      <c r="AO21">
        <v>1</v>
      </c>
      <c r="AP21">
        <v>1</v>
      </c>
      <c r="AQ21">
        <v>0</v>
      </c>
      <c r="AR21">
        <v>0</v>
      </c>
      <c r="AT21">
        <v>0.68</v>
      </c>
      <c r="AU21" t="s">
        <v>115</v>
      </c>
      <c r="AV21">
        <v>0</v>
      </c>
      <c r="AW21">
        <v>2</v>
      </c>
      <c r="AX21">
        <v>55096098</v>
      </c>
      <c r="AY21">
        <v>1</v>
      </c>
      <c r="AZ21">
        <v>0</v>
      </c>
      <c r="BA21">
        <v>23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Y21*Source!I71</f>
        <v>9.435</v>
      </c>
      <c r="CY21">
        <f>AB21</f>
        <v>86.4</v>
      </c>
      <c r="CZ21">
        <f>AF21</f>
        <v>86.4</v>
      </c>
      <c r="DA21">
        <f>AJ21</f>
        <v>1</v>
      </c>
      <c r="DB21">
        <f>ROUND((ROUND(AT21*CZ21,2)*ROUND(1.25,7)),2)</f>
        <v>73.44</v>
      </c>
      <c r="DC21">
        <f>ROUND((ROUND(AT21*AG21,2)*ROUND(1.25,7)),2)</f>
        <v>11.48</v>
      </c>
    </row>
    <row r="22" spans="1:107" ht="12.75">
      <c r="A22">
        <f>ROW(Source!A71)</f>
        <v>71</v>
      </c>
      <c r="B22">
        <v>55110074</v>
      </c>
      <c r="C22">
        <v>55096087</v>
      </c>
      <c r="D22">
        <v>49620499</v>
      </c>
      <c r="E22">
        <v>1</v>
      </c>
      <c r="F22">
        <v>1</v>
      </c>
      <c r="G22">
        <v>1</v>
      </c>
      <c r="H22">
        <v>2</v>
      </c>
      <c r="I22" t="s">
        <v>334</v>
      </c>
      <c r="J22" t="s">
        <v>335</v>
      </c>
      <c r="K22" t="s">
        <v>336</v>
      </c>
      <c r="L22">
        <v>1368</v>
      </c>
      <c r="N22">
        <v>1011</v>
      </c>
      <c r="O22" t="s">
        <v>317</v>
      </c>
      <c r="P22" t="s">
        <v>317</v>
      </c>
      <c r="Q22">
        <v>1</v>
      </c>
      <c r="W22">
        <v>0</v>
      </c>
      <c r="X22">
        <v>-1845589996</v>
      </c>
      <c r="Y22">
        <v>1.575</v>
      </c>
      <c r="AA22">
        <v>0</v>
      </c>
      <c r="AB22">
        <v>89.99</v>
      </c>
      <c r="AC22">
        <v>10.06</v>
      </c>
      <c r="AD22">
        <v>0</v>
      </c>
      <c r="AE22">
        <v>0</v>
      </c>
      <c r="AF22">
        <v>89.99</v>
      </c>
      <c r="AG22">
        <v>10.06</v>
      </c>
      <c r="AH22">
        <v>0</v>
      </c>
      <c r="AI22">
        <v>1</v>
      </c>
      <c r="AJ22">
        <v>1</v>
      </c>
      <c r="AK22">
        <v>1</v>
      </c>
      <c r="AL22">
        <v>1</v>
      </c>
      <c r="AN22">
        <v>0</v>
      </c>
      <c r="AO22">
        <v>1</v>
      </c>
      <c r="AP22">
        <v>1</v>
      </c>
      <c r="AQ22">
        <v>0</v>
      </c>
      <c r="AR22">
        <v>0</v>
      </c>
      <c r="AT22">
        <v>1.26</v>
      </c>
      <c r="AU22" t="s">
        <v>115</v>
      </c>
      <c r="AV22">
        <v>0</v>
      </c>
      <c r="AW22">
        <v>2</v>
      </c>
      <c r="AX22">
        <v>55096099</v>
      </c>
      <c r="AY22">
        <v>1</v>
      </c>
      <c r="AZ22">
        <v>0</v>
      </c>
      <c r="BA22">
        <v>24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Y22*Source!I71</f>
        <v>17.482499999999998</v>
      </c>
      <c r="CY22">
        <f>AB22</f>
        <v>89.99</v>
      </c>
      <c r="CZ22">
        <f>AF22</f>
        <v>89.99</v>
      </c>
      <c r="DA22">
        <f>AJ22</f>
        <v>1</v>
      </c>
      <c r="DB22">
        <f>ROUND((ROUND(AT22*CZ22,2)*ROUND(1.25,7)),2)</f>
        <v>141.74</v>
      </c>
      <c r="DC22">
        <f>ROUND((ROUND(AT22*AG22,2)*ROUND(1.25,7)),2)</f>
        <v>15.85</v>
      </c>
    </row>
    <row r="23" spans="1:107" ht="12.75">
      <c r="A23">
        <f>ROW(Source!A71)</f>
        <v>71</v>
      </c>
      <c r="B23">
        <v>55110074</v>
      </c>
      <c r="C23">
        <v>55096087</v>
      </c>
      <c r="D23">
        <v>49620642</v>
      </c>
      <c r="E23">
        <v>1</v>
      </c>
      <c r="F23">
        <v>1</v>
      </c>
      <c r="G23">
        <v>1</v>
      </c>
      <c r="H23">
        <v>2</v>
      </c>
      <c r="I23" t="s">
        <v>337</v>
      </c>
      <c r="J23" t="s">
        <v>338</v>
      </c>
      <c r="K23" t="s">
        <v>339</v>
      </c>
      <c r="L23">
        <v>1368</v>
      </c>
      <c r="N23">
        <v>1011</v>
      </c>
      <c r="O23" t="s">
        <v>317</v>
      </c>
      <c r="P23" t="s">
        <v>317</v>
      </c>
      <c r="Q23">
        <v>1</v>
      </c>
      <c r="W23">
        <v>0</v>
      </c>
      <c r="X23">
        <v>1974224678</v>
      </c>
      <c r="Y23">
        <v>2.8625</v>
      </c>
      <c r="AA23">
        <v>0</v>
      </c>
      <c r="AB23">
        <v>7.77</v>
      </c>
      <c r="AC23">
        <v>0</v>
      </c>
      <c r="AD23">
        <v>0</v>
      </c>
      <c r="AE23">
        <v>0</v>
      </c>
      <c r="AF23">
        <v>7.77</v>
      </c>
      <c r="AG23">
        <v>0</v>
      </c>
      <c r="AH23">
        <v>0</v>
      </c>
      <c r="AI23">
        <v>1</v>
      </c>
      <c r="AJ23">
        <v>1</v>
      </c>
      <c r="AK23">
        <v>1</v>
      </c>
      <c r="AL23">
        <v>1</v>
      </c>
      <c r="AN23">
        <v>0</v>
      </c>
      <c r="AO23">
        <v>1</v>
      </c>
      <c r="AP23">
        <v>1</v>
      </c>
      <c r="AQ23">
        <v>0</v>
      </c>
      <c r="AR23">
        <v>0</v>
      </c>
      <c r="AT23">
        <v>2.29</v>
      </c>
      <c r="AU23" t="s">
        <v>115</v>
      </c>
      <c r="AV23">
        <v>0</v>
      </c>
      <c r="AW23">
        <v>2</v>
      </c>
      <c r="AX23">
        <v>55096100</v>
      </c>
      <c r="AY23">
        <v>1</v>
      </c>
      <c r="AZ23">
        <v>0</v>
      </c>
      <c r="BA23">
        <v>25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Y23*Source!I71</f>
        <v>31.773749999999996</v>
      </c>
      <c r="CY23">
        <f>AB23</f>
        <v>7.77</v>
      </c>
      <c r="CZ23">
        <f>AF23</f>
        <v>7.77</v>
      </c>
      <c r="DA23">
        <f>AJ23</f>
        <v>1</v>
      </c>
      <c r="DB23">
        <f>ROUND((ROUND(AT23*CZ23,2)*ROUND(1.25,7)),2)</f>
        <v>22.24</v>
      </c>
      <c r="DC23">
        <f>ROUND((ROUND(AT23*AG23,2)*ROUND(1.25,7)),2)</f>
        <v>0</v>
      </c>
    </row>
    <row r="24" spans="1:107" ht="12.75">
      <c r="A24">
        <f>ROW(Source!A71)</f>
        <v>71</v>
      </c>
      <c r="B24">
        <v>55110074</v>
      </c>
      <c r="C24">
        <v>55096087</v>
      </c>
      <c r="D24">
        <v>49471536</v>
      </c>
      <c r="E24">
        <v>1</v>
      </c>
      <c r="F24">
        <v>1</v>
      </c>
      <c r="G24">
        <v>1</v>
      </c>
      <c r="H24">
        <v>3</v>
      </c>
      <c r="I24" t="s">
        <v>52</v>
      </c>
      <c r="J24" t="s">
        <v>55</v>
      </c>
      <c r="K24" t="s">
        <v>53</v>
      </c>
      <c r="L24">
        <v>1339</v>
      </c>
      <c r="N24">
        <v>1007</v>
      </c>
      <c r="O24" t="s">
        <v>54</v>
      </c>
      <c r="P24" t="s">
        <v>54</v>
      </c>
      <c r="Q24">
        <v>1</v>
      </c>
      <c r="W24">
        <v>0</v>
      </c>
      <c r="X24">
        <v>-1033255509</v>
      </c>
      <c r="Y24">
        <v>3.85</v>
      </c>
      <c r="AA24">
        <v>2.44</v>
      </c>
      <c r="AB24">
        <v>0</v>
      </c>
      <c r="AC24">
        <v>0</v>
      </c>
      <c r="AD24">
        <v>0</v>
      </c>
      <c r="AE24">
        <v>2.44</v>
      </c>
      <c r="AF24">
        <v>0</v>
      </c>
      <c r="AG24">
        <v>0</v>
      </c>
      <c r="AH24">
        <v>0</v>
      </c>
      <c r="AI24">
        <v>1</v>
      </c>
      <c r="AJ24">
        <v>1</v>
      </c>
      <c r="AK24">
        <v>1</v>
      </c>
      <c r="AL24">
        <v>1</v>
      </c>
      <c r="AN24">
        <v>0</v>
      </c>
      <c r="AO24">
        <v>1</v>
      </c>
      <c r="AP24">
        <v>0</v>
      </c>
      <c r="AQ24">
        <v>0</v>
      </c>
      <c r="AR24">
        <v>0</v>
      </c>
      <c r="AT24">
        <v>3.85</v>
      </c>
      <c r="AV24">
        <v>0</v>
      </c>
      <c r="AW24">
        <v>2</v>
      </c>
      <c r="AX24">
        <v>55096101</v>
      </c>
      <c r="AY24">
        <v>1</v>
      </c>
      <c r="AZ24">
        <v>0</v>
      </c>
      <c r="BA24">
        <v>26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Y24*Source!I71</f>
        <v>42.735</v>
      </c>
      <c r="CY24">
        <f>AA24</f>
        <v>2.44</v>
      </c>
      <c r="CZ24">
        <f>AE24</f>
        <v>2.44</v>
      </c>
      <c r="DA24">
        <f>AI24</f>
        <v>1</v>
      </c>
      <c r="DB24">
        <f>ROUND(ROUND(AT24*CZ24,2),2)</f>
        <v>9.39</v>
      </c>
      <c r="DC24">
        <f>ROUND(ROUND(AT24*AG24,2),2)</f>
        <v>0</v>
      </c>
    </row>
    <row r="25" spans="1:107" ht="12.75">
      <c r="A25">
        <f>ROW(Source!A71)</f>
        <v>71</v>
      </c>
      <c r="B25">
        <v>55110074</v>
      </c>
      <c r="C25">
        <v>55096087</v>
      </c>
      <c r="D25">
        <v>53648308</v>
      </c>
      <c r="E25">
        <v>1</v>
      </c>
      <c r="F25">
        <v>1</v>
      </c>
      <c r="G25">
        <v>1</v>
      </c>
      <c r="H25">
        <v>3</v>
      </c>
      <c r="I25" t="s">
        <v>123</v>
      </c>
      <c r="J25" t="s">
        <v>126</v>
      </c>
      <c r="K25" t="s">
        <v>124</v>
      </c>
      <c r="L25">
        <v>1348</v>
      </c>
      <c r="N25">
        <v>1009</v>
      </c>
      <c r="O25" t="s">
        <v>125</v>
      </c>
      <c r="P25" t="s">
        <v>125</v>
      </c>
      <c r="Q25">
        <v>1000</v>
      </c>
      <c r="W25">
        <v>0</v>
      </c>
      <c r="X25">
        <v>-1961211957</v>
      </c>
      <c r="Y25">
        <v>2.707965</v>
      </c>
      <c r="AA25">
        <v>1243.05</v>
      </c>
      <c r="AB25">
        <v>0</v>
      </c>
      <c r="AC25">
        <v>0</v>
      </c>
      <c r="AD25">
        <v>0</v>
      </c>
      <c r="AE25">
        <v>1243.05</v>
      </c>
      <c r="AF25">
        <v>0</v>
      </c>
      <c r="AG25">
        <v>0</v>
      </c>
      <c r="AH25">
        <v>0</v>
      </c>
      <c r="AI25">
        <v>1</v>
      </c>
      <c r="AJ25">
        <v>1</v>
      </c>
      <c r="AK25">
        <v>1</v>
      </c>
      <c r="AL25">
        <v>1</v>
      </c>
      <c r="AN25">
        <v>0</v>
      </c>
      <c r="AO25">
        <v>0</v>
      </c>
      <c r="AP25">
        <v>0</v>
      </c>
      <c r="AQ25">
        <v>0</v>
      </c>
      <c r="AR25">
        <v>0</v>
      </c>
      <c r="AT25">
        <v>2.707965</v>
      </c>
      <c r="AV25">
        <v>0</v>
      </c>
      <c r="AW25">
        <v>1</v>
      </c>
      <c r="AX25">
        <v>-1</v>
      </c>
      <c r="AY25">
        <v>0</v>
      </c>
      <c r="AZ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Y25*Source!I71</f>
        <v>30.058411500000002</v>
      </c>
      <c r="CY25">
        <f>AA25</f>
        <v>1243.05</v>
      </c>
      <c r="CZ25">
        <f>AE25</f>
        <v>1243.05</v>
      </c>
      <c r="DA25">
        <f>AI25</f>
        <v>1</v>
      </c>
      <c r="DB25">
        <f>ROUND(ROUND(AT25*CZ25,2),2)</f>
        <v>3366.14</v>
      </c>
      <c r="DC25">
        <f>ROUND(ROUND(AT25*AG25,2),2)</f>
        <v>0</v>
      </c>
    </row>
    <row r="26" spans="1:107" ht="12.75">
      <c r="A26">
        <f>ROW(Source!A71)</f>
        <v>71</v>
      </c>
      <c r="B26">
        <v>55110074</v>
      </c>
      <c r="C26">
        <v>55096087</v>
      </c>
      <c r="D26">
        <v>49497472</v>
      </c>
      <c r="E26">
        <v>1</v>
      </c>
      <c r="F26">
        <v>1</v>
      </c>
      <c r="G26">
        <v>1</v>
      </c>
      <c r="H26">
        <v>3</v>
      </c>
      <c r="I26" t="s">
        <v>340</v>
      </c>
      <c r="J26" t="s">
        <v>341</v>
      </c>
      <c r="K26" t="s">
        <v>342</v>
      </c>
      <c r="L26">
        <v>1327</v>
      </c>
      <c r="N26">
        <v>1005</v>
      </c>
      <c r="O26" t="s">
        <v>173</v>
      </c>
      <c r="P26" t="s">
        <v>173</v>
      </c>
      <c r="Q26">
        <v>1</v>
      </c>
      <c r="W26">
        <v>0</v>
      </c>
      <c r="X26">
        <v>1228981401</v>
      </c>
      <c r="Y26">
        <v>4.4</v>
      </c>
      <c r="AA26">
        <v>6.2</v>
      </c>
      <c r="AB26">
        <v>0</v>
      </c>
      <c r="AC26">
        <v>0</v>
      </c>
      <c r="AD26">
        <v>0</v>
      </c>
      <c r="AE26">
        <v>6.2</v>
      </c>
      <c r="AF26">
        <v>0</v>
      </c>
      <c r="AG26">
        <v>0</v>
      </c>
      <c r="AH26">
        <v>0</v>
      </c>
      <c r="AI26">
        <v>1</v>
      </c>
      <c r="AJ26">
        <v>1</v>
      </c>
      <c r="AK26">
        <v>1</v>
      </c>
      <c r="AL26">
        <v>1</v>
      </c>
      <c r="AN26">
        <v>0</v>
      </c>
      <c r="AO26">
        <v>1</v>
      </c>
      <c r="AP26">
        <v>0</v>
      </c>
      <c r="AQ26">
        <v>0</v>
      </c>
      <c r="AR26">
        <v>0</v>
      </c>
      <c r="AT26">
        <v>4.4</v>
      </c>
      <c r="AV26">
        <v>0</v>
      </c>
      <c r="AW26">
        <v>2</v>
      </c>
      <c r="AX26">
        <v>55096103</v>
      </c>
      <c r="AY26">
        <v>1</v>
      </c>
      <c r="AZ26">
        <v>0</v>
      </c>
      <c r="BA26">
        <v>28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Y26*Source!I71</f>
        <v>48.84</v>
      </c>
      <c r="CY26">
        <f>AA26</f>
        <v>6.2</v>
      </c>
      <c r="CZ26">
        <f>AE26</f>
        <v>6.2</v>
      </c>
      <c r="DA26">
        <f>AI26</f>
        <v>1</v>
      </c>
      <c r="DB26">
        <f>ROUND(ROUND(AT26*CZ26,2),2)</f>
        <v>27.28</v>
      </c>
      <c r="DC26">
        <f>ROUND(ROUND(AT26*AG26,2),2)</f>
        <v>0</v>
      </c>
    </row>
    <row r="27" spans="1:107" ht="12.75">
      <c r="A27">
        <f>ROW(Source!A72)</f>
        <v>72</v>
      </c>
      <c r="B27">
        <v>55110083</v>
      </c>
      <c r="C27">
        <v>55096087</v>
      </c>
      <c r="D27">
        <v>49459389</v>
      </c>
      <c r="E27">
        <v>58</v>
      </c>
      <c r="F27">
        <v>1</v>
      </c>
      <c r="G27">
        <v>1</v>
      </c>
      <c r="H27">
        <v>1</v>
      </c>
      <c r="I27" t="s">
        <v>328</v>
      </c>
      <c r="K27" t="s">
        <v>329</v>
      </c>
      <c r="L27">
        <v>1191</v>
      </c>
      <c r="N27">
        <v>1013</v>
      </c>
      <c r="O27" t="s">
        <v>311</v>
      </c>
      <c r="P27" t="s">
        <v>311</v>
      </c>
      <c r="Q27">
        <v>1</v>
      </c>
      <c r="W27">
        <v>0</v>
      </c>
      <c r="X27">
        <v>1010519658</v>
      </c>
      <c r="Y27">
        <v>27.945</v>
      </c>
      <c r="AA27">
        <v>0</v>
      </c>
      <c r="AB27">
        <v>0</v>
      </c>
      <c r="AC27">
        <v>0</v>
      </c>
      <c r="AD27">
        <v>8.64</v>
      </c>
      <c r="AE27">
        <v>0</v>
      </c>
      <c r="AF27">
        <v>0</v>
      </c>
      <c r="AG27">
        <v>0</v>
      </c>
      <c r="AH27">
        <v>8.64</v>
      </c>
      <c r="AI27">
        <v>1</v>
      </c>
      <c r="AJ27">
        <v>1</v>
      </c>
      <c r="AK27">
        <v>1</v>
      </c>
      <c r="AL27">
        <v>1</v>
      </c>
      <c r="AN27">
        <v>0</v>
      </c>
      <c r="AO27">
        <v>1</v>
      </c>
      <c r="AP27">
        <v>1</v>
      </c>
      <c r="AQ27">
        <v>0</v>
      </c>
      <c r="AR27">
        <v>0</v>
      </c>
      <c r="AT27">
        <v>24.3</v>
      </c>
      <c r="AU27" t="s">
        <v>116</v>
      </c>
      <c r="AV27">
        <v>1</v>
      </c>
      <c r="AW27">
        <v>2</v>
      </c>
      <c r="AX27">
        <v>55096096</v>
      </c>
      <c r="AY27">
        <v>1</v>
      </c>
      <c r="AZ27">
        <v>0</v>
      </c>
      <c r="BA27">
        <v>29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Y27*Source!I72</f>
        <v>310.1895</v>
      </c>
      <c r="CY27">
        <f>AD27</f>
        <v>8.64</v>
      </c>
      <c r="CZ27">
        <f>AH27</f>
        <v>8.64</v>
      </c>
      <c r="DA27">
        <f>AL27</f>
        <v>1</v>
      </c>
      <c r="DB27">
        <f>ROUND((ROUND(AT27*CZ27,2)*ROUND(1.15,7)),2)</f>
        <v>241.44</v>
      </c>
      <c r="DC27">
        <f>ROUND((ROUND(AT27*AG27,2)*ROUND(1.15,7)),2)</f>
        <v>0</v>
      </c>
    </row>
    <row r="28" spans="1:107" ht="12.75">
      <c r="A28">
        <f>ROW(Source!A72)</f>
        <v>72</v>
      </c>
      <c r="B28">
        <v>55110083</v>
      </c>
      <c r="C28">
        <v>55096087</v>
      </c>
      <c r="D28">
        <v>49459566</v>
      </c>
      <c r="E28">
        <v>58</v>
      </c>
      <c r="F28">
        <v>1</v>
      </c>
      <c r="G28">
        <v>1</v>
      </c>
      <c r="H28">
        <v>1</v>
      </c>
      <c r="I28" t="s">
        <v>330</v>
      </c>
      <c r="K28" t="s">
        <v>321</v>
      </c>
      <c r="L28">
        <v>1191</v>
      </c>
      <c r="N28">
        <v>1013</v>
      </c>
      <c r="O28" t="s">
        <v>311</v>
      </c>
      <c r="P28" t="s">
        <v>311</v>
      </c>
      <c r="Q28">
        <v>1</v>
      </c>
      <c r="W28">
        <v>0</v>
      </c>
      <c r="X28">
        <v>-1173606021</v>
      </c>
      <c r="Y28">
        <v>2.425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1</v>
      </c>
      <c r="AJ28">
        <v>1</v>
      </c>
      <c r="AK28">
        <v>1</v>
      </c>
      <c r="AL28">
        <v>1</v>
      </c>
      <c r="AN28">
        <v>0</v>
      </c>
      <c r="AO28">
        <v>1</v>
      </c>
      <c r="AP28">
        <v>1</v>
      </c>
      <c r="AQ28">
        <v>0</v>
      </c>
      <c r="AR28">
        <v>0</v>
      </c>
      <c r="AT28">
        <v>1.94</v>
      </c>
      <c r="AU28" t="s">
        <v>115</v>
      </c>
      <c r="AV28">
        <v>2</v>
      </c>
      <c r="AW28">
        <v>2</v>
      </c>
      <c r="AX28">
        <v>55096097</v>
      </c>
      <c r="AY28">
        <v>1</v>
      </c>
      <c r="AZ28">
        <v>0</v>
      </c>
      <c r="BA28">
        <v>30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Y28*Source!I72</f>
        <v>26.917499999999997</v>
      </c>
      <c r="CY28">
        <f>AD28</f>
        <v>0</v>
      </c>
      <c r="CZ28">
        <f>AH28</f>
        <v>0</v>
      </c>
      <c r="DA28">
        <f>AL28</f>
        <v>1</v>
      </c>
      <c r="DB28">
        <f>ROUND((ROUND(AT28*CZ28,2)*ROUND(1.25,7)),2)</f>
        <v>0</v>
      </c>
      <c r="DC28">
        <f>ROUND((ROUND(AT28*AG28,2)*ROUND(1.25,7)),2)</f>
        <v>0</v>
      </c>
    </row>
    <row r="29" spans="1:107" ht="12.75">
      <c r="A29">
        <f>ROW(Source!A72)</f>
        <v>72</v>
      </c>
      <c r="B29">
        <v>55110083</v>
      </c>
      <c r="C29">
        <v>55096087</v>
      </c>
      <c r="D29">
        <v>49620286</v>
      </c>
      <c r="E29">
        <v>1</v>
      </c>
      <c r="F29">
        <v>1</v>
      </c>
      <c r="G29">
        <v>1</v>
      </c>
      <c r="H29">
        <v>2</v>
      </c>
      <c r="I29" t="s">
        <v>331</v>
      </c>
      <c r="J29" t="s">
        <v>332</v>
      </c>
      <c r="K29" t="s">
        <v>333</v>
      </c>
      <c r="L29">
        <v>1368</v>
      </c>
      <c r="N29">
        <v>1011</v>
      </c>
      <c r="O29" t="s">
        <v>317</v>
      </c>
      <c r="P29" t="s">
        <v>317</v>
      </c>
      <c r="Q29">
        <v>1</v>
      </c>
      <c r="W29">
        <v>0</v>
      </c>
      <c r="X29">
        <v>-1554407757</v>
      </c>
      <c r="Y29">
        <v>0.8500000000000001</v>
      </c>
      <c r="AA29">
        <v>0</v>
      </c>
      <c r="AB29">
        <v>888.19</v>
      </c>
      <c r="AC29">
        <v>486.41</v>
      </c>
      <c r="AD29">
        <v>0</v>
      </c>
      <c r="AE29">
        <v>0</v>
      </c>
      <c r="AF29">
        <v>86.4</v>
      </c>
      <c r="AG29">
        <v>13.5</v>
      </c>
      <c r="AH29">
        <v>0</v>
      </c>
      <c r="AI29">
        <v>1</v>
      </c>
      <c r="AJ29">
        <v>10.28</v>
      </c>
      <c r="AK29">
        <v>36.03</v>
      </c>
      <c r="AL29">
        <v>1</v>
      </c>
      <c r="AN29">
        <v>0</v>
      </c>
      <c r="AO29">
        <v>1</v>
      </c>
      <c r="AP29">
        <v>1</v>
      </c>
      <c r="AQ29">
        <v>0</v>
      </c>
      <c r="AR29">
        <v>0</v>
      </c>
      <c r="AT29">
        <v>0.68</v>
      </c>
      <c r="AU29" t="s">
        <v>115</v>
      </c>
      <c r="AV29">
        <v>0</v>
      </c>
      <c r="AW29">
        <v>2</v>
      </c>
      <c r="AX29">
        <v>55096098</v>
      </c>
      <c r="AY29">
        <v>1</v>
      </c>
      <c r="AZ29">
        <v>0</v>
      </c>
      <c r="BA29">
        <v>31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Y29*Source!I72</f>
        <v>9.435</v>
      </c>
      <c r="CY29">
        <f>AB29</f>
        <v>888.19</v>
      </c>
      <c r="CZ29">
        <f>AF29</f>
        <v>86.4</v>
      </c>
      <c r="DA29">
        <f>AJ29</f>
        <v>10.28</v>
      </c>
      <c r="DB29">
        <f>ROUND((ROUND(AT29*CZ29,2)*ROUND(1.25,7)),2)</f>
        <v>73.44</v>
      </c>
      <c r="DC29">
        <f>ROUND((ROUND(AT29*AG29,2)*ROUND(1.25,7)),2)</f>
        <v>11.48</v>
      </c>
    </row>
    <row r="30" spans="1:107" ht="12.75">
      <c r="A30">
        <f>ROW(Source!A72)</f>
        <v>72</v>
      </c>
      <c r="B30">
        <v>55110083</v>
      </c>
      <c r="C30">
        <v>55096087</v>
      </c>
      <c r="D30">
        <v>49620499</v>
      </c>
      <c r="E30">
        <v>1</v>
      </c>
      <c r="F30">
        <v>1</v>
      </c>
      <c r="G30">
        <v>1</v>
      </c>
      <c r="H30">
        <v>2</v>
      </c>
      <c r="I30" t="s">
        <v>334</v>
      </c>
      <c r="J30" t="s">
        <v>335</v>
      </c>
      <c r="K30" t="s">
        <v>336</v>
      </c>
      <c r="L30">
        <v>1368</v>
      </c>
      <c r="N30">
        <v>1011</v>
      </c>
      <c r="O30" t="s">
        <v>317</v>
      </c>
      <c r="P30" t="s">
        <v>317</v>
      </c>
      <c r="Q30">
        <v>1</v>
      </c>
      <c r="W30">
        <v>0</v>
      </c>
      <c r="X30">
        <v>-1845589996</v>
      </c>
      <c r="Y30">
        <v>1.575</v>
      </c>
      <c r="AA30">
        <v>0</v>
      </c>
      <c r="AB30">
        <v>753.22</v>
      </c>
      <c r="AC30">
        <v>362.46</v>
      </c>
      <c r="AD30">
        <v>0</v>
      </c>
      <c r="AE30">
        <v>0</v>
      </c>
      <c r="AF30">
        <v>89.99</v>
      </c>
      <c r="AG30">
        <v>10.06</v>
      </c>
      <c r="AH30">
        <v>0</v>
      </c>
      <c r="AI30">
        <v>1</v>
      </c>
      <c r="AJ30">
        <v>8.37</v>
      </c>
      <c r="AK30">
        <v>36.03</v>
      </c>
      <c r="AL30">
        <v>1</v>
      </c>
      <c r="AN30">
        <v>0</v>
      </c>
      <c r="AO30">
        <v>1</v>
      </c>
      <c r="AP30">
        <v>1</v>
      </c>
      <c r="AQ30">
        <v>0</v>
      </c>
      <c r="AR30">
        <v>0</v>
      </c>
      <c r="AT30">
        <v>1.26</v>
      </c>
      <c r="AU30" t="s">
        <v>115</v>
      </c>
      <c r="AV30">
        <v>0</v>
      </c>
      <c r="AW30">
        <v>2</v>
      </c>
      <c r="AX30">
        <v>55096099</v>
      </c>
      <c r="AY30">
        <v>1</v>
      </c>
      <c r="AZ30">
        <v>0</v>
      </c>
      <c r="BA30">
        <v>32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Y30*Source!I72</f>
        <v>17.482499999999998</v>
      </c>
      <c r="CY30">
        <f>AB30</f>
        <v>753.22</v>
      </c>
      <c r="CZ30">
        <f>AF30</f>
        <v>89.99</v>
      </c>
      <c r="DA30">
        <f>AJ30</f>
        <v>8.37</v>
      </c>
      <c r="DB30">
        <f>ROUND((ROUND(AT30*CZ30,2)*ROUND(1.25,7)),2)</f>
        <v>141.74</v>
      </c>
      <c r="DC30">
        <f>ROUND((ROUND(AT30*AG30,2)*ROUND(1.25,7)),2)</f>
        <v>15.85</v>
      </c>
    </row>
    <row r="31" spans="1:107" ht="12.75">
      <c r="A31">
        <f>ROW(Source!A72)</f>
        <v>72</v>
      </c>
      <c r="B31">
        <v>55110083</v>
      </c>
      <c r="C31">
        <v>55096087</v>
      </c>
      <c r="D31">
        <v>49620642</v>
      </c>
      <c r="E31">
        <v>1</v>
      </c>
      <c r="F31">
        <v>1</v>
      </c>
      <c r="G31">
        <v>1</v>
      </c>
      <c r="H31">
        <v>2</v>
      </c>
      <c r="I31" t="s">
        <v>337</v>
      </c>
      <c r="J31" t="s">
        <v>338</v>
      </c>
      <c r="K31" t="s">
        <v>339</v>
      </c>
      <c r="L31">
        <v>1368</v>
      </c>
      <c r="N31">
        <v>1011</v>
      </c>
      <c r="O31" t="s">
        <v>317</v>
      </c>
      <c r="P31" t="s">
        <v>317</v>
      </c>
      <c r="Q31">
        <v>1</v>
      </c>
      <c r="W31">
        <v>0</v>
      </c>
      <c r="X31">
        <v>1974224678</v>
      </c>
      <c r="Y31">
        <v>2.8625</v>
      </c>
      <c r="AA31">
        <v>0</v>
      </c>
      <c r="AB31">
        <v>47.32</v>
      </c>
      <c r="AC31">
        <v>0</v>
      </c>
      <c r="AD31">
        <v>0</v>
      </c>
      <c r="AE31">
        <v>0</v>
      </c>
      <c r="AF31">
        <v>7.77</v>
      </c>
      <c r="AG31">
        <v>0</v>
      </c>
      <c r="AH31">
        <v>0</v>
      </c>
      <c r="AI31">
        <v>1</v>
      </c>
      <c r="AJ31">
        <v>6.09</v>
      </c>
      <c r="AK31">
        <v>36.03</v>
      </c>
      <c r="AL31">
        <v>1</v>
      </c>
      <c r="AN31">
        <v>0</v>
      </c>
      <c r="AO31">
        <v>1</v>
      </c>
      <c r="AP31">
        <v>1</v>
      </c>
      <c r="AQ31">
        <v>0</v>
      </c>
      <c r="AR31">
        <v>0</v>
      </c>
      <c r="AT31">
        <v>2.29</v>
      </c>
      <c r="AU31" t="s">
        <v>115</v>
      </c>
      <c r="AV31">
        <v>0</v>
      </c>
      <c r="AW31">
        <v>2</v>
      </c>
      <c r="AX31">
        <v>55096100</v>
      </c>
      <c r="AY31">
        <v>1</v>
      </c>
      <c r="AZ31">
        <v>0</v>
      </c>
      <c r="BA31">
        <v>33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Y31*Source!I72</f>
        <v>31.773749999999996</v>
      </c>
      <c r="CY31">
        <f>AB31</f>
        <v>47.32</v>
      </c>
      <c r="CZ31">
        <f>AF31</f>
        <v>7.77</v>
      </c>
      <c r="DA31">
        <f>AJ31</f>
        <v>6.09</v>
      </c>
      <c r="DB31">
        <f>ROUND((ROUND(AT31*CZ31,2)*ROUND(1.25,7)),2)</f>
        <v>22.24</v>
      </c>
      <c r="DC31">
        <f>ROUND((ROUND(AT31*AG31,2)*ROUND(1.25,7)),2)</f>
        <v>0</v>
      </c>
    </row>
    <row r="32" spans="1:107" ht="12.75">
      <c r="A32">
        <f>ROW(Source!A72)</f>
        <v>72</v>
      </c>
      <c r="B32">
        <v>55110083</v>
      </c>
      <c r="C32">
        <v>55096087</v>
      </c>
      <c r="D32">
        <v>49471536</v>
      </c>
      <c r="E32">
        <v>1</v>
      </c>
      <c r="F32">
        <v>1</v>
      </c>
      <c r="G32">
        <v>1</v>
      </c>
      <c r="H32">
        <v>3</v>
      </c>
      <c r="I32" t="s">
        <v>52</v>
      </c>
      <c r="J32" t="s">
        <v>55</v>
      </c>
      <c r="K32" t="s">
        <v>53</v>
      </c>
      <c r="L32">
        <v>1339</v>
      </c>
      <c r="N32">
        <v>1007</v>
      </c>
      <c r="O32" t="s">
        <v>54</v>
      </c>
      <c r="P32" t="s">
        <v>54</v>
      </c>
      <c r="Q32">
        <v>1</v>
      </c>
      <c r="W32">
        <v>0</v>
      </c>
      <c r="X32">
        <v>-1033255509</v>
      </c>
      <c r="Y32">
        <v>3.85</v>
      </c>
      <c r="AA32">
        <v>35.87</v>
      </c>
      <c r="AB32">
        <v>0</v>
      </c>
      <c r="AC32">
        <v>0</v>
      </c>
      <c r="AD32">
        <v>0</v>
      </c>
      <c r="AE32">
        <v>2.44</v>
      </c>
      <c r="AF32">
        <v>0</v>
      </c>
      <c r="AG32">
        <v>0</v>
      </c>
      <c r="AH32">
        <v>0</v>
      </c>
      <c r="AI32">
        <v>14.7</v>
      </c>
      <c r="AJ32">
        <v>1</v>
      </c>
      <c r="AK32">
        <v>1</v>
      </c>
      <c r="AL32">
        <v>1</v>
      </c>
      <c r="AN32">
        <v>0</v>
      </c>
      <c r="AO32">
        <v>1</v>
      </c>
      <c r="AP32">
        <v>0</v>
      </c>
      <c r="AQ32">
        <v>0</v>
      </c>
      <c r="AR32">
        <v>0</v>
      </c>
      <c r="AT32">
        <v>3.85</v>
      </c>
      <c r="AV32">
        <v>0</v>
      </c>
      <c r="AW32">
        <v>2</v>
      </c>
      <c r="AX32">
        <v>55096101</v>
      </c>
      <c r="AY32">
        <v>1</v>
      </c>
      <c r="AZ32">
        <v>0</v>
      </c>
      <c r="BA32">
        <v>34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Y32*Source!I72</f>
        <v>42.735</v>
      </c>
      <c r="CY32">
        <f>AA32</f>
        <v>35.87</v>
      </c>
      <c r="CZ32">
        <f>AE32</f>
        <v>2.44</v>
      </c>
      <c r="DA32">
        <f>AI32</f>
        <v>14.7</v>
      </c>
      <c r="DB32">
        <f>ROUND(ROUND(AT32*CZ32,2),2)</f>
        <v>9.39</v>
      </c>
      <c r="DC32">
        <f>ROUND(ROUND(AT32*AG32,2),2)</f>
        <v>0</v>
      </c>
    </row>
    <row r="33" spans="1:107" ht="12.75">
      <c r="A33">
        <f>ROW(Source!A72)</f>
        <v>72</v>
      </c>
      <c r="B33">
        <v>55110083</v>
      </c>
      <c r="C33">
        <v>55096087</v>
      </c>
      <c r="D33">
        <v>53648308</v>
      </c>
      <c r="E33">
        <v>1</v>
      </c>
      <c r="F33">
        <v>1</v>
      </c>
      <c r="G33">
        <v>1</v>
      </c>
      <c r="H33">
        <v>3</v>
      </c>
      <c r="I33" t="s">
        <v>123</v>
      </c>
      <c r="J33" t="s">
        <v>126</v>
      </c>
      <c r="K33" t="s">
        <v>124</v>
      </c>
      <c r="L33">
        <v>1348</v>
      </c>
      <c r="N33">
        <v>1009</v>
      </c>
      <c r="O33" t="s">
        <v>125</v>
      </c>
      <c r="P33" t="s">
        <v>125</v>
      </c>
      <c r="Q33">
        <v>1000</v>
      </c>
      <c r="W33">
        <v>0</v>
      </c>
      <c r="X33">
        <v>-1961211957</v>
      </c>
      <c r="Y33">
        <v>2.707965</v>
      </c>
      <c r="AA33">
        <v>5643.45</v>
      </c>
      <c r="AB33">
        <v>0</v>
      </c>
      <c r="AC33">
        <v>0</v>
      </c>
      <c r="AD33">
        <v>0</v>
      </c>
      <c r="AE33">
        <v>1243.05</v>
      </c>
      <c r="AF33">
        <v>0</v>
      </c>
      <c r="AG33">
        <v>0</v>
      </c>
      <c r="AH33">
        <v>0</v>
      </c>
      <c r="AI33">
        <v>4.54</v>
      </c>
      <c r="AJ33">
        <v>1</v>
      </c>
      <c r="AK33">
        <v>1</v>
      </c>
      <c r="AL33">
        <v>1</v>
      </c>
      <c r="AN33">
        <v>0</v>
      </c>
      <c r="AO33">
        <v>0</v>
      </c>
      <c r="AP33">
        <v>0</v>
      </c>
      <c r="AQ33">
        <v>0</v>
      </c>
      <c r="AR33">
        <v>0</v>
      </c>
      <c r="AT33">
        <v>2.707965</v>
      </c>
      <c r="AV33">
        <v>0</v>
      </c>
      <c r="AW33">
        <v>1</v>
      </c>
      <c r="AX33">
        <v>-1</v>
      </c>
      <c r="AY33">
        <v>0</v>
      </c>
      <c r="AZ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Y33*Source!I72</f>
        <v>30.058411500000002</v>
      </c>
      <c r="CY33">
        <f>AA33</f>
        <v>5643.45</v>
      </c>
      <c r="CZ33">
        <f>AE33</f>
        <v>1243.05</v>
      </c>
      <c r="DA33">
        <f>AI33</f>
        <v>4.54</v>
      </c>
      <c r="DB33">
        <f>ROUND(ROUND(AT33*CZ33,2),2)</f>
        <v>3366.14</v>
      </c>
      <c r="DC33">
        <f>ROUND(ROUND(AT33*AG33,2),2)</f>
        <v>0</v>
      </c>
    </row>
    <row r="34" spans="1:107" ht="12.75">
      <c r="A34">
        <f>ROW(Source!A72)</f>
        <v>72</v>
      </c>
      <c r="B34">
        <v>55110083</v>
      </c>
      <c r="C34">
        <v>55096087</v>
      </c>
      <c r="D34">
        <v>49497472</v>
      </c>
      <c r="E34">
        <v>1</v>
      </c>
      <c r="F34">
        <v>1</v>
      </c>
      <c r="G34">
        <v>1</v>
      </c>
      <c r="H34">
        <v>3</v>
      </c>
      <c r="I34" t="s">
        <v>340</v>
      </c>
      <c r="J34" t="s">
        <v>341</v>
      </c>
      <c r="K34" t="s">
        <v>342</v>
      </c>
      <c r="L34">
        <v>1327</v>
      </c>
      <c r="N34">
        <v>1005</v>
      </c>
      <c r="O34" t="s">
        <v>173</v>
      </c>
      <c r="P34" t="s">
        <v>173</v>
      </c>
      <c r="Q34">
        <v>1</v>
      </c>
      <c r="W34">
        <v>0</v>
      </c>
      <c r="X34">
        <v>1228981401</v>
      </c>
      <c r="Y34">
        <v>4.4</v>
      </c>
      <c r="AA34">
        <v>54.56</v>
      </c>
      <c r="AB34">
        <v>0</v>
      </c>
      <c r="AC34">
        <v>0</v>
      </c>
      <c r="AD34">
        <v>0</v>
      </c>
      <c r="AE34">
        <v>6.2</v>
      </c>
      <c r="AF34">
        <v>0</v>
      </c>
      <c r="AG34">
        <v>0</v>
      </c>
      <c r="AH34">
        <v>0</v>
      </c>
      <c r="AI34">
        <v>8.8</v>
      </c>
      <c r="AJ34">
        <v>1</v>
      </c>
      <c r="AK34">
        <v>1</v>
      </c>
      <c r="AL34">
        <v>1</v>
      </c>
      <c r="AN34">
        <v>0</v>
      </c>
      <c r="AO34">
        <v>1</v>
      </c>
      <c r="AP34">
        <v>0</v>
      </c>
      <c r="AQ34">
        <v>0</v>
      </c>
      <c r="AR34">
        <v>0</v>
      </c>
      <c r="AT34">
        <v>4.4</v>
      </c>
      <c r="AV34">
        <v>0</v>
      </c>
      <c r="AW34">
        <v>2</v>
      </c>
      <c r="AX34">
        <v>55096103</v>
      </c>
      <c r="AY34">
        <v>1</v>
      </c>
      <c r="AZ34">
        <v>0</v>
      </c>
      <c r="BA34">
        <v>36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Y34*Source!I72</f>
        <v>48.84</v>
      </c>
      <c r="CY34">
        <f>AA34</f>
        <v>54.56</v>
      </c>
      <c r="CZ34">
        <f>AE34</f>
        <v>6.2</v>
      </c>
      <c r="DA34">
        <f>AI34</f>
        <v>8.8</v>
      </c>
      <c r="DB34">
        <f>ROUND(ROUND(AT34*CZ34,2),2)</f>
        <v>27.28</v>
      </c>
      <c r="DC34">
        <f>ROUND(ROUND(AT34*AG34,2),2)</f>
        <v>0</v>
      </c>
    </row>
    <row r="35" spans="1:107" ht="12.75">
      <c r="A35">
        <f>ROW(Source!A75)</f>
        <v>75</v>
      </c>
      <c r="B35">
        <v>55110074</v>
      </c>
      <c r="C35">
        <v>55096105</v>
      </c>
      <c r="D35">
        <v>49459389</v>
      </c>
      <c r="E35">
        <v>58</v>
      </c>
      <c r="F35">
        <v>1</v>
      </c>
      <c r="G35">
        <v>1</v>
      </c>
      <c r="H35">
        <v>1</v>
      </c>
      <c r="I35" t="s">
        <v>328</v>
      </c>
      <c r="K35" t="s">
        <v>329</v>
      </c>
      <c r="L35">
        <v>1191</v>
      </c>
      <c r="N35">
        <v>1013</v>
      </c>
      <c r="O35" t="s">
        <v>311</v>
      </c>
      <c r="P35" t="s">
        <v>311</v>
      </c>
      <c r="Q35">
        <v>1</v>
      </c>
      <c r="W35">
        <v>0</v>
      </c>
      <c r="X35">
        <v>1010519658</v>
      </c>
      <c r="Y35">
        <v>5.75</v>
      </c>
      <c r="AA35">
        <v>0</v>
      </c>
      <c r="AB35">
        <v>0</v>
      </c>
      <c r="AC35">
        <v>0</v>
      </c>
      <c r="AD35">
        <v>8.64</v>
      </c>
      <c r="AE35">
        <v>0</v>
      </c>
      <c r="AF35">
        <v>0</v>
      </c>
      <c r="AG35">
        <v>0</v>
      </c>
      <c r="AH35">
        <v>8.64</v>
      </c>
      <c r="AI35">
        <v>1</v>
      </c>
      <c r="AJ35">
        <v>1</v>
      </c>
      <c r="AK35">
        <v>1</v>
      </c>
      <c r="AL35">
        <v>1</v>
      </c>
      <c r="AN35">
        <v>0</v>
      </c>
      <c r="AO35">
        <v>1</v>
      </c>
      <c r="AP35">
        <v>1</v>
      </c>
      <c r="AQ35">
        <v>0</v>
      </c>
      <c r="AR35">
        <v>0</v>
      </c>
      <c r="AT35">
        <v>1</v>
      </c>
      <c r="AU35" t="s">
        <v>133</v>
      </c>
      <c r="AV35">
        <v>1</v>
      </c>
      <c r="AW35">
        <v>2</v>
      </c>
      <c r="AX35">
        <v>55096111</v>
      </c>
      <c r="AY35">
        <v>1</v>
      </c>
      <c r="AZ35">
        <v>0</v>
      </c>
      <c r="BA35">
        <v>37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Y35*Source!I75</f>
        <v>31.625</v>
      </c>
      <c r="CY35">
        <f>AD35</f>
        <v>8.64</v>
      </c>
      <c r="CZ35">
        <f>AH35</f>
        <v>8.64</v>
      </c>
      <c r="DA35">
        <f>AL35</f>
        <v>1</v>
      </c>
      <c r="DB35">
        <f>ROUND((ROUND(AT35*CZ35,2)*ROUND((1.15*5),7)),2)</f>
        <v>49.68</v>
      </c>
      <c r="DC35">
        <f>ROUND((ROUND(AT35*AG35,2)*ROUND((1.15*5),7)),2)</f>
        <v>0</v>
      </c>
    </row>
    <row r="36" spans="1:107" ht="12.75">
      <c r="A36">
        <f>ROW(Source!A75)</f>
        <v>75</v>
      </c>
      <c r="B36">
        <v>55110074</v>
      </c>
      <c r="C36">
        <v>55096105</v>
      </c>
      <c r="D36">
        <v>49459566</v>
      </c>
      <c r="E36">
        <v>58</v>
      </c>
      <c r="F36">
        <v>1</v>
      </c>
      <c r="G36">
        <v>1</v>
      </c>
      <c r="H36">
        <v>1</v>
      </c>
      <c r="I36" t="s">
        <v>330</v>
      </c>
      <c r="K36" t="s">
        <v>321</v>
      </c>
      <c r="L36">
        <v>1191</v>
      </c>
      <c r="N36">
        <v>1013</v>
      </c>
      <c r="O36" t="s">
        <v>311</v>
      </c>
      <c r="P36" t="s">
        <v>311</v>
      </c>
      <c r="Q36">
        <v>1</v>
      </c>
      <c r="W36">
        <v>0</v>
      </c>
      <c r="X36">
        <v>-1173606021</v>
      </c>
      <c r="Y36">
        <v>0.1875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1</v>
      </c>
      <c r="AJ36">
        <v>1</v>
      </c>
      <c r="AK36">
        <v>1</v>
      </c>
      <c r="AL36">
        <v>1</v>
      </c>
      <c r="AN36">
        <v>0</v>
      </c>
      <c r="AO36">
        <v>1</v>
      </c>
      <c r="AP36">
        <v>1</v>
      </c>
      <c r="AQ36">
        <v>0</v>
      </c>
      <c r="AR36">
        <v>0</v>
      </c>
      <c r="AT36">
        <v>0.03</v>
      </c>
      <c r="AU36" t="s">
        <v>132</v>
      </c>
      <c r="AV36">
        <v>2</v>
      </c>
      <c r="AW36">
        <v>2</v>
      </c>
      <c r="AX36">
        <v>55096112</v>
      </c>
      <c r="AY36">
        <v>1</v>
      </c>
      <c r="AZ36">
        <v>0</v>
      </c>
      <c r="BA36">
        <v>38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Y36*Source!I75</f>
        <v>1.03125</v>
      </c>
      <c r="CY36">
        <f>AD36</f>
        <v>0</v>
      </c>
      <c r="CZ36">
        <f>AH36</f>
        <v>0</v>
      </c>
      <c r="DA36">
        <f>AL36</f>
        <v>1</v>
      </c>
      <c r="DB36">
        <f>ROUND((ROUND(AT36*CZ36,2)*ROUND((1.25*5),7)),2)</f>
        <v>0</v>
      </c>
      <c r="DC36">
        <f>ROUND((ROUND(AT36*AG36,2)*ROUND((1.25*5),7)),2)</f>
        <v>0</v>
      </c>
    </row>
    <row r="37" spans="1:107" ht="12.75">
      <c r="A37">
        <f>ROW(Source!A75)</f>
        <v>75</v>
      </c>
      <c r="B37">
        <v>55110074</v>
      </c>
      <c r="C37">
        <v>55096105</v>
      </c>
      <c r="D37">
        <v>49620286</v>
      </c>
      <c r="E37">
        <v>1</v>
      </c>
      <c r="F37">
        <v>1</v>
      </c>
      <c r="G37">
        <v>1</v>
      </c>
      <c r="H37">
        <v>2</v>
      </c>
      <c r="I37" t="s">
        <v>331</v>
      </c>
      <c r="J37" t="s">
        <v>332</v>
      </c>
      <c r="K37" t="s">
        <v>333</v>
      </c>
      <c r="L37">
        <v>1368</v>
      </c>
      <c r="N37">
        <v>1011</v>
      </c>
      <c r="O37" t="s">
        <v>317</v>
      </c>
      <c r="P37" t="s">
        <v>317</v>
      </c>
      <c r="Q37">
        <v>1</v>
      </c>
      <c r="W37">
        <v>0</v>
      </c>
      <c r="X37">
        <v>-1554407757</v>
      </c>
      <c r="Y37">
        <v>0.0625</v>
      </c>
      <c r="AA37">
        <v>0</v>
      </c>
      <c r="AB37">
        <v>86.4</v>
      </c>
      <c r="AC37">
        <v>13.5</v>
      </c>
      <c r="AD37">
        <v>0</v>
      </c>
      <c r="AE37">
        <v>0</v>
      </c>
      <c r="AF37">
        <v>86.4</v>
      </c>
      <c r="AG37">
        <v>13.5</v>
      </c>
      <c r="AH37">
        <v>0</v>
      </c>
      <c r="AI37">
        <v>1</v>
      </c>
      <c r="AJ37">
        <v>1</v>
      </c>
      <c r="AK37">
        <v>1</v>
      </c>
      <c r="AL37">
        <v>1</v>
      </c>
      <c r="AN37">
        <v>0</v>
      </c>
      <c r="AO37">
        <v>1</v>
      </c>
      <c r="AP37">
        <v>1</v>
      </c>
      <c r="AQ37">
        <v>0</v>
      </c>
      <c r="AR37">
        <v>0</v>
      </c>
      <c r="AT37">
        <v>0.01</v>
      </c>
      <c r="AU37" t="s">
        <v>132</v>
      </c>
      <c r="AV37">
        <v>0</v>
      </c>
      <c r="AW37">
        <v>2</v>
      </c>
      <c r="AX37">
        <v>55096113</v>
      </c>
      <c r="AY37">
        <v>1</v>
      </c>
      <c r="AZ37">
        <v>0</v>
      </c>
      <c r="BA37">
        <v>39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Y37*Source!I75</f>
        <v>0.34375</v>
      </c>
      <c r="CY37">
        <f>AB37</f>
        <v>86.4</v>
      </c>
      <c r="CZ37">
        <f>AF37</f>
        <v>86.4</v>
      </c>
      <c r="DA37">
        <f>AJ37</f>
        <v>1</v>
      </c>
      <c r="DB37">
        <f>ROUND((ROUND(AT37*CZ37,2)*ROUND((1.25*5),7)),2)</f>
        <v>5.38</v>
      </c>
      <c r="DC37">
        <f>ROUND((ROUND(AT37*AG37,2)*ROUND((1.25*5),7)),2)</f>
        <v>0.88</v>
      </c>
    </row>
    <row r="38" spans="1:107" ht="12.75">
      <c r="A38">
        <f>ROW(Source!A75)</f>
        <v>75</v>
      </c>
      <c r="B38">
        <v>55110074</v>
      </c>
      <c r="C38">
        <v>55096105</v>
      </c>
      <c r="D38">
        <v>49620499</v>
      </c>
      <c r="E38">
        <v>1</v>
      </c>
      <c r="F38">
        <v>1</v>
      </c>
      <c r="G38">
        <v>1</v>
      </c>
      <c r="H38">
        <v>2</v>
      </c>
      <c r="I38" t="s">
        <v>334</v>
      </c>
      <c r="J38" t="s">
        <v>335</v>
      </c>
      <c r="K38" t="s">
        <v>336</v>
      </c>
      <c r="L38">
        <v>1368</v>
      </c>
      <c r="N38">
        <v>1011</v>
      </c>
      <c r="O38" t="s">
        <v>317</v>
      </c>
      <c r="P38" t="s">
        <v>317</v>
      </c>
      <c r="Q38">
        <v>1</v>
      </c>
      <c r="W38">
        <v>0</v>
      </c>
      <c r="X38">
        <v>-1845589996</v>
      </c>
      <c r="Y38">
        <v>0.125</v>
      </c>
      <c r="AA38">
        <v>0</v>
      </c>
      <c r="AB38">
        <v>89.99</v>
      </c>
      <c r="AC38">
        <v>10.06</v>
      </c>
      <c r="AD38">
        <v>0</v>
      </c>
      <c r="AE38">
        <v>0</v>
      </c>
      <c r="AF38">
        <v>89.99</v>
      </c>
      <c r="AG38">
        <v>10.06</v>
      </c>
      <c r="AH38">
        <v>0</v>
      </c>
      <c r="AI38">
        <v>1</v>
      </c>
      <c r="AJ38">
        <v>1</v>
      </c>
      <c r="AK38">
        <v>1</v>
      </c>
      <c r="AL38">
        <v>1</v>
      </c>
      <c r="AN38">
        <v>0</v>
      </c>
      <c r="AO38">
        <v>1</v>
      </c>
      <c r="AP38">
        <v>1</v>
      </c>
      <c r="AQ38">
        <v>0</v>
      </c>
      <c r="AR38">
        <v>0</v>
      </c>
      <c r="AT38">
        <v>0.02</v>
      </c>
      <c r="AU38" t="s">
        <v>132</v>
      </c>
      <c r="AV38">
        <v>0</v>
      </c>
      <c r="AW38">
        <v>2</v>
      </c>
      <c r="AX38">
        <v>55096114</v>
      </c>
      <c r="AY38">
        <v>1</v>
      </c>
      <c r="AZ38">
        <v>0</v>
      </c>
      <c r="BA38">
        <v>40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Y38*Source!I75</f>
        <v>0.6875</v>
      </c>
      <c r="CY38">
        <f>AB38</f>
        <v>89.99</v>
      </c>
      <c r="CZ38">
        <f>AF38</f>
        <v>89.99</v>
      </c>
      <c r="DA38">
        <f>AJ38</f>
        <v>1</v>
      </c>
      <c r="DB38">
        <f>ROUND((ROUND(AT38*CZ38,2)*ROUND((1.25*5),7)),2)</f>
        <v>11.25</v>
      </c>
      <c r="DC38">
        <f>ROUND((ROUND(AT38*AG38,2)*ROUND((1.25*5),7)),2)</f>
        <v>1.25</v>
      </c>
    </row>
    <row r="39" spans="1:107" ht="12.75">
      <c r="A39">
        <f>ROW(Source!A75)</f>
        <v>75</v>
      </c>
      <c r="B39">
        <v>55110074</v>
      </c>
      <c r="C39">
        <v>55096105</v>
      </c>
      <c r="D39">
        <v>53648308</v>
      </c>
      <c r="E39">
        <v>1</v>
      </c>
      <c r="F39">
        <v>1</v>
      </c>
      <c r="G39">
        <v>1</v>
      </c>
      <c r="H39">
        <v>3</v>
      </c>
      <c r="I39" t="s">
        <v>123</v>
      </c>
      <c r="J39" t="s">
        <v>126</v>
      </c>
      <c r="K39" t="s">
        <v>124</v>
      </c>
      <c r="L39">
        <v>1348</v>
      </c>
      <c r="N39">
        <v>1009</v>
      </c>
      <c r="O39" t="s">
        <v>125</v>
      </c>
      <c r="P39" t="s">
        <v>125</v>
      </c>
      <c r="Q39">
        <v>1000</v>
      </c>
      <c r="W39">
        <v>0</v>
      </c>
      <c r="X39">
        <v>-1961211957</v>
      </c>
      <c r="Y39">
        <v>0.903636</v>
      </c>
      <c r="AA39">
        <v>1243.05</v>
      </c>
      <c r="AB39">
        <v>0</v>
      </c>
      <c r="AC39">
        <v>0</v>
      </c>
      <c r="AD39">
        <v>0</v>
      </c>
      <c r="AE39">
        <v>1243.05</v>
      </c>
      <c r="AF39">
        <v>0</v>
      </c>
      <c r="AG39">
        <v>0</v>
      </c>
      <c r="AH39">
        <v>0</v>
      </c>
      <c r="AI39">
        <v>1</v>
      </c>
      <c r="AJ39">
        <v>1</v>
      </c>
      <c r="AK39">
        <v>1</v>
      </c>
      <c r="AL39">
        <v>1</v>
      </c>
      <c r="AN39">
        <v>0</v>
      </c>
      <c r="AO39">
        <v>0</v>
      </c>
      <c r="AP39">
        <v>0</v>
      </c>
      <c r="AQ39">
        <v>0</v>
      </c>
      <c r="AR39">
        <v>0</v>
      </c>
      <c r="AT39">
        <v>0.903636</v>
      </c>
      <c r="AV39">
        <v>0</v>
      </c>
      <c r="AW39">
        <v>1</v>
      </c>
      <c r="AX39">
        <v>-1</v>
      </c>
      <c r="AY39">
        <v>0</v>
      </c>
      <c r="AZ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Y39*Source!I75</f>
        <v>4.969998</v>
      </c>
      <c r="CY39">
        <f>AA39</f>
        <v>1243.05</v>
      </c>
      <c r="CZ39">
        <f>AE39</f>
        <v>1243.05</v>
      </c>
      <c r="DA39">
        <f>AI39</f>
        <v>1</v>
      </c>
      <c r="DB39">
        <f>ROUND(ROUND(AT39*CZ39,2),2)</f>
        <v>1123.26</v>
      </c>
      <c r="DC39">
        <f>ROUND(ROUND(AT39*AG39,2),2)</f>
        <v>0</v>
      </c>
    </row>
    <row r="40" spans="1:107" ht="12.75">
      <c r="A40">
        <f>ROW(Source!A76)</f>
        <v>76</v>
      </c>
      <c r="B40">
        <v>55110083</v>
      </c>
      <c r="C40">
        <v>55096105</v>
      </c>
      <c r="D40">
        <v>49459389</v>
      </c>
      <c r="E40">
        <v>58</v>
      </c>
      <c r="F40">
        <v>1</v>
      </c>
      <c r="G40">
        <v>1</v>
      </c>
      <c r="H40">
        <v>1</v>
      </c>
      <c r="I40" t="s">
        <v>328</v>
      </c>
      <c r="K40" t="s">
        <v>329</v>
      </c>
      <c r="L40">
        <v>1191</v>
      </c>
      <c r="N40">
        <v>1013</v>
      </c>
      <c r="O40" t="s">
        <v>311</v>
      </c>
      <c r="P40" t="s">
        <v>311</v>
      </c>
      <c r="Q40">
        <v>1</v>
      </c>
      <c r="W40">
        <v>0</v>
      </c>
      <c r="X40">
        <v>1010519658</v>
      </c>
      <c r="Y40">
        <v>5.75</v>
      </c>
      <c r="AA40">
        <v>0</v>
      </c>
      <c r="AB40">
        <v>0</v>
      </c>
      <c r="AC40">
        <v>0</v>
      </c>
      <c r="AD40">
        <v>8.64</v>
      </c>
      <c r="AE40">
        <v>0</v>
      </c>
      <c r="AF40">
        <v>0</v>
      </c>
      <c r="AG40">
        <v>0</v>
      </c>
      <c r="AH40">
        <v>8.64</v>
      </c>
      <c r="AI40">
        <v>1</v>
      </c>
      <c r="AJ40">
        <v>1</v>
      </c>
      <c r="AK40">
        <v>1</v>
      </c>
      <c r="AL40">
        <v>1</v>
      </c>
      <c r="AN40">
        <v>0</v>
      </c>
      <c r="AO40">
        <v>1</v>
      </c>
      <c r="AP40">
        <v>1</v>
      </c>
      <c r="AQ40">
        <v>0</v>
      </c>
      <c r="AR40">
        <v>0</v>
      </c>
      <c r="AT40">
        <v>1</v>
      </c>
      <c r="AU40" t="s">
        <v>133</v>
      </c>
      <c r="AV40">
        <v>1</v>
      </c>
      <c r="AW40">
        <v>2</v>
      </c>
      <c r="AX40">
        <v>55096111</v>
      </c>
      <c r="AY40">
        <v>1</v>
      </c>
      <c r="AZ40">
        <v>0</v>
      </c>
      <c r="BA40">
        <v>42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Y40*Source!I76</f>
        <v>31.625</v>
      </c>
      <c r="CY40">
        <f>AD40</f>
        <v>8.64</v>
      </c>
      <c r="CZ40">
        <f>AH40</f>
        <v>8.64</v>
      </c>
      <c r="DA40">
        <f>AL40</f>
        <v>1</v>
      </c>
      <c r="DB40">
        <f>ROUND((ROUND(AT40*CZ40,2)*ROUND((1.15*5),7)),2)</f>
        <v>49.68</v>
      </c>
      <c r="DC40">
        <f>ROUND((ROUND(AT40*AG40,2)*ROUND((1.15*5),7)),2)</f>
        <v>0</v>
      </c>
    </row>
    <row r="41" spans="1:107" ht="12.75">
      <c r="A41">
        <f>ROW(Source!A76)</f>
        <v>76</v>
      </c>
      <c r="B41">
        <v>55110083</v>
      </c>
      <c r="C41">
        <v>55096105</v>
      </c>
      <c r="D41">
        <v>49459566</v>
      </c>
      <c r="E41">
        <v>58</v>
      </c>
      <c r="F41">
        <v>1</v>
      </c>
      <c r="G41">
        <v>1</v>
      </c>
      <c r="H41">
        <v>1</v>
      </c>
      <c r="I41" t="s">
        <v>330</v>
      </c>
      <c r="K41" t="s">
        <v>321</v>
      </c>
      <c r="L41">
        <v>1191</v>
      </c>
      <c r="N41">
        <v>1013</v>
      </c>
      <c r="O41" t="s">
        <v>311</v>
      </c>
      <c r="P41" t="s">
        <v>311</v>
      </c>
      <c r="Q41">
        <v>1</v>
      </c>
      <c r="W41">
        <v>0</v>
      </c>
      <c r="X41">
        <v>-1173606021</v>
      </c>
      <c r="Y41">
        <v>0.1875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1</v>
      </c>
      <c r="AJ41">
        <v>1</v>
      </c>
      <c r="AK41">
        <v>1</v>
      </c>
      <c r="AL41">
        <v>1</v>
      </c>
      <c r="AN41">
        <v>0</v>
      </c>
      <c r="AO41">
        <v>1</v>
      </c>
      <c r="AP41">
        <v>1</v>
      </c>
      <c r="AQ41">
        <v>0</v>
      </c>
      <c r="AR41">
        <v>0</v>
      </c>
      <c r="AT41">
        <v>0.03</v>
      </c>
      <c r="AU41" t="s">
        <v>132</v>
      </c>
      <c r="AV41">
        <v>2</v>
      </c>
      <c r="AW41">
        <v>2</v>
      </c>
      <c r="AX41">
        <v>55096112</v>
      </c>
      <c r="AY41">
        <v>1</v>
      </c>
      <c r="AZ41">
        <v>0</v>
      </c>
      <c r="BA41">
        <v>43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Y41*Source!I76</f>
        <v>1.03125</v>
      </c>
      <c r="CY41">
        <f>AD41</f>
        <v>0</v>
      </c>
      <c r="CZ41">
        <f>AH41</f>
        <v>0</v>
      </c>
      <c r="DA41">
        <f>AL41</f>
        <v>1</v>
      </c>
      <c r="DB41">
        <f>ROUND((ROUND(AT41*CZ41,2)*ROUND((1.25*5),7)),2)</f>
        <v>0</v>
      </c>
      <c r="DC41">
        <f>ROUND((ROUND(AT41*AG41,2)*ROUND((1.25*5),7)),2)</f>
        <v>0</v>
      </c>
    </row>
    <row r="42" spans="1:107" ht="12.75">
      <c r="A42">
        <f>ROW(Source!A76)</f>
        <v>76</v>
      </c>
      <c r="B42">
        <v>55110083</v>
      </c>
      <c r="C42">
        <v>55096105</v>
      </c>
      <c r="D42">
        <v>49620286</v>
      </c>
      <c r="E42">
        <v>1</v>
      </c>
      <c r="F42">
        <v>1</v>
      </c>
      <c r="G42">
        <v>1</v>
      </c>
      <c r="H42">
        <v>2</v>
      </c>
      <c r="I42" t="s">
        <v>331</v>
      </c>
      <c r="J42" t="s">
        <v>332</v>
      </c>
      <c r="K42" t="s">
        <v>333</v>
      </c>
      <c r="L42">
        <v>1368</v>
      </c>
      <c r="N42">
        <v>1011</v>
      </c>
      <c r="O42" t="s">
        <v>317</v>
      </c>
      <c r="P42" t="s">
        <v>317</v>
      </c>
      <c r="Q42">
        <v>1</v>
      </c>
      <c r="W42">
        <v>0</v>
      </c>
      <c r="X42">
        <v>-1554407757</v>
      </c>
      <c r="Y42">
        <v>0.0625</v>
      </c>
      <c r="AA42">
        <v>0</v>
      </c>
      <c r="AB42">
        <v>888.19</v>
      </c>
      <c r="AC42">
        <v>486.41</v>
      </c>
      <c r="AD42">
        <v>0</v>
      </c>
      <c r="AE42">
        <v>0</v>
      </c>
      <c r="AF42">
        <v>86.4</v>
      </c>
      <c r="AG42">
        <v>13.5</v>
      </c>
      <c r="AH42">
        <v>0</v>
      </c>
      <c r="AI42">
        <v>1</v>
      </c>
      <c r="AJ42">
        <v>10.28</v>
      </c>
      <c r="AK42">
        <v>36.03</v>
      </c>
      <c r="AL42">
        <v>1</v>
      </c>
      <c r="AN42">
        <v>0</v>
      </c>
      <c r="AO42">
        <v>1</v>
      </c>
      <c r="AP42">
        <v>1</v>
      </c>
      <c r="AQ42">
        <v>0</v>
      </c>
      <c r="AR42">
        <v>0</v>
      </c>
      <c r="AT42">
        <v>0.01</v>
      </c>
      <c r="AU42" t="s">
        <v>132</v>
      </c>
      <c r="AV42">
        <v>0</v>
      </c>
      <c r="AW42">
        <v>2</v>
      </c>
      <c r="AX42">
        <v>55096113</v>
      </c>
      <c r="AY42">
        <v>1</v>
      </c>
      <c r="AZ42">
        <v>0</v>
      </c>
      <c r="BA42">
        <v>44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Y42*Source!I76</f>
        <v>0.34375</v>
      </c>
      <c r="CY42">
        <f>AB42</f>
        <v>888.19</v>
      </c>
      <c r="CZ42">
        <f>AF42</f>
        <v>86.4</v>
      </c>
      <c r="DA42">
        <f>AJ42</f>
        <v>10.28</v>
      </c>
      <c r="DB42">
        <f>ROUND((ROUND(AT42*CZ42,2)*ROUND((1.25*5),7)),2)</f>
        <v>5.38</v>
      </c>
      <c r="DC42">
        <f>ROUND((ROUND(AT42*AG42,2)*ROUND((1.25*5),7)),2)</f>
        <v>0.88</v>
      </c>
    </row>
    <row r="43" spans="1:107" ht="12.75">
      <c r="A43">
        <f>ROW(Source!A76)</f>
        <v>76</v>
      </c>
      <c r="B43">
        <v>55110083</v>
      </c>
      <c r="C43">
        <v>55096105</v>
      </c>
      <c r="D43">
        <v>49620499</v>
      </c>
      <c r="E43">
        <v>1</v>
      </c>
      <c r="F43">
        <v>1</v>
      </c>
      <c r="G43">
        <v>1</v>
      </c>
      <c r="H43">
        <v>2</v>
      </c>
      <c r="I43" t="s">
        <v>334</v>
      </c>
      <c r="J43" t="s">
        <v>335</v>
      </c>
      <c r="K43" t="s">
        <v>336</v>
      </c>
      <c r="L43">
        <v>1368</v>
      </c>
      <c r="N43">
        <v>1011</v>
      </c>
      <c r="O43" t="s">
        <v>317</v>
      </c>
      <c r="P43" t="s">
        <v>317</v>
      </c>
      <c r="Q43">
        <v>1</v>
      </c>
      <c r="W43">
        <v>0</v>
      </c>
      <c r="X43">
        <v>-1845589996</v>
      </c>
      <c r="Y43">
        <v>0.125</v>
      </c>
      <c r="AA43">
        <v>0</v>
      </c>
      <c r="AB43">
        <v>753.22</v>
      </c>
      <c r="AC43">
        <v>362.46</v>
      </c>
      <c r="AD43">
        <v>0</v>
      </c>
      <c r="AE43">
        <v>0</v>
      </c>
      <c r="AF43">
        <v>89.99</v>
      </c>
      <c r="AG43">
        <v>10.06</v>
      </c>
      <c r="AH43">
        <v>0</v>
      </c>
      <c r="AI43">
        <v>1</v>
      </c>
      <c r="AJ43">
        <v>8.37</v>
      </c>
      <c r="AK43">
        <v>36.03</v>
      </c>
      <c r="AL43">
        <v>1</v>
      </c>
      <c r="AN43">
        <v>0</v>
      </c>
      <c r="AO43">
        <v>1</v>
      </c>
      <c r="AP43">
        <v>1</v>
      </c>
      <c r="AQ43">
        <v>0</v>
      </c>
      <c r="AR43">
        <v>0</v>
      </c>
      <c r="AT43">
        <v>0.02</v>
      </c>
      <c r="AU43" t="s">
        <v>132</v>
      </c>
      <c r="AV43">
        <v>0</v>
      </c>
      <c r="AW43">
        <v>2</v>
      </c>
      <c r="AX43">
        <v>55096114</v>
      </c>
      <c r="AY43">
        <v>1</v>
      </c>
      <c r="AZ43">
        <v>0</v>
      </c>
      <c r="BA43">
        <v>45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Y43*Source!I76</f>
        <v>0.6875</v>
      </c>
      <c r="CY43">
        <f>AB43</f>
        <v>753.22</v>
      </c>
      <c r="CZ43">
        <f>AF43</f>
        <v>89.99</v>
      </c>
      <c r="DA43">
        <f>AJ43</f>
        <v>8.37</v>
      </c>
      <c r="DB43">
        <f>ROUND((ROUND(AT43*CZ43,2)*ROUND((1.25*5),7)),2)</f>
        <v>11.25</v>
      </c>
      <c r="DC43">
        <f>ROUND((ROUND(AT43*AG43,2)*ROUND((1.25*5),7)),2)</f>
        <v>1.25</v>
      </c>
    </row>
    <row r="44" spans="1:107" ht="12.75">
      <c r="A44">
        <f>ROW(Source!A76)</f>
        <v>76</v>
      </c>
      <c r="B44">
        <v>55110083</v>
      </c>
      <c r="C44">
        <v>55096105</v>
      </c>
      <c r="D44">
        <v>53648308</v>
      </c>
      <c r="E44">
        <v>1</v>
      </c>
      <c r="F44">
        <v>1</v>
      </c>
      <c r="G44">
        <v>1</v>
      </c>
      <c r="H44">
        <v>3</v>
      </c>
      <c r="I44" t="s">
        <v>123</v>
      </c>
      <c r="J44" t="s">
        <v>126</v>
      </c>
      <c r="K44" t="s">
        <v>124</v>
      </c>
      <c r="L44">
        <v>1348</v>
      </c>
      <c r="N44">
        <v>1009</v>
      </c>
      <c r="O44" t="s">
        <v>125</v>
      </c>
      <c r="P44" t="s">
        <v>125</v>
      </c>
      <c r="Q44">
        <v>1000</v>
      </c>
      <c r="W44">
        <v>0</v>
      </c>
      <c r="X44">
        <v>-1961211957</v>
      </c>
      <c r="Y44">
        <v>0.903636</v>
      </c>
      <c r="AA44">
        <v>5643.45</v>
      </c>
      <c r="AB44">
        <v>0</v>
      </c>
      <c r="AC44">
        <v>0</v>
      </c>
      <c r="AD44">
        <v>0</v>
      </c>
      <c r="AE44">
        <v>1243.05</v>
      </c>
      <c r="AF44">
        <v>0</v>
      </c>
      <c r="AG44">
        <v>0</v>
      </c>
      <c r="AH44">
        <v>0</v>
      </c>
      <c r="AI44">
        <v>4.54</v>
      </c>
      <c r="AJ44">
        <v>1</v>
      </c>
      <c r="AK44">
        <v>1</v>
      </c>
      <c r="AL44">
        <v>1</v>
      </c>
      <c r="AN44">
        <v>0</v>
      </c>
      <c r="AO44">
        <v>0</v>
      </c>
      <c r="AP44">
        <v>0</v>
      </c>
      <c r="AQ44">
        <v>0</v>
      </c>
      <c r="AR44">
        <v>0</v>
      </c>
      <c r="AT44">
        <v>0.903636</v>
      </c>
      <c r="AV44">
        <v>0</v>
      </c>
      <c r="AW44">
        <v>1</v>
      </c>
      <c r="AX44">
        <v>-1</v>
      </c>
      <c r="AY44">
        <v>0</v>
      </c>
      <c r="AZ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Y44*Source!I76</f>
        <v>4.969998</v>
      </c>
      <c r="CY44">
        <f>AA44</f>
        <v>5643.45</v>
      </c>
      <c r="CZ44">
        <f>AE44</f>
        <v>1243.05</v>
      </c>
      <c r="DA44">
        <f>AI44</f>
        <v>4.54</v>
      </c>
      <c r="DB44">
        <f>ROUND(ROUND(AT44*CZ44,2),2)</f>
        <v>1123.26</v>
      </c>
      <c r="DC44">
        <f>ROUND(ROUND(AT44*AG44,2),2)</f>
        <v>0</v>
      </c>
    </row>
    <row r="45" spans="1:107" ht="12.75">
      <c r="A45">
        <f>ROW(Source!A79)</f>
        <v>79</v>
      </c>
      <c r="B45">
        <v>55110074</v>
      </c>
      <c r="C45">
        <v>55096117</v>
      </c>
      <c r="D45">
        <v>49459391</v>
      </c>
      <c r="E45">
        <v>58</v>
      </c>
      <c r="F45">
        <v>1</v>
      </c>
      <c r="G45">
        <v>1</v>
      </c>
      <c r="H45">
        <v>1</v>
      </c>
      <c r="I45" t="s">
        <v>343</v>
      </c>
      <c r="K45" t="s">
        <v>344</v>
      </c>
      <c r="L45">
        <v>1191</v>
      </c>
      <c r="N45">
        <v>1013</v>
      </c>
      <c r="O45" t="s">
        <v>311</v>
      </c>
      <c r="P45" t="s">
        <v>311</v>
      </c>
      <c r="Q45">
        <v>1</v>
      </c>
      <c r="W45">
        <v>0</v>
      </c>
      <c r="X45">
        <v>-784637506</v>
      </c>
      <c r="Y45">
        <v>3.2199999999999998</v>
      </c>
      <c r="AA45">
        <v>0</v>
      </c>
      <c r="AB45">
        <v>0</v>
      </c>
      <c r="AC45">
        <v>0</v>
      </c>
      <c r="AD45">
        <v>8.74</v>
      </c>
      <c r="AE45">
        <v>0</v>
      </c>
      <c r="AF45">
        <v>0</v>
      </c>
      <c r="AG45">
        <v>0</v>
      </c>
      <c r="AH45">
        <v>8.74</v>
      </c>
      <c r="AI45">
        <v>1</v>
      </c>
      <c r="AJ45">
        <v>1</v>
      </c>
      <c r="AK45">
        <v>1</v>
      </c>
      <c r="AL45">
        <v>1</v>
      </c>
      <c r="AN45">
        <v>0</v>
      </c>
      <c r="AO45">
        <v>1</v>
      </c>
      <c r="AP45">
        <v>1</v>
      </c>
      <c r="AQ45">
        <v>0</v>
      </c>
      <c r="AR45">
        <v>0</v>
      </c>
      <c r="AT45">
        <v>2.8</v>
      </c>
      <c r="AU45" t="s">
        <v>116</v>
      </c>
      <c r="AV45">
        <v>1</v>
      </c>
      <c r="AW45">
        <v>2</v>
      </c>
      <c r="AX45">
        <v>55096123</v>
      </c>
      <c r="AY45">
        <v>1</v>
      </c>
      <c r="AZ45">
        <v>0</v>
      </c>
      <c r="BA45">
        <v>47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Y45*Source!I79</f>
        <v>68.264</v>
      </c>
      <c r="CY45">
        <f>AD45</f>
        <v>8.74</v>
      </c>
      <c r="CZ45">
        <f>AH45</f>
        <v>8.74</v>
      </c>
      <c r="DA45">
        <f>AL45</f>
        <v>1</v>
      </c>
      <c r="DB45">
        <f>ROUND((ROUND(AT45*CZ45,2)*ROUND(1.15,7)),2)</f>
        <v>28.14</v>
      </c>
      <c r="DC45">
        <f>ROUND((ROUND(AT45*AG45,2)*ROUND(1.15,7)),2)</f>
        <v>0</v>
      </c>
    </row>
    <row r="46" spans="1:107" ht="12.75">
      <c r="A46">
        <f>ROW(Source!A79)</f>
        <v>79</v>
      </c>
      <c r="B46">
        <v>55110074</v>
      </c>
      <c r="C46">
        <v>55096117</v>
      </c>
      <c r="D46">
        <v>49459566</v>
      </c>
      <c r="E46">
        <v>58</v>
      </c>
      <c r="F46">
        <v>1</v>
      </c>
      <c r="G46">
        <v>1</v>
      </c>
      <c r="H46">
        <v>1</v>
      </c>
      <c r="I46" t="s">
        <v>330</v>
      </c>
      <c r="K46" t="s">
        <v>321</v>
      </c>
      <c r="L46">
        <v>1191</v>
      </c>
      <c r="N46">
        <v>1013</v>
      </c>
      <c r="O46" t="s">
        <v>311</v>
      </c>
      <c r="P46" t="s">
        <v>311</v>
      </c>
      <c r="Q46">
        <v>1</v>
      </c>
      <c r="W46">
        <v>0</v>
      </c>
      <c r="X46">
        <v>-1173606021</v>
      </c>
      <c r="Y46">
        <v>0.05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1</v>
      </c>
      <c r="AJ46">
        <v>1</v>
      </c>
      <c r="AK46">
        <v>1</v>
      </c>
      <c r="AL46">
        <v>1</v>
      </c>
      <c r="AN46">
        <v>0</v>
      </c>
      <c r="AO46">
        <v>1</v>
      </c>
      <c r="AP46">
        <v>1</v>
      </c>
      <c r="AQ46">
        <v>0</v>
      </c>
      <c r="AR46">
        <v>0</v>
      </c>
      <c r="AT46">
        <v>0.04</v>
      </c>
      <c r="AU46" t="s">
        <v>115</v>
      </c>
      <c r="AV46">
        <v>2</v>
      </c>
      <c r="AW46">
        <v>2</v>
      </c>
      <c r="AX46">
        <v>55096124</v>
      </c>
      <c r="AY46">
        <v>1</v>
      </c>
      <c r="AZ46">
        <v>0</v>
      </c>
      <c r="BA46">
        <v>48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Y46*Source!I79</f>
        <v>1.06</v>
      </c>
      <c r="CY46">
        <f>AD46</f>
        <v>0</v>
      </c>
      <c r="CZ46">
        <f>AH46</f>
        <v>0</v>
      </c>
      <c r="DA46">
        <f>AL46</f>
        <v>1</v>
      </c>
      <c r="DB46">
        <f>ROUND((ROUND(AT46*CZ46,2)*ROUND(1.25,7)),2)</f>
        <v>0</v>
      </c>
      <c r="DC46">
        <f>ROUND((ROUND(AT46*AG46,2)*ROUND(1.25,7)),2)</f>
        <v>0</v>
      </c>
    </row>
    <row r="47" spans="1:107" ht="12.75">
      <c r="A47">
        <f>ROW(Source!A79)</f>
        <v>79</v>
      </c>
      <c r="B47">
        <v>55110074</v>
      </c>
      <c r="C47">
        <v>55096117</v>
      </c>
      <c r="D47">
        <v>49621268</v>
      </c>
      <c r="E47">
        <v>1</v>
      </c>
      <c r="F47">
        <v>1</v>
      </c>
      <c r="G47">
        <v>1</v>
      </c>
      <c r="H47">
        <v>2</v>
      </c>
      <c r="I47" t="s">
        <v>345</v>
      </c>
      <c r="J47" t="s">
        <v>346</v>
      </c>
      <c r="K47" t="s">
        <v>347</v>
      </c>
      <c r="L47">
        <v>1368</v>
      </c>
      <c r="N47">
        <v>1011</v>
      </c>
      <c r="O47" t="s">
        <v>317</v>
      </c>
      <c r="P47" t="s">
        <v>317</v>
      </c>
      <c r="Q47">
        <v>1</v>
      </c>
      <c r="W47">
        <v>0</v>
      </c>
      <c r="X47">
        <v>1862470278</v>
      </c>
      <c r="Y47">
        <v>0.05</v>
      </c>
      <c r="AA47">
        <v>0</v>
      </c>
      <c r="AB47">
        <v>65.71</v>
      </c>
      <c r="AC47">
        <v>11.6</v>
      </c>
      <c r="AD47">
        <v>0</v>
      </c>
      <c r="AE47">
        <v>0</v>
      </c>
      <c r="AF47">
        <v>65.71</v>
      </c>
      <c r="AG47">
        <v>11.6</v>
      </c>
      <c r="AH47">
        <v>0</v>
      </c>
      <c r="AI47">
        <v>1</v>
      </c>
      <c r="AJ47">
        <v>1</v>
      </c>
      <c r="AK47">
        <v>1</v>
      </c>
      <c r="AL47">
        <v>1</v>
      </c>
      <c r="AN47">
        <v>0</v>
      </c>
      <c r="AO47">
        <v>1</v>
      </c>
      <c r="AP47">
        <v>1</v>
      </c>
      <c r="AQ47">
        <v>0</v>
      </c>
      <c r="AR47">
        <v>0</v>
      </c>
      <c r="AT47">
        <v>0.04</v>
      </c>
      <c r="AU47" t="s">
        <v>115</v>
      </c>
      <c r="AV47">
        <v>0</v>
      </c>
      <c r="AW47">
        <v>2</v>
      </c>
      <c r="AX47">
        <v>55096125</v>
      </c>
      <c r="AY47">
        <v>1</v>
      </c>
      <c r="AZ47">
        <v>0</v>
      </c>
      <c r="BA47">
        <v>49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Y47*Source!I79</f>
        <v>1.06</v>
      </c>
      <c r="CY47">
        <f>AB47</f>
        <v>65.71</v>
      </c>
      <c r="CZ47">
        <f>AF47</f>
        <v>65.71</v>
      </c>
      <c r="DA47">
        <f>AJ47</f>
        <v>1</v>
      </c>
      <c r="DB47">
        <f>ROUND((ROUND(AT47*CZ47,2)*ROUND(1.25,7)),2)</f>
        <v>3.29</v>
      </c>
      <c r="DC47">
        <f>ROUND((ROUND(AT47*AG47,2)*ROUND(1.25,7)),2)</f>
        <v>0.58</v>
      </c>
    </row>
    <row r="48" spans="1:107" ht="12.75">
      <c r="A48">
        <f>ROW(Source!A79)</f>
        <v>79</v>
      </c>
      <c r="B48">
        <v>55110074</v>
      </c>
      <c r="C48">
        <v>55096117</v>
      </c>
      <c r="D48">
        <v>49469850</v>
      </c>
      <c r="E48">
        <v>1</v>
      </c>
      <c r="F48">
        <v>1</v>
      </c>
      <c r="G48">
        <v>1</v>
      </c>
      <c r="H48">
        <v>3</v>
      </c>
      <c r="I48" t="s">
        <v>147</v>
      </c>
      <c r="J48" t="s">
        <v>149</v>
      </c>
      <c r="K48" t="s">
        <v>148</v>
      </c>
      <c r="L48">
        <v>1348</v>
      </c>
      <c r="N48">
        <v>1009</v>
      </c>
      <c r="O48" t="s">
        <v>125</v>
      </c>
      <c r="P48" t="s">
        <v>125</v>
      </c>
      <c r="Q48">
        <v>1000</v>
      </c>
      <c r="W48">
        <v>0</v>
      </c>
      <c r="X48">
        <v>-793660939</v>
      </c>
      <c r="Y48">
        <v>0.045</v>
      </c>
      <c r="AA48">
        <v>11885.47</v>
      </c>
      <c r="AB48">
        <v>0</v>
      </c>
      <c r="AC48">
        <v>0</v>
      </c>
      <c r="AD48">
        <v>0</v>
      </c>
      <c r="AE48">
        <v>11885.47</v>
      </c>
      <c r="AF48">
        <v>0</v>
      </c>
      <c r="AG48">
        <v>0</v>
      </c>
      <c r="AH48">
        <v>0</v>
      </c>
      <c r="AI48">
        <v>1</v>
      </c>
      <c r="AJ48">
        <v>1</v>
      </c>
      <c r="AK48">
        <v>1</v>
      </c>
      <c r="AL48">
        <v>1</v>
      </c>
      <c r="AN48">
        <v>0</v>
      </c>
      <c r="AO48">
        <v>0</v>
      </c>
      <c r="AP48">
        <v>0</v>
      </c>
      <c r="AQ48">
        <v>0</v>
      </c>
      <c r="AR48">
        <v>0</v>
      </c>
      <c r="AT48">
        <v>0.045</v>
      </c>
      <c r="AV48">
        <v>0</v>
      </c>
      <c r="AW48">
        <v>1</v>
      </c>
      <c r="AX48">
        <v>-1</v>
      </c>
      <c r="AY48">
        <v>0</v>
      </c>
      <c r="AZ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Y48*Source!I79</f>
        <v>0.954</v>
      </c>
      <c r="CY48">
        <f>AA48</f>
        <v>11885.47</v>
      </c>
      <c r="CZ48">
        <f>AE48</f>
        <v>11885.47</v>
      </c>
      <c r="DA48">
        <f>AI48</f>
        <v>1</v>
      </c>
      <c r="DB48">
        <f>ROUND(ROUND(AT48*CZ48,2),2)</f>
        <v>534.85</v>
      </c>
      <c r="DC48">
        <f>ROUND(ROUND(AT48*AG48,2),2)</f>
        <v>0</v>
      </c>
    </row>
    <row r="49" spans="1:107" ht="12.75">
      <c r="A49">
        <f>ROW(Source!A79)</f>
        <v>79</v>
      </c>
      <c r="B49">
        <v>55110074</v>
      </c>
      <c r="C49">
        <v>55096117</v>
      </c>
      <c r="D49">
        <v>49469859</v>
      </c>
      <c r="E49">
        <v>1</v>
      </c>
      <c r="F49">
        <v>1</v>
      </c>
      <c r="G49">
        <v>1</v>
      </c>
      <c r="H49">
        <v>3</v>
      </c>
      <c r="I49" t="s">
        <v>143</v>
      </c>
      <c r="J49" t="s">
        <v>145</v>
      </c>
      <c r="K49" t="s">
        <v>144</v>
      </c>
      <c r="L49">
        <v>1348</v>
      </c>
      <c r="N49">
        <v>1009</v>
      </c>
      <c r="O49" t="s">
        <v>125</v>
      </c>
      <c r="P49" t="s">
        <v>125</v>
      </c>
      <c r="Q49">
        <v>1000</v>
      </c>
      <c r="W49">
        <v>1</v>
      </c>
      <c r="X49">
        <v>-1214354032</v>
      </c>
      <c r="Y49">
        <v>-0.045</v>
      </c>
      <c r="AA49">
        <v>2000</v>
      </c>
      <c r="AB49">
        <v>0</v>
      </c>
      <c r="AC49">
        <v>0</v>
      </c>
      <c r="AD49">
        <v>0</v>
      </c>
      <c r="AE49">
        <v>2000</v>
      </c>
      <c r="AF49">
        <v>0</v>
      </c>
      <c r="AG49">
        <v>0</v>
      </c>
      <c r="AH49">
        <v>0</v>
      </c>
      <c r="AI49">
        <v>1</v>
      </c>
      <c r="AJ49">
        <v>1</v>
      </c>
      <c r="AK49">
        <v>1</v>
      </c>
      <c r="AL49">
        <v>1</v>
      </c>
      <c r="AN49">
        <v>0</v>
      </c>
      <c r="AO49">
        <v>1</v>
      </c>
      <c r="AP49">
        <v>0</v>
      </c>
      <c r="AQ49">
        <v>0</v>
      </c>
      <c r="AR49">
        <v>0</v>
      </c>
      <c r="AT49">
        <v>-0.045</v>
      </c>
      <c r="AV49">
        <v>0</v>
      </c>
      <c r="AW49">
        <v>2</v>
      </c>
      <c r="AX49">
        <v>55096126</v>
      </c>
      <c r="AY49">
        <v>1</v>
      </c>
      <c r="AZ49">
        <v>6144</v>
      </c>
      <c r="BA49">
        <v>50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Y49*Source!I79</f>
        <v>-0.954</v>
      </c>
      <c r="CY49">
        <f>AA49</f>
        <v>2000</v>
      </c>
      <c r="CZ49">
        <f>AE49</f>
        <v>2000</v>
      </c>
      <c r="DA49">
        <f>AI49</f>
        <v>1</v>
      </c>
      <c r="DB49">
        <f>ROUND(ROUND(AT49*CZ49,2),2)</f>
        <v>-90</v>
      </c>
      <c r="DC49">
        <f>ROUND(ROUND(AT49*AG49,2),2)</f>
        <v>0</v>
      </c>
    </row>
    <row r="50" spans="1:107" ht="12.75">
      <c r="A50">
        <f>ROW(Source!A80)</f>
        <v>80</v>
      </c>
      <c r="B50">
        <v>55110083</v>
      </c>
      <c r="C50">
        <v>55096117</v>
      </c>
      <c r="D50">
        <v>49459391</v>
      </c>
      <c r="E50">
        <v>58</v>
      </c>
      <c r="F50">
        <v>1</v>
      </c>
      <c r="G50">
        <v>1</v>
      </c>
      <c r="H50">
        <v>1</v>
      </c>
      <c r="I50" t="s">
        <v>343</v>
      </c>
      <c r="K50" t="s">
        <v>344</v>
      </c>
      <c r="L50">
        <v>1191</v>
      </c>
      <c r="N50">
        <v>1013</v>
      </c>
      <c r="O50" t="s">
        <v>311</v>
      </c>
      <c r="P50" t="s">
        <v>311</v>
      </c>
      <c r="Q50">
        <v>1</v>
      </c>
      <c r="W50">
        <v>0</v>
      </c>
      <c r="X50">
        <v>-784637506</v>
      </c>
      <c r="Y50">
        <v>3.2199999999999998</v>
      </c>
      <c r="AA50">
        <v>0</v>
      </c>
      <c r="AB50">
        <v>0</v>
      </c>
      <c r="AC50">
        <v>0</v>
      </c>
      <c r="AD50">
        <v>8.74</v>
      </c>
      <c r="AE50">
        <v>0</v>
      </c>
      <c r="AF50">
        <v>0</v>
      </c>
      <c r="AG50">
        <v>0</v>
      </c>
      <c r="AH50">
        <v>8.74</v>
      </c>
      <c r="AI50">
        <v>1</v>
      </c>
      <c r="AJ50">
        <v>1</v>
      </c>
      <c r="AK50">
        <v>1</v>
      </c>
      <c r="AL50">
        <v>1</v>
      </c>
      <c r="AN50">
        <v>0</v>
      </c>
      <c r="AO50">
        <v>1</v>
      </c>
      <c r="AP50">
        <v>1</v>
      </c>
      <c r="AQ50">
        <v>0</v>
      </c>
      <c r="AR50">
        <v>0</v>
      </c>
      <c r="AT50">
        <v>2.8</v>
      </c>
      <c r="AU50" t="s">
        <v>116</v>
      </c>
      <c r="AV50">
        <v>1</v>
      </c>
      <c r="AW50">
        <v>2</v>
      </c>
      <c r="AX50">
        <v>55096123</v>
      </c>
      <c r="AY50">
        <v>1</v>
      </c>
      <c r="AZ50">
        <v>0</v>
      </c>
      <c r="BA50">
        <v>51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Y50*Source!I80</f>
        <v>68.264</v>
      </c>
      <c r="CY50">
        <f>AD50</f>
        <v>8.74</v>
      </c>
      <c r="CZ50">
        <f>AH50</f>
        <v>8.74</v>
      </c>
      <c r="DA50">
        <f>AL50</f>
        <v>1</v>
      </c>
      <c r="DB50">
        <f>ROUND((ROUND(AT50*CZ50,2)*ROUND(1.15,7)),2)</f>
        <v>28.14</v>
      </c>
      <c r="DC50">
        <f>ROUND((ROUND(AT50*AG50,2)*ROUND(1.15,7)),2)</f>
        <v>0</v>
      </c>
    </row>
    <row r="51" spans="1:107" ht="12.75">
      <c r="A51">
        <f>ROW(Source!A80)</f>
        <v>80</v>
      </c>
      <c r="B51">
        <v>55110083</v>
      </c>
      <c r="C51">
        <v>55096117</v>
      </c>
      <c r="D51">
        <v>49459566</v>
      </c>
      <c r="E51">
        <v>58</v>
      </c>
      <c r="F51">
        <v>1</v>
      </c>
      <c r="G51">
        <v>1</v>
      </c>
      <c r="H51">
        <v>1</v>
      </c>
      <c r="I51" t="s">
        <v>330</v>
      </c>
      <c r="K51" t="s">
        <v>321</v>
      </c>
      <c r="L51">
        <v>1191</v>
      </c>
      <c r="N51">
        <v>1013</v>
      </c>
      <c r="O51" t="s">
        <v>311</v>
      </c>
      <c r="P51" t="s">
        <v>311</v>
      </c>
      <c r="Q51">
        <v>1</v>
      </c>
      <c r="W51">
        <v>0</v>
      </c>
      <c r="X51">
        <v>-1173606021</v>
      </c>
      <c r="Y51">
        <v>0.05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1</v>
      </c>
      <c r="AJ51">
        <v>1</v>
      </c>
      <c r="AK51">
        <v>1</v>
      </c>
      <c r="AL51">
        <v>1</v>
      </c>
      <c r="AN51">
        <v>0</v>
      </c>
      <c r="AO51">
        <v>1</v>
      </c>
      <c r="AP51">
        <v>1</v>
      </c>
      <c r="AQ51">
        <v>0</v>
      </c>
      <c r="AR51">
        <v>0</v>
      </c>
      <c r="AT51">
        <v>0.04</v>
      </c>
      <c r="AU51" t="s">
        <v>115</v>
      </c>
      <c r="AV51">
        <v>2</v>
      </c>
      <c r="AW51">
        <v>2</v>
      </c>
      <c r="AX51">
        <v>55096124</v>
      </c>
      <c r="AY51">
        <v>1</v>
      </c>
      <c r="AZ51">
        <v>0</v>
      </c>
      <c r="BA51">
        <v>52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Y51*Source!I80</f>
        <v>1.06</v>
      </c>
      <c r="CY51">
        <f>AD51</f>
        <v>0</v>
      </c>
      <c r="CZ51">
        <f>AH51</f>
        <v>0</v>
      </c>
      <c r="DA51">
        <f>AL51</f>
        <v>1</v>
      </c>
      <c r="DB51">
        <f>ROUND((ROUND(AT51*CZ51,2)*ROUND(1.25,7)),2)</f>
        <v>0</v>
      </c>
      <c r="DC51">
        <f>ROUND((ROUND(AT51*AG51,2)*ROUND(1.25,7)),2)</f>
        <v>0</v>
      </c>
    </row>
    <row r="52" spans="1:107" ht="12.75">
      <c r="A52">
        <f>ROW(Source!A80)</f>
        <v>80</v>
      </c>
      <c r="B52">
        <v>55110083</v>
      </c>
      <c r="C52">
        <v>55096117</v>
      </c>
      <c r="D52">
        <v>49621268</v>
      </c>
      <c r="E52">
        <v>1</v>
      </c>
      <c r="F52">
        <v>1</v>
      </c>
      <c r="G52">
        <v>1</v>
      </c>
      <c r="H52">
        <v>2</v>
      </c>
      <c r="I52" t="s">
        <v>345</v>
      </c>
      <c r="J52" t="s">
        <v>346</v>
      </c>
      <c r="K52" t="s">
        <v>347</v>
      </c>
      <c r="L52">
        <v>1368</v>
      </c>
      <c r="N52">
        <v>1011</v>
      </c>
      <c r="O52" t="s">
        <v>317</v>
      </c>
      <c r="P52" t="s">
        <v>317</v>
      </c>
      <c r="Q52">
        <v>1</v>
      </c>
      <c r="W52">
        <v>0</v>
      </c>
      <c r="X52">
        <v>1862470278</v>
      </c>
      <c r="Y52">
        <v>0.05</v>
      </c>
      <c r="AA52">
        <v>0</v>
      </c>
      <c r="AB52">
        <v>778.66</v>
      </c>
      <c r="AC52">
        <v>417.95</v>
      </c>
      <c r="AD52">
        <v>0</v>
      </c>
      <c r="AE52">
        <v>0</v>
      </c>
      <c r="AF52">
        <v>65.71</v>
      </c>
      <c r="AG52">
        <v>11.6</v>
      </c>
      <c r="AH52">
        <v>0</v>
      </c>
      <c r="AI52">
        <v>1</v>
      </c>
      <c r="AJ52">
        <v>11.85</v>
      </c>
      <c r="AK52">
        <v>36.03</v>
      </c>
      <c r="AL52">
        <v>1</v>
      </c>
      <c r="AN52">
        <v>0</v>
      </c>
      <c r="AO52">
        <v>1</v>
      </c>
      <c r="AP52">
        <v>1</v>
      </c>
      <c r="AQ52">
        <v>0</v>
      </c>
      <c r="AR52">
        <v>0</v>
      </c>
      <c r="AT52">
        <v>0.04</v>
      </c>
      <c r="AU52" t="s">
        <v>115</v>
      </c>
      <c r="AV52">
        <v>0</v>
      </c>
      <c r="AW52">
        <v>2</v>
      </c>
      <c r="AX52">
        <v>55096125</v>
      </c>
      <c r="AY52">
        <v>1</v>
      </c>
      <c r="AZ52">
        <v>0</v>
      </c>
      <c r="BA52">
        <v>53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Y52*Source!I80</f>
        <v>1.06</v>
      </c>
      <c r="CY52">
        <f>AB52</f>
        <v>778.66</v>
      </c>
      <c r="CZ52">
        <f>AF52</f>
        <v>65.71</v>
      </c>
      <c r="DA52">
        <f>AJ52</f>
        <v>11.85</v>
      </c>
      <c r="DB52">
        <f>ROUND((ROUND(AT52*CZ52,2)*ROUND(1.25,7)),2)</f>
        <v>3.29</v>
      </c>
      <c r="DC52">
        <f>ROUND((ROUND(AT52*AG52,2)*ROUND(1.25,7)),2)</f>
        <v>0.58</v>
      </c>
    </row>
    <row r="53" spans="1:107" ht="12.75">
      <c r="A53">
        <f>ROW(Source!A80)</f>
        <v>80</v>
      </c>
      <c r="B53">
        <v>55110083</v>
      </c>
      <c r="C53">
        <v>55096117</v>
      </c>
      <c r="D53">
        <v>49469850</v>
      </c>
      <c r="E53">
        <v>1</v>
      </c>
      <c r="F53">
        <v>1</v>
      </c>
      <c r="G53">
        <v>1</v>
      </c>
      <c r="H53">
        <v>3</v>
      </c>
      <c r="I53" t="s">
        <v>147</v>
      </c>
      <c r="J53" t="s">
        <v>149</v>
      </c>
      <c r="K53" t="s">
        <v>148</v>
      </c>
      <c r="L53">
        <v>1348</v>
      </c>
      <c r="N53">
        <v>1009</v>
      </c>
      <c r="O53" t="s">
        <v>125</v>
      </c>
      <c r="P53" t="s">
        <v>125</v>
      </c>
      <c r="Q53">
        <v>1000</v>
      </c>
      <c r="W53">
        <v>0</v>
      </c>
      <c r="X53">
        <v>-793660939</v>
      </c>
      <c r="Y53">
        <v>0.045</v>
      </c>
      <c r="AA53">
        <v>139891.98</v>
      </c>
      <c r="AB53">
        <v>0</v>
      </c>
      <c r="AC53">
        <v>0</v>
      </c>
      <c r="AD53">
        <v>0</v>
      </c>
      <c r="AE53">
        <v>11885.47</v>
      </c>
      <c r="AF53">
        <v>0</v>
      </c>
      <c r="AG53">
        <v>0</v>
      </c>
      <c r="AH53">
        <v>0</v>
      </c>
      <c r="AI53">
        <v>11.77</v>
      </c>
      <c r="AJ53">
        <v>1</v>
      </c>
      <c r="AK53">
        <v>1</v>
      </c>
      <c r="AL53">
        <v>1</v>
      </c>
      <c r="AN53">
        <v>0</v>
      </c>
      <c r="AO53">
        <v>0</v>
      </c>
      <c r="AP53">
        <v>0</v>
      </c>
      <c r="AQ53">
        <v>0</v>
      </c>
      <c r="AR53">
        <v>0</v>
      </c>
      <c r="AT53">
        <v>0.045</v>
      </c>
      <c r="AV53">
        <v>0</v>
      </c>
      <c r="AW53">
        <v>1</v>
      </c>
      <c r="AX53">
        <v>-1</v>
      </c>
      <c r="AY53">
        <v>0</v>
      </c>
      <c r="AZ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Y53*Source!I80</f>
        <v>0.954</v>
      </c>
      <c r="CY53">
        <f>AA53</f>
        <v>139891.98</v>
      </c>
      <c r="CZ53">
        <f>AE53</f>
        <v>11885.47</v>
      </c>
      <c r="DA53">
        <f>AI53</f>
        <v>11.77</v>
      </c>
      <c r="DB53">
        <f>ROUND(ROUND(AT53*CZ53,2),2)</f>
        <v>534.85</v>
      </c>
      <c r="DC53">
        <f>ROUND(ROUND(AT53*AG53,2),2)</f>
        <v>0</v>
      </c>
    </row>
    <row r="54" spans="1:107" ht="12.75">
      <c r="A54">
        <f>ROW(Source!A80)</f>
        <v>80</v>
      </c>
      <c r="B54">
        <v>55110083</v>
      </c>
      <c r="C54">
        <v>55096117</v>
      </c>
      <c r="D54">
        <v>49469859</v>
      </c>
      <c r="E54">
        <v>1</v>
      </c>
      <c r="F54">
        <v>1</v>
      </c>
      <c r="G54">
        <v>1</v>
      </c>
      <c r="H54">
        <v>3</v>
      </c>
      <c r="I54" t="s">
        <v>143</v>
      </c>
      <c r="J54" t="s">
        <v>145</v>
      </c>
      <c r="K54" t="s">
        <v>144</v>
      </c>
      <c r="L54">
        <v>1348</v>
      </c>
      <c r="N54">
        <v>1009</v>
      </c>
      <c r="O54" t="s">
        <v>125</v>
      </c>
      <c r="P54" t="s">
        <v>125</v>
      </c>
      <c r="Q54">
        <v>1000</v>
      </c>
      <c r="W54">
        <v>1</v>
      </c>
      <c r="X54">
        <v>-1214354032</v>
      </c>
      <c r="Y54">
        <v>-0.045</v>
      </c>
      <c r="AA54">
        <v>26920</v>
      </c>
      <c r="AB54">
        <v>0</v>
      </c>
      <c r="AC54">
        <v>0</v>
      </c>
      <c r="AD54">
        <v>0</v>
      </c>
      <c r="AE54">
        <v>2000</v>
      </c>
      <c r="AF54">
        <v>0</v>
      </c>
      <c r="AG54">
        <v>0</v>
      </c>
      <c r="AH54">
        <v>0</v>
      </c>
      <c r="AI54">
        <v>13.46</v>
      </c>
      <c r="AJ54">
        <v>1</v>
      </c>
      <c r="AK54">
        <v>1</v>
      </c>
      <c r="AL54">
        <v>1</v>
      </c>
      <c r="AN54">
        <v>0</v>
      </c>
      <c r="AO54">
        <v>1</v>
      </c>
      <c r="AP54">
        <v>0</v>
      </c>
      <c r="AQ54">
        <v>0</v>
      </c>
      <c r="AR54">
        <v>0</v>
      </c>
      <c r="AT54">
        <v>-0.045</v>
      </c>
      <c r="AV54">
        <v>0</v>
      </c>
      <c r="AW54">
        <v>2</v>
      </c>
      <c r="AX54">
        <v>55096126</v>
      </c>
      <c r="AY54">
        <v>1</v>
      </c>
      <c r="AZ54">
        <v>6144</v>
      </c>
      <c r="BA54">
        <v>54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Y54*Source!I80</f>
        <v>-0.954</v>
      </c>
      <c r="CY54">
        <f>AA54</f>
        <v>26920</v>
      </c>
      <c r="CZ54">
        <f>AE54</f>
        <v>2000</v>
      </c>
      <c r="DA54">
        <f>AI54</f>
        <v>13.46</v>
      </c>
      <c r="DB54">
        <f>ROUND(ROUND(AT54*CZ54,2),2)</f>
        <v>-90</v>
      </c>
      <c r="DC54">
        <f>ROUND(ROUND(AT54*AG54,2),2)</f>
        <v>0</v>
      </c>
    </row>
    <row r="55" spans="1:107" ht="12.75">
      <c r="A55">
        <f>ROW(Source!A85)</f>
        <v>85</v>
      </c>
      <c r="B55">
        <v>55110074</v>
      </c>
      <c r="C55">
        <v>55100133</v>
      </c>
      <c r="D55">
        <v>53630067</v>
      </c>
      <c r="E55">
        <v>70</v>
      </c>
      <c r="F55">
        <v>1</v>
      </c>
      <c r="G55">
        <v>1</v>
      </c>
      <c r="H55">
        <v>1</v>
      </c>
      <c r="I55" t="s">
        <v>348</v>
      </c>
      <c r="K55" t="s">
        <v>349</v>
      </c>
      <c r="L55">
        <v>1191</v>
      </c>
      <c r="N55">
        <v>1013</v>
      </c>
      <c r="O55" t="s">
        <v>311</v>
      </c>
      <c r="P55" t="s">
        <v>311</v>
      </c>
      <c r="Q55">
        <v>1</v>
      </c>
      <c r="W55">
        <v>0</v>
      </c>
      <c r="X55">
        <v>1049124552</v>
      </c>
      <c r="Y55">
        <v>111.78</v>
      </c>
      <c r="AA55">
        <v>0</v>
      </c>
      <c r="AB55">
        <v>0</v>
      </c>
      <c r="AC55">
        <v>0</v>
      </c>
      <c r="AD55">
        <v>8.53</v>
      </c>
      <c r="AE55">
        <v>0</v>
      </c>
      <c r="AF55">
        <v>0</v>
      </c>
      <c r="AG55">
        <v>0</v>
      </c>
      <c r="AH55">
        <v>8.53</v>
      </c>
      <c r="AI55">
        <v>1</v>
      </c>
      <c r="AJ55">
        <v>1</v>
      </c>
      <c r="AK55">
        <v>1</v>
      </c>
      <c r="AL55">
        <v>1</v>
      </c>
      <c r="AN55">
        <v>0</v>
      </c>
      <c r="AO55">
        <v>1</v>
      </c>
      <c r="AP55">
        <v>1</v>
      </c>
      <c r="AQ55">
        <v>0</v>
      </c>
      <c r="AR55">
        <v>0</v>
      </c>
      <c r="AT55">
        <v>97.2</v>
      </c>
      <c r="AU55" t="s">
        <v>116</v>
      </c>
      <c r="AV55">
        <v>1</v>
      </c>
      <c r="AW55">
        <v>2</v>
      </c>
      <c r="AX55">
        <v>55100134</v>
      </c>
      <c r="AY55">
        <v>1</v>
      </c>
      <c r="AZ55">
        <v>0</v>
      </c>
      <c r="BA55">
        <v>55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Y55*Source!I85</f>
        <v>150.90300000000002</v>
      </c>
      <c r="CY55">
        <f>AD55</f>
        <v>8.53</v>
      </c>
      <c r="CZ55">
        <f>AH55</f>
        <v>8.53</v>
      </c>
      <c r="DA55">
        <f>AL55</f>
        <v>1</v>
      </c>
      <c r="DB55">
        <f>ROUND((ROUND(AT55*CZ55,2)*ROUND(1.15,7)),2)</f>
        <v>953.49</v>
      </c>
      <c r="DC55">
        <f>ROUND((ROUND(AT55*AG55,2)*ROUND(1.15,7)),2)</f>
        <v>0</v>
      </c>
    </row>
    <row r="56" spans="1:107" ht="12.75">
      <c r="A56">
        <f>ROW(Source!A85)</f>
        <v>85</v>
      </c>
      <c r="B56">
        <v>55110074</v>
      </c>
      <c r="C56">
        <v>55100133</v>
      </c>
      <c r="D56">
        <v>53630257</v>
      </c>
      <c r="E56">
        <v>70</v>
      </c>
      <c r="F56">
        <v>1</v>
      </c>
      <c r="G56">
        <v>1</v>
      </c>
      <c r="H56">
        <v>1</v>
      </c>
      <c r="I56" t="s">
        <v>320</v>
      </c>
      <c r="K56" t="s">
        <v>321</v>
      </c>
      <c r="L56">
        <v>1191</v>
      </c>
      <c r="N56">
        <v>1013</v>
      </c>
      <c r="O56" t="s">
        <v>311</v>
      </c>
      <c r="P56" t="s">
        <v>311</v>
      </c>
      <c r="Q56">
        <v>1</v>
      </c>
      <c r="W56">
        <v>0</v>
      </c>
      <c r="X56">
        <v>-1417349443</v>
      </c>
      <c r="Y56">
        <v>0.3375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1</v>
      </c>
      <c r="AJ56">
        <v>1</v>
      </c>
      <c r="AK56">
        <v>1</v>
      </c>
      <c r="AL56">
        <v>1</v>
      </c>
      <c r="AN56">
        <v>0</v>
      </c>
      <c r="AO56">
        <v>1</v>
      </c>
      <c r="AP56">
        <v>1</v>
      </c>
      <c r="AQ56">
        <v>0</v>
      </c>
      <c r="AR56">
        <v>0</v>
      </c>
      <c r="AT56">
        <v>0.27</v>
      </c>
      <c r="AU56" t="s">
        <v>115</v>
      </c>
      <c r="AV56">
        <v>2</v>
      </c>
      <c r="AW56">
        <v>2</v>
      </c>
      <c r="AX56">
        <v>55100135</v>
      </c>
      <c r="AY56">
        <v>1</v>
      </c>
      <c r="AZ56">
        <v>0</v>
      </c>
      <c r="BA56">
        <v>56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Y56*Source!I85</f>
        <v>0.45562500000000006</v>
      </c>
      <c r="CY56">
        <f>AD56</f>
        <v>0</v>
      </c>
      <c r="CZ56">
        <f>AH56</f>
        <v>0</v>
      </c>
      <c r="DA56">
        <f>AL56</f>
        <v>1</v>
      </c>
      <c r="DB56">
        <f>ROUND((ROUND(AT56*CZ56,2)*ROUND(1.25,7)),2)</f>
        <v>0</v>
      </c>
      <c r="DC56">
        <f>ROUND((ROUND(AT56*AG56,2)*ROUND(1.25,7)),2)</f>
        <v>0</v>
      </c>
    </row>
    <row r="57" spans="1:107" ht="12.75">
      <c r="A57">
        <f>ROW(Source!A85)</f>
        <v>85</v>
      </c>
      <c r="B57">
        <v>55110074</v>
      </c>
      <c r="C57">
        <v>55100133</v>
      </c>
      <c r="D57">
        <v>53791939</v>
      </c>
      <c r="E57">
        <v>1</v>
      </c>
      <c r="F57">
        <v>1</v>
      </c>
      <c r="G57">
        <v>1</v>
      </c>
      <c r="H57">
        <v>2</v>
      </c>
      <c r="I57" t="s">
        <v>331</v>
      </c>
      <c r="J57" t="s">
        <v>332</v>
      </c>
      <c r="K57" t="s">
        <v>333</v>
      </c>
      <c r="L57">
        <v>1367</v>
      </c>
      <c r="N57">
        <v>1011</v>
      </c>
      <c r="O57" t="s">
        <v>315</v>
      </c>
      <c r="P57" t="s">
        <v>315</v>
      </c>
      <c r="Q57">
        <v>1</v>
      </c>
      <c r="W57">
        <v>0</v>
      </c>
      <c r="X57">
        <v>-130837057</v>
      </c>
      <c r="Y57">
        <v>0.25</v>
      </c>
      <c r="AA57">
        <v>0</v>
      </c>
      <c r="AB57">
        <v>86.4</v>
      </c>
      <c r="AC57">
        <v>13.5</v>
      </c>
      <c r="AD57">
        <v>0</v>
      </c>
      <c r="AE57">
        <v>0</v>
      </c>
      <c r="AF57">
        <v>86.4</v>
      </c>
      <c r="AG57">
        <v>13.5</v>
      </c>
      <c r="AH57">
        <v>0</v>
      </c>
      <c r="AI57">
        <v>1</v>
      </c>
      <c r="AJ57">
        <v>1</v>
      </c>
      <c r="AK57">
        <v>1</v>
      </c>
      <c r="AL57">
        <v>1</v>
      </c>
      <c r="AN57">
        <v>0</v>
      </c>
      <c r="AO57">
        <v>1</v>
      </c>
      <c r="AP57">
        <v>1</v>
      </c>
      <c r="AQ57">
        <v>0</v>
      </c>
      <c r="AR57">
        <v>0</v>
      </c>
      <c r="AT57">
        <v>0.2</v>
      </c>
      <c r="AU57" t="s">
        <v>115</v>
      </c>
      <c r="AV57">
        <v>0</v>
      </c>
      <c r="AW57">
        <v>2</v>
      </c>
      <c r="AX57">
        <v>55100136</v>
      </c>
      <c r="AY57">
        <v>1</v>
      </c>
      <c r="AZ57">
        <v>0</v>
      </c>
      <c r="BA57">
        <v>57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Y57*Source!I85</f>
        <v>0.3375</v>
      </c>
      <c r="CY57">
        <f>AB57</f>
        <v>86.4</v>
      </c>
      <c r="CZ57">
        <f>AF57</f>
        <v>86.4</v>
      </c>
      <c r="DA57">
        <f>AJ57</f>
        <v>1</v>
      </c>
      <c r="DB57">
        <f>ROUND((ROUND(AT57*CZ57,2)*ROUND(1.25,7)),2)</f>
        <v>21.6</v>
      </c>
      <c r="DC57">
        <f>ROUND((ROUND(AT57*AG57,2)*ROUND(1.25,7)),2)</f>
        <v>3.38</v>
      </c>
    </row>
    <row r="58" spans="1:107" ht="12.75">
      <c r="A58">
        <f>ROW(Source!A85)</f>
        <v>85</v>
      </c>
      <c r="B58">
        <v>55110074</v>
      </c>
      <c r="C58">
        <v>55100133</v>
      </c>
      <c r="D58">
        <v>53792927</v>
      </c>
      <c r="E58">
        <v>1</v>
      </c>
      <c r="F58">
        <v>1</v>
      </c>
      <c r="G58">
        <v>1</v>
      </c>
      <c r="H58">
        <v>2</v>
      </c>
      <c r="I58" t="s">
        <v>345</v>
      </c>
      <c r="J58" t="s">
        <v>346</v>
      </c>
      <c r="K58" t="s">
        <v>347</v>
      </c>
      <c r="L58">
        <v>1367</v>
      </c>
      <c r="N58">
        <v>1011</v>
      </c>
      <c r="O58" t="s">
        <v>315</v>
      </c>
      <c r="P58" t="s">
        <v>315</v>
      </c>
      <c r="Q58">
        <v>1</v>
      </c>
      <c r="W58">
        <v>0</v>
      </c>
      <c r="X58">
        <v>509054691</v>
      </c>
      <c r="Y58">
        <v>0.08750000000000001</v>
      </c>
      <c r="AA58">
        <v>0</v>
      </c>
      <c r="AB58">
        <v>65.71</v>
      </c>
      <c r="AC58">
        <v>11.6</v>
      </c>
      <c r="AD58">
        <v>0</v>
      </c>
      <c r="AE58">
        <v>0</v>
      </c>
      <c r="AF58">
        <v>65.71</v>
      </c>
      <c r="AG58">
        <v>11.6</v>
      </c>
      <c r="AH58">
        <v>0</v>
      </c>
      <c r="AI58">
        <v>1</v>
      </c>
      <c r="AJ58">
        <v>1</v>
      </c>
      <c r="AK58">
        <v>1</v>
      </c>
      <c r="AL58">
        <v>1</v>
      </c>
      <c r="AN58">
        <v>0</v>
      </c>
      <c r="AO58">
        <v>1</v>
      </c>
      <c r="AP58">
        <v>1</v>
      </c>
      <c r="AQ58">
        <v>0</v>
      </c>
      <c r="AR58">
        <v>0</v>
      </c>
      <c r="AT58">
        <v>0.07</v>
      </c>
      <c r="AU58" t="s">
        <v>115</v>
      </c>
      <c r="AV58">
        <v>0</v>
      </c>
      <c r="AW58">
        <v>2</v>
      </c>
      <c r="AX58">
        <v>55100137</v>
      </c>
      <c r="AY58">
        <v>1</v>
      </c>
      <c r="AZ58">
        <v>0</v>
      </c>
      <c r="BA58">
        <v>58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Y58*Source!I85</f>
        <v>0.11812500000000002</v>
      </c>
      <c r="CY58">
        <f>AB58</f>
        <v>65.71</v>
      </c>
      <c r="CZ58">
        <f>AF58</f>
        <v>65.71</v>
      </c>
      <c r="DA58">
        <f>AJ58</f>
        <v>1</v>
      </c>
      <c r="DB58">
        <f>ROUND((ROUND(AT58*CZ58,2)*ROUND(1.25,7)),2)</f>
        <v>5.75</v>
      </c>
      <c r="DC58">
        <f>ROUND((ROUND(AT58*AG58,2)*ROUND(1.25,7)),2)</f>
        <v>1.01</v>
      </c>
    </row>
    <row r="59" spans="1:107" ht="12.75">
      <c r="A59">
        <f>ROW(Source!A85)</f>
        <v>85</v>
      </c>
      <c r="B59">
        <v>55110074</v>
      </c>
      <c r="C59">
        <v>55100133</v>
      </c>
      <c r="D59">
        <v>53644957</v>
      </c>
      <c r="E59">
        <v>1</v>
      </c>
      <c r="F59">
        <v>1</v>
      </c>
      <c r="G59">
        <v>1</v>
      </c>
      <c r="H59">
        <v>3</v>
      </c>
      <c r="I59" t="s">
        <v>155</v>
      </c>
      <c r="J59" t="s">
        <v>157</v>
      </c>
      <c r="K59" t="s">
        <v>156</v>
      </c>
      <c r="L59">
        <v>1348</v>
      </c>
      <c r="N59">
        <v>1009</v>
      </c>
      <c r="O59" t="s">
        <v>125</v>
      </c>
      <c r="P59" t="s">
        <v>125</v>
      </c>
      <c r="Q59">
        <v>1000</v>
      </c>
      <c r="W59">
        <v>1</v>
      </c>
      <c r="X59">
        <v>-384732532</v>
      </c>
      <c r="Y59">
        <v>-0.004</v>
      </c>
      <c r="AA59">
        <v>8475</v>
      </c>
      <c r="AB59">
        <v>0</v>
      </c>
      <c r="AC59">
        <v>0</v>
      </c>
      <c r="AD59">
        <v>0</v>
      </c>
      <c r="AE59">
        <v>8475</v>
      </c>
      <c r="AF59">
        <v>0</v>
      </c>
      <c r="AG59">
        <v>0</v>
      </c>
      <c r="AH59">
        <v>0</v>
      </c>
      <c r="AI59">
        <v>1</v>
      </c>
      <c r="AJ59">
        <v>1</v>
      </c>
      <c r="AK59">
        <v>1</v>
      </c>
      <c r="AL59">
        <v>1</v>
      </c>
      <c r="AN59">
        <v>0</v>
      </c>
      <c r="AO59">
        <v>1</v>
      </c>
      <c r="AP59">
        <v>0</v>
      </c>
      <c r="AQ59">
        <v>0</v>
      </c>
      <c r="AR59">
        <v>0</v>
      </c>
      <c r="AT59">
        <v>-0.004</v>
      </c>
      <c r="AV59">
        <v>0</v>
      </c>
      <c r="AW59">
        <v>2</v>
      </c>
      <c r="AX59">
        <v>55100138</v>
      </c>
      <c r="AY59">
        <v>1</v>
      </c>
      <c r="AZ59">
        <v>6144</v>
      </c>
      <c r="BA59">
        <v>59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Y59*Source!I85</f>
        <v>-0.0054</v>
      </c>
      <c r="CY59">
        <f>AA59</f>
        <v>8475</v>
      </c>
      <c r="CZ59">
        <f>AE59</f>
        <v>8475</v>
      </c>
      <c r="DA59">
        <f>AI59</f>
        <v>1</v>
      </c>
      <c r="DB59">
        <f>ROUND(ROUND(AT59*CZ59,2),2)</f>
        <v>-33.9</v>
      </c>
      <c r="DC59">
        <f>ROUND(ROUND(AT59*AG59,2),2)</f>
        <v>0</v>
      </c>
    </row>
    <row r="60" spans="1:107" ht="12.75">
      <c r="A60">
        <f>ROW(Source!A85)</f>
        <v>85</v>
      </c>
      <c r="B60">
        <v>55110074</v>
      </c>
      <c r="C60">
        <v>55100133</v>
      </c>
      <c r="D60">
        <v>53662057</v>
      </c>
      <c r="E60">
        <v>1</v>
      </c>
      <c r="F60">
        <v>1</v>
      </c>
      <c r="G60">
        <v>1</v>
      </c>
      <c r="H60">
        <v>3</v>
      </c>
      <c r="I60" t="s">
        <v>159</v>
      </c>
      <c r="J60" t="s">
        <v>161</v>
      </c>
      <c r="K60" t="s">
        <v>160</v>
      </c>
      <c r="L60">
        <v>1348</v>
      </c>
      <c r="N60">
        <v>1009</v>
      </c>
      <c r="O60" t="s">
        <v>125</v>
      </c>
      <c r="P60" t="s">
        <v>125</v>
      </c>
      <c r="Q60">
        <v>1000</v>
      </c>
      <c r="W60">
        <v>1</v>
      </c>
      <c r="X60">
        <v>-581832824</v>
      </c>
      <c r="Y60">
        <v>-0.012</v>
      </c>
      <c r="AA60">
        <v>8190</v>
      </c>
      <c r="AB60">
        <v>0</v>
      </c>
      <c r="AC60">
        <v>0</v>
      </c>
      <c r="AD60">
        <v>0</v>
      </c>
      <c r="AE60">
        <v>8190</v>
      </c>
      <c r="AF60">
        <v>0</v>
      </c>
      <c r="AG60">
        <v>0</v>
      </c>
      <c r="AH60">
        <v>0</v>
      </c>
      <c r="AI60">
        <v>1</v>
      </c>
      <c r="AJ60">
        <v>1</v>
      </c>
      <c r="AK60">
        <v>1</v>
      </c>
      <c r="AL60">
        <v>1</v>
      </c>
      <c r="AN60">
        <v>0</v>
      </c>
      <c r="AO60">
        <v>1</v>
      </c>
      <c r="AP60">
        <v>0</v>
      </c>
      <c r="AQ60">
        <v>0</v>
      </c>
      <c r="AR60">
        <v>0</v>
      </c>
      <c r="AT60">
        <v>-0.012</v>
      </c>
      <c r="AV60">
        <v>0</v>
      </c>
      <c r="AW60">
        <v>2</v>
      </c>
      <c r="AX60">
        <v>55100139</v>
      </c>
      <c r="AY60">
        <v>1</v>
      </c>
      <c r="AZ60">
        <v>6144</v>
      </c>
      <c r="BA60">
        <v>60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Y60*Source!I85</f>
        <v>-0.016200000000000003</v>
      </c>
      <c r="CY60">
        <f>AA60</f>
        <v>8190</v>
      </c>
      <c r="CZ60">
        <f>AE60</f>
        <v>8190</v>
      </c>
      <c r="DA60">
        <f>AI60</f>
        <v>1</v>
      </c>
      <c r="DB60">
        <f>ROUND(ROUND(AT60*CZ60,2),2)</f>
        <v>-98.28</v>
      </c>
      <c r="DC60">
        <f>ROUND(ROUND(AT60*AG60,2),2)</f>
        <v>0</v>
      </c>
    </row>
    <row r="61" spans="1:107" ht="12.75">
      <c r="A61">
        <f>ROW(Source!A85)</f>
        <v>85</v>
      </c>
      <c r="B61">
        <v>55110074</v>
      </c>
      <c r="C61">
        <v>55100133</v>
      </c>
      <c r="D61">
        <v>53662302</v>
      </c>
      <c r="E61">
        <v>1</v>
      </c>
      <c r="F61">
        <v>1</v>
      </c>
      <c r="G61">
        <v>1</v>
      </c>
      <c r="H61">
        <v>3</v>
      </c>
      <c r="I61" t="s">
        <v>163</v>
      </c>
      <c r="J61" t="s">
        <v>165</v>
      </c>
      <c r="K61" t="s">
        <v>164</v>
      </c>
      <c r="L61">
        <v>1348</v>
      </c>
      <c r="N61">
        <v>1009</v>
      </c>
      <c r="O61" t="s">
        <v>125</v>
      </c>
      <c r="P61" t="s">
        <v>125</v>
      </c>
      <c r="Q61">
        <v>1000</v>
      </c>
      <c r="W61">
        <v>1</v>
      </c>
      <c r="X61">
        <v>-509681559</v>
      </c>
      <c r="Y61">
        <v>-0.57</v>
      </c>
      <c r="AA61">
        <v>11200</v>
      </c>
      <c r="AB61">
        <v>0</v>
      </c>
      <c r="AC61">
        <v>0</v>
      </c>
      <c r="AD61">
        <v>0</v>
      </c>
      <c r="AE61">
        <v>11200</v>
      </c>
      <c r="AF61">
        <v>0</v>
      </c>
      <c r="AG61">
        <v>0</v>
      </c>
      <c r="AH61">
        <v>0</v>
      </c>
      <c r="AI61">
        <v>1</v>
      </c>
      <c r="AJ61">
        <v>1</v>
      </c>
      <c r="AK61">
        <v>1</v>
      </c>
      <c r="AL61">
        <v>1</v>
      </c>
      <c r="AN61">
        <v>0</v>
      </c>
      <c r="AO61">
        <v>1</v>
      </c>
      <c r="AP61">
        <v>0</v>
      </c>
      <c r="AQ61">
        <v>0</v>
      </c>
      <c r="AR61">
        <v>0</v>
      </c>
      <c r="AT61">
        <v>-0.57</v>
      </c>
      <c r="AV61">
        <v>0</v>
      </c>
      <c r="AW61">
        <v>2</v>
      </c>
      <c r="AX61">
        <v>55100140</v>
      </c>
      <c r="AY61">
        <v>1</v>
      </c>
      <c r="AZ61">
        <v>6144</v>
      </c>
      <c r="BA61">
        <v>61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Y61*Source!I85</f>
        <v>-0.7695</v>
      </c>
      <c r="CY61">
        <f>AA61</f>
        <v>11200</v>
      </c>
      <c r="CZ61">
        <f>AE61</f>
        <v>11200</v>
      </c>
      <c r="DA61">
        <f>AI61</f>
        <v>1</v>
      </c>
      <c r="DB61">
        <f>ROUND(ROUND(AT61*CZ61,2),2)</f>
        <v>-6384</v>
      </c>
      <c r="DC61">
        <f>ROUND(ROUND(AT61*AG61,2),2)</f>
        <v>0</v>
      </c>
    </row>
    <row r="62" spans="1:107" ht="12.75">
      <c r="A62">
        <f>ROW(Source!A86)</f>
        <v>86</v>
      </c>
      <c r="B62">
        <v>55110083</v>
      </c>
      <c r="C62">
        <v>55100133</v>
      </c>
      <c r="D62">
        <v>53630067</v>
      </c>
      <c r="E62">
        <v>70</v>
      </c>
      <c r="F62">
        <v>1</v>
      </c>
      <c r="G62">
        <v>1</v>
      </c>
      <c r="H62">
        <v>1</v>
      </c>
      <c r="I62" t="s">
        <v>348</v>
      </c>
      <c r="K62" t="s">
        <v>349</v>
      </c>
      <c r="L62">
        <v>1191</v>
      </c>
      <c r="N62">
        <v>1013</v>
      </c>
      <c r="O62" t="s">
        <v>311</v>
      </c>
      <c r="P62" t="s">
        <v>311</v>
      </c>
      <c r="Q62">
        <v>1</v>
      </c>
      <c r="W62">
        <v>0</v>
      </c>
      <c r="X62">
        <v>1049124552</v>
      </c>
      <c r="Y62">
        <v>111.78</v>
      </c>
      <c r="AA62">
        <v>0</v>
      </c>
      <c r="AB62">
        <v>0</v>
      </c>
      <c r="AC62">
        <v>0</v>
      </c>
      <c r="AD62">
        <v>8.53</v>
      </c>
      <c r="AE62">
        <v>0</v>
      </c>
      <c r="AF62">
        <v>0</v>
      </c>
      <c r="AG62">
        <v>0</v>
      </c>
      <c r="AH62">
        <v>8.53</v>
      </c>
      <c r="AI62">
        <v>1</v>
      </c>
      <c r="AJ62">
        <v>1</v>
      </c>
      <c r="AK62">
        <v>1</v>
      </c>
      <c r="AL62">
        <v>1</v>
      </c>
      <c r="AN62">
        <v>0</v>
      </c>
      <c r="AO62">
        <v>1</v>
      </c>
      <c r="AP62">
        <v>1</v>
      </c>
      <c r="AQ62">
        <v>0</v>
      </c>
      <c r="AR62">
        <v>0</v>
      </c>
      <c r="AT62">
        <v>97.2</v>
      </c>
      <c r="AU62" t="s">
        <v>116</v>
      </c>
      <c r="AV62">
        <v>1</v>
      </c>
      <c r="AW62">
        <v>2</v>
      </c>
      <c r="AX62">
        <v>55100134</v>
      </c>
      <c r="AY62">
        <v>1</v>
      </c>
      <c r="AZ62">
        <v>0</v>
      </c>
      <c r="BA62">
        <v>62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Y62*Source!I86</f>
        <v>150.90300000000002</v>
      </c>
      <c r="CY62">
        <f>AD62</f>
        <v>8.53</v>
      </c>
      <c r="CZ62">
        <f>AH62</f>
        <v>8.53</v>
      </c>
      <c r="DA62">
        <f>AL62</f>
        <v>1</v>
      </c>
      <c r="DB62">
        <f>ROUND((ROUND(AT62*CZ62,2)*ROUND(1.15,7)),2)</f>
        <v>953.49</v>
      </c>
      <c r="DC62">
        <f>ROUND((ROUND(AT62*AG62,2)*ROUND(1.15,7)),2)</f>
        <v>0</v>
      </c>
    </row>
    <row r="63" spans="1:107" ht="12.75">
      <c r="A63">
        <f>ROW(Source!A86)</f>
        <v>86</v>
      </c>
      <c r="B63">
        <v>55110083</v>
      </c>
      <c r="C63">
        <v>55100133</v>
      </c>
      <c r="D63">
        <v>53630257</v>
      </c>
      <c r="E63">
        <v>70</v>
      </c>
      <c r="F63">
        <v>1</v>
      </c>
      <c r="G63">
        <v>1</v>
      </c>
      <c r="H63">
        <v>1</v>
      </c>
      <c r="I63" t="s">
        <v>320</v>
      </c>
      <c r="K63" t="s">
        <v>321</v>
      </c>
      <c r="L63">
        <v>1191</v>
      </c>
      <c r="N63">
        <v>1013</v>
      </c>
      <c r="O63" t="s">
        <v>311</v>
      </c>
      <c r="P63" t="s">
        <v>311</v>
      </c>
      <c r="Q63">
        <v>1</v>
      </c>
      <c r="W63">
        <v>0</v>
      </c>
      <c r="X63">
        <v>-1417349443</v>
      </c>
      <c r="Y63">
        <v>0.3375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1</v>
      </c>
      <c r="AJ63">
        <v>1</v>
      </c>
      <c r="AK63">
        <v>1</v>
      </c>
      <c r="AL63">
        <v>1</v>
      </c>
      <c r="AN63">
        <v>0</v>
      </c>
      <c r="AO63">
        <v>1</v>
      </c>
      <c r="AP63">
        <v>1</v>
      </c>
      <c r="AQ63">
        <v>0</v>
      </c>
      <c r="AR63">
        <v>0</v>
      </c>
      <c r="AT63">
        <v>0.27</v>
      </c>
      <c r="AU63" t="s">
        <v>115</v>
      </c>
      <c r="AV63">
        <v>2</v>
      </c>
      <c r="AW63">
        <v>2</v>
      </c>
      <c r="AX63">
        <v>55100135</v>
      </c>
      <c r="AY63">
        <v>1</v>
      </c>
      <c r="AZ63">
        <v>0</v>
      </c>
      <c r="BA63">
        <v>63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Y63*Source!I86</f>
        <v>0.45562500000000006</v>
      </c>
      <c r="CY63">
        <f>AD63</f>
        <v>0</v>
      </c>
      <c r="CZ63">
        <f>AH63</f>
        <v>0</v>
      </c>
      <c r="DA63">
        <f>AL63</f>
        <v>1</v>
      </c>
      <c r="DB63">
        <f>ROUND((ROUND(AT63*CZ63,2)*ROUND(1.25,7)),2)</f>
        <v>0</v>
      </c>
      <c r="DC63">
        <f>ROUND((ROUND(AT63*AG63,2)*ROUND(1.25,7)),2)</f>
        <v>0</v>
      </c>
    </row>
    <row r="64" spans="1:107" ht="12.75">
      <c r="A64">
        <f>ROW(Source!A86)</f>
        <v>86</v>
      </c>
      <c r="B64">
        <v>55110083</v>
      </c>
      <c r="C64">
        <v>55100133</v>
      </c>
      <c r="D64">
        <v>53791939</v>
      </c>
      <c r="E64">
        <v>1</v>
      </c>
      <c r="F64">
        <v>1</v>
      </c>
      <c r="G64">
        <v>1</v>
      </c>
      <c r="H64">
        <v>2</v>
      </c>
      <c r="I64" t="s">
        <v>331</v>
      </c>
      <c r="J64" t="s">
        <v>332</v>
      </c>
      <c r="K64" t="s">
        <v>333</v>
      </c>
      <c r="L64">
        <v>1367</v>
      </c>
      <c r="N64">
        <v>1011</v>
      </c>
      <c r="O64" t="s">
        <v>315</v>
      </c>
      <c r="P64" t="s">
        <v>315</v>
      </c>
      <c r="Q64">
        <v>1</v>
      </c>
      <c r="W64">
        <v>0</v>
      </c>
      <c r="X64">
        <v>-130837057</v>
      </c>
      <c r="Y64">
        <v>0.25</v>
      </c>
      <c r="AA64">
        <v>0</v>
      </c>
      <c r="AB64">
        <v>888.19</v>
      </c>
      <c r="AC64">
        <v>486.41</v>
      </c>
      <c r="AD64">
        <v>0</v>
      </c>
      <c r="AE64">
        <v>0</v>
      </c>
      <c r="AF64">
        <v>86.4</v>
      </c>
      <c r="AG64">
        <v>13.5</v>
      </c>
      <c r="AH64">
        <v>0</v>
      </c>
      <c r="AI64">
        <v>1</v>
      </c>
      <c r="AJ64">
        <v>10.28</v>
      </c>
      <c r="AK64">
        <v>36.03</v>
      </c>
      <c r="AL64">
        <v>1</v>
      </c>
      <c r="AN64">
        <v>0</v>
      </c>
      <c r="AO64">
        <v>1</v>
      </c>
      <c r="AP64">
        <v>1</v>
      </c>
      <c r="AQ64">
        <v>0</v>
      </c>
      <c r="AR64">
        <v>0</v>
      </c>
      <c r="AT64">
        <v>0.2</v>
      </c>
      <c r="AU64" t="s">
        <v>115</v>
      </c>
      <c r="AV64">
        <v>0</v>
      </c>
      <c r="AW64">
        <v>2</v>
      </c>
      <c r="AX64">
        <v>55100136</v>
      </c>
      <c r="AY64">
        <v>1</v>
      </c>
      <c r="AZ64">
        <v>0</v>
      </c>
      <c r="BA64">
        <v>64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Y64*Source!I86</f>
        <v>0.3375</v>
      </c>
      <c r="CY64">
        <f>AB64</f>
        <v>888.19</v>
      </c>
      <c r="CZ64">
        <f>AF64</f>
        <v>86.4</v>
      </c>
      <c r="DA64">
        <f>AJ64</f>
        <v>10.28</v>
      </c>
      <c r="DB64">
        <f>ROUND((ROUND(AT64*CZ64,2)*ROUND(1.25,7)),2)</f>
        <v>21.6</v>
      </c>
      <c r="DC64">
        <f>ROUND((ROUND(AT64*AG64,2)*ROUND(1.25,7)),2)</f>
        <v>3.38</v>
      </c>
    </row>
    <row r="65" spans="1:107" ht="12.75">
      <c r="A65">
        <f>ROW(Source!A86)</f>
        <v>86</v>
      </c>
      <c r="B65">
        <v>55110083</v>
      </c>
      <c r="C65">
        <v>55100133</v>
      </c>
      <c r="D65">
        <v>53792927</v>
      </c>
      <c r="E65">
        <v>1</v>
      </c>
      <c r="F65">
        <v>1</v>
      </c>
      <c r="G65">
        <v>1</v>
      </c>
      <c r="H65">
        <v>2</v>
      </c>
      <c r="I65" t="s">
        <v>345</v>
      </c>
      <c r="J65" t="s">
        <v>346</v>
      </c>
      <c r="K65" t="s">
        <v>347</v>
      </c>
      <c r="L65">
        <v>1367</v>
      </c>
      <c r="N65">
        <v>1011</v>
      </c>
      <c r="O65" t="s">
        <v>315</v>
      </c>
      <c r="P65" t="s">
        <v>315</v>
      </c>
      <c r="Q65">
        <v>1</v>
      </c>
      <c r="W65">
        <v>0</v>
      </c>
      <c r="X65">
        <v>509054691</v>
      </c>
      <c r="Y65">
        <v>0.08750000000000001</v>
      </c>
      <c r="AA65">
        <v>0</v>
      </c>
      <c r="AB65">
        <v>778.66</v>
      </c>
      <c r="AC65">
        <v>417.95</v>
      </c>
      <c r="AD65">
        <v>0</v>
      </c>
      <c r="AE65">
        <v>0</v>
      </c>
      <c r="AF65">
        <v>65.71</v>
      </c>
      <c r="AG65">
        <v>11.6</v>
      </c>
      <c r="AH65">
        <v>0</v>
      </c>
      <c r="AI65">
        <v>1</v>
      </c>
      <c r="AJ65">
        <v>11.85</v>
      </c>
      <c r="AK65">
        <v>36.03</v>
      </c>
      <c r="AL65">
        <v>1</v>
      </c>
      <c r="AN65">
        <v>0</v>
      </c>
      <c r="AO65">
        <v>1</v>
      </c>
      <c r="AP65">
        <v>1</v>
      </c>
      <c r="AQ65">
        <v>0</v>
      </c>
      <c r="AR65">
        <v>0</v>
      </c>
      <c r="AT65">
        <v>0.07</v>
      </c>
      <c r="AU65" t="s">
        <v>115</v>
      </c>
      <c r="AV65">
        <v>0</v>
      </c>
      <c r="AW65">
        <v>2</v>
      </c>
      <c r="AX65">
        <v>55100137</v>
      </c>
      <c r="AY65">
        <v>1</v>
      </c>
      <c r="AZ65">
        <v>0</v>
      </c>
      <c r="BA65">
        <v>65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Y65*Source!I86</f>
        <v>0.11812500000000002</v>
      </c>
      <c r="CY65">
        <f>AB65</f>
        <v>778.66</v>
      </c>
      <c r="CZ65">
        <f>AF65</f>
        <v>65.71</v>
      </c>
      <c r="DA65">
        <f>AJ65</f>
        <v>11.85</v>
      </c>
      <c r="DB65">
        <f>ROUND((ROUND(AT65*CZ65,2)*ROUND(1.25,7)),2)</f>
        <v>5.75</v>
      </c>
      <c r="DC65">
        <f>ROUND((ROUND(AT65*AG65,2)*ROUND(1.25,7)),2)</f>
        <v>1.01</v>
      </c>
    </row>
    <row r="66" spans="1:107" ht="12.75">
      <c r="A66">
        <f>ROW(Source!A86)</f>
        <v>86</v>
      </c>
      <c r="B66">
        <v>55110083</v>
      </c>
      <c r="C66">
        <v>55100133</v>
      </c>
      <c r="D66">
        <v>53644957</v>
      </c>
      <c r="E66">
        <v>1</v>
      </c>
      <c r="F66">
        <v>1</v>
      </c>
      <c r="G66">
        <v>1</v>
      </c>
      <c r="H66">
        <v>3</v>
      </c>
      <c r="I66" t="s">
        <v>155</v>
      </c>
      <c r="J66" t="s">
        <v>157</v>
      </c>
      <c r="K66" t="s">
        <v>156</v>
      </c>
      <c r="L66">
        <v>1348</v>
      </c>
      <c r="N66">
        <v>1009</v>
      </c>
      <c r="O66" t="s">
        <v>125</v>
      </c>
      <c r="P66" t="s">
        <v>125</v>
      </c>
      <c r="Q66">
        <v>1000</v>
      </c>
      <c r="W66">
        <v>1</v>
      </c>
      <c r="X66">
        <v>-384732532</v>
      </c>
      <c r="Y66">
        <v>-0.004</v>
      </c>
      <c r="AA66">
        <v>100598.25</v>
      </c>
      <c r="AB66">
        <v>0</v>
      </c>
      <c r="AC66">
        <v>0</v>
      </c>
      <c r="AD66">
        <v>0</v>
      </c>
      <c r="AE66">
        <v>8475</v>
      </c>
      <c r="AF66">
        <v>0</v>
      </c>
      <c r="AG66">
        <v>0</v>
      </c>
      <c r="AH66">
        <v>0</v>
      </c>
      <c r="AI66">
        <v>11.87</v>
      </c>
      <c r="AJ66">
        <v>1</v>
      </c>
      <c r="AK66">
        <v>1</v>
      </c>
      <c r="AL66">
        <v>1</v>
      </c>
      <c r="AN66">
        <v>0</v>
      </c>
      <c r="AO66">
        <v>1</v>
      </c>
      <c r="AP66">
        <v>0</v>
      </c>
      <c r="AQ66">
        <v>0</v>
      </c>
      <c r="AR66">
        <v>0</v>
      </c>
      <c r="AT66">
        <v>-0.004</v>
      </c>
      <c r="AV66">
        <v>0</v>
      </c>
      <c r="AW66">
        <v>2</v>
      </c>
      <c r="AX66">
        <v>55100138</v>
      </c>
      <c r="AY66">
        <v>1</v>
      </c>
      <c r="AZ66">
        <v>6144</v>
      </c>
      <c r="BA66">
        <v>66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Y66*Source!I86</f>
        <v>-0.0054</v>
      </c>
      <c r="CY66">
        <f>AA66</f>
        <v>100598.25</v>
      </c>
      <c r="CZ66">
        <f>AE66</f>
        <v>8475</v>
      </c>
      <c r="DA66">
        <f>AI66</f>
        <v>11.87</v>
      </c>
      <c r="DB66">
        <f>ROUND(ROUND(AT66*CZ66,2),2)</f>
        <v>-33.9</v>
      </c>
      <c r="DC66">
        <f>ROUND(ROUND(AT66*AG66,2),2)</f>
        <v>0</v>
      </c>
    </row>
    <row r="67" spans="1:107" ht="12.75">
      <c r="A67">
        <f>ROW(Source!A86)</f>
        <v>86</v>
      </c>
      <c r="B67">
        <v>55110083</v>
      </c>
      <c r="C67">
        <v>55100133</v>
      </c>
      <c r="D67">
        <v>53662057</v>
      </c>
      <c r="E67">
        <v>1</v>
      </c>
      <c r="F67">
        <v>1</v>
      </c>
      <c r="G67">
        <v>1</v>
      </c>
      <c r="H67">
        <v>3</v>
      </c>
      <c r="I67" t="s">
        <v>159</v>
      </c>
      <c r="J67" t="s">
        <v>161</v>
      </c>
      <c r="K67" t="s">
        <v>160</v>
      </c>
      <c r="L67">
        <v>1348</v>
      </c>
      <c r="N67">
        <v>1009</v>
      </c>
      <c r="O67" t="s">
        <v>125</v>
      </c>
      <c r="P67" t="s">
        <v>125</v>
      </c>
      <c r="Q67">
        <v>1000</v>
      </c>
      <c r="W67">
        <v>1</v>
      </c>
      <c r="X67">
        <v>-581832824</v>
      </c>
      <c r="Y67">
        <v>-0.012</v>
      </c>
      <c r="AA67">
        <v>129074.4</v>
      </c>
      <c r="AB67">
        <v>0</v>
      </c>
      <c r="AC67">
        <v>0</v>
      </c>
      <c r="AD67">
        <v>0</v>
      </c>
      <c r="AE67">
        <v>8190</v>
      </c>
      <c r="AF67">
        <v>0</v>
      </c>
      <c r="AG67">
        <v>0</v>
      </c>
      <c r="AH67">
        <v>0</v>
      </c>
      <c r="AI67">
        <v>15.76</v>
      </c>
      <c r="AJ67">
        <v>1</v>
      </c>
      <c r="AK67">
        <v>1</v>
      </c>
      <c r="AL67">
        <v>1</v>
      </c>
      <c r="AN67">
        <v>0</v>
      </c>
      <c r="AO67">
        <v>1</v>
      </c>
      <c r="AP67">
        <v>0</v>
      </c>
      <c r="AQ67">
        <v>0</v>
      </c>
      <c r="AR67">
        <v>0</v>
      </c>
      <c r="AT67">
        <v>-0.012</v>
      </c>
      <c r="AV67">
        <v>0</v>
      </c>
      <c r="AW67">
        <v>2</v>
      </c>
      <c r="AX67">
        <v>55100139</v>
      </c>
      <c r="AY67">
        <v>1</v>
      </c>
      <c r="AZ67">
        <v>6144</v>
      </c>
      <c r="BA67">
        <v>67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Y67*Source!I86</f>
        <v>-0.016200000000000003</v>
      </c>
      <c r="CY67">
        <f>AA67</f>
        <v>129074.4</v>
      </c>
      <c r="CZ67">
        <f>AE67</f>
        <v>8190</v>
      </c>
      <c r="DA67">
        <f>AI67</f>
        <v>15.76</v>
      </c>
      <c r="DB67">
        <f>ROUND(ROUND(AT67*CZ67,2),2)</f>
        <v>-98.28</v>
      </c>
      <c r="DC67">
        <f>ROUND(ROUND(AT67*AG67,2),2)</f>
        <v>0</v>
      </c>
    </row>
    <row r="68" spans="1:107" ht="12.75">
      <c r="A68">
        <f>ROW(Source!A86)</f>
        <v>86</v>
      </c>
      <c r="B68">
        <v>55110083</v>
      </c>
      <c r="C68">
        <v>55100133</v>
      </c>
      <c r="D68">
        <v>53662302</v>
      </c>
      <c r="E68">
        <v>1</v>
      </c>
      <c r="F68">
        <v>1</v>
      </c>
      <c r="G68">
        <v>1</v>
      </c>
      <c r="H68">
        <v>3</v>
      </c>
      <c r="I68" t="s">
        <v>163</v>
      </c>
      <c r="J68" t="s">
        <v>165</v>
      </c>
      <c r="K68" t="s">
        <v>164</v>
      </c>
      <c r="L68">
        <v>1348</v>
      </c>
      <c r="N68">
        <v>1009</v>
      </c>
      <c r="O68" t="s">
        <v>125</v>
      </c>
      <c r="P68" t="s">
        <v>125</v>
      </c>
      <c r="Q68">
        <v>1000</v>
      </c>
      <c r="W68">
        <v>1</v>
      </c>
      <c r="X68">
        <v>-509681559</v>
      </c>
      <c r="Y68">
        <v>-0.57</v>
      </c>
      <c r="AA68">
        <v>94752</v>
      </c>
      <c r="AB68">
        <v>0</v>
      </c>
      <c r="AC68">
        <v>0</v>
      </c>
      <c r="AD68">
        <v>0</v>
      </c>
      <c r="AE68">
        <v>11200</v>
      </c>
      <c r="AF68">
        <v>0</v>
      </c>
      <c r="AG68">
        <v>0</v>
      </c>
      <c r="AH68">
        <v>0</v>
      </c>
      <c r="AI68">
        <v>8.46</v>
      </c>
      <c r="AJ68">
        <v>1</v>
      </c>
      <c r="AK68">
        <v>1</v>
      </c>
      <c r="AL68">
        <v>1</v>
      </c>
      <c r="AN68">
        <v>0</v>
      </c>
      <c r="AO68">
        <v>1</v>
      </c>
      <c r="AP68">
        <v>0</v>
      </c>
      <c r="AQ68">
        <v>0</v>
      </c>
      <c r="AR68">
        <v>0</v>
      </c>
      <c r="AT68">
        <v>-0.57</v>
      </c>
      <c r="AV68">
        <v>0</v>
      </c>
      <c r="AW68">
        <v>2</v>
      </c>
      <c r="AX68">
        <v>55100140</v>
      </c>
      <c r="AY68">
        <v>1</v>
      </c>
      <c r="AZ68">
        <v>6144</v>
      </c>
      <c r="BA68">
        <v>68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Y68*Source!I86</f>
        <v>-0.7695</v>
      </c>
      <c r="CY68">
        <f>AA68</f>
        <v>94752</v>
      </c>
      <c r="CZ68">
        <f>AE68</f>
        <v>11200</v>
      </c>
      <c r="DA68">
        <f>AI68</f>
        <v>8.46</v>
      </c>
      <c r="DB68">
        <f>ROUND(ROUND(AT68*CZ68,2),2)</f>
        <v>-6384</v>
      </c>
      <c r="DC68">
        <f>ROUND(ROUND(AT68*AG68,2),2)</f>
        <v>0</v>
      </c>
    </row>
    <row r="69" spans="1:107" ht="12.75">
      <c r="A69">
        <f>ROW(Source!A93)</f>
        <v>93</v>
      </c>
      <c r="B69">
        <v>55110074</v>
      </c>
      <c r="C69">
        <v>55096506</v>
      </c>
      <c r="D69">
        <v>49459419</v>
      </c>
      <c r="E69">
        <v>58</v>
      </c>
      <c r="F69">
        <v>1</v>
      </c>
      <c r="G69">
        <v>1</v>
      </c>
      <c r="H69">
        <v>1</v>
      </c>
      <c r="I69" t="s">
        <v>350</v>
      </c>
      <c r="K69" t="s">
        <v>351</v>
      </c>
      <c r="L69">
        <v>1191</v>
      </c>
      <c r="N69">
        <v>1013</v>
      </c>
      <c r="O69" t="s">
        <v>311</v>
      </c>
      <c r="P69" t="s">
        <v>311</v>
      </c>
      <c r="Q69">
        <v>1</v>
      </c>
      <c r="W69">
        <v>0</v>
      </c>
      <c r="X69">
        <v>-1081351934</v>
      </c>
      <c r="Y69">
        <v>16.514</v>
      </c>
      <c r="AA69">
        <v>0</v>
      </c>
      <c r="AB69">
        <v>0</v>
      </c>
      <c r="AC69">
        <v>0</v>
      </c>
      <c r="AD69">
        <v>9.4</v>
      </c>
      <c r="AE69">
        <v>0</v>
      </c>
      <c r="AF69">
        <v>0</v>
      </c>
      <c r="AG69">
        <v>0</v>
      </c>
      <c r="AH69">
        <v>9.4</v>
      </c>
      <c r="AI69">
        <v>1</v>
      </c>
      <c r="AJ69">
        <v>1</v>
      </c>
      <c r="AK69">
        <v>1</v>
      </c>
      <c r="AL69">
        <v>1</v>
      </c>
      <c r="AN69">
        <v>0</v>
      </c>
      <c r="AO69">
        <v>1</v>
      </c>
      <c r="AP69">
        <v>1</v>
      </c>
      <c r="AQ69">
        <v>0</v>
      </c>
      <c r="AR69">
        <v>0</v>
      </c>
      <c r="AT69">
        <v>14.36</v>
      </c>
      <c r="AU69" t="s">
        <v>116</v>
      </c>
      <c r="AV69">
        <v>1</v>
      </c>
      <c r="AW69">
        <v>2</v>
      </c>
      <c r="AX69">
        <v>55096507</v>
      </c>
      <c r="AY69">
        <v>1</v>
      </c>
      <c r="AZ69">
        <v>0</v>
      </c>
      <c r="BA69">
        <v>69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Y69*Source!I93</f>
        <v>350.0968</v>
      </c>
      <c r="CY69">
        <f>AD69</f>
        <v>9.4</v>
      </c>
      <c r="CZ69">
        <f>AH69</f>
        <v>9.4</v>
      </c>
      <c r="DA69">
        <f>AL69</f>
        <v>1</v>
      </c>
      <c r="DB69">
        <f>ROUND((ROUND(AT69*CZ69,2)*ROUND(1.15,7)),2)</f>
        <v>155.23</v>
      </c>
      <c r="DC69">
        <f>ROUND((ROUND(AT69*AG69,2)*ROUND(1.15,7)),2)</f>
        <v>0</v>
      </c>
    </row>
    <row r="70" spans="1:107" ht="12.75">
      <c r="A70">
        <f>ROW(Source!A93)</f>
        <v>93</v>
      </c>
      <c r="B70">
        <v>55110074</v>
      </c>
      <c r="C70">
        <v>55096506</v>
      </c>
      <c r="D70">
        <v>49459566</v>
      </c>
      <c r="E70">
        <v>58</v>
      </c>
      <c r="F70">
        <v>1</v>
      </c>
      <c r="G70">
        <v>1</v>
      </c>
      <c r="H70">
        <v>1</v>
      </c>
      <c r="I70" t="s">
        <v>330</v>
      </c>
      <c r="K70" t="s">
        <v>321</v>
      </c>
      <c r="L70">
        <v>1191</v>
      </c>
      <c r="N70">
        <v>1013</v>
      </c>
      <c r="O70" t="s">
        <v>311</v>
      </c>
      <c r="P70" t="s">
        <v>311</v>
      </c>
      <c r="Q70">
        <v>1</v>
      </c>
      <c r="W70">
        <v>0</v>
      </c>
      <c r="X70">
        <v>-1173606021</v>
      </c>
      <c r="Y70">
        <v>0.3625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1</v>
      </c>
      <c r="AJ70">
        <v>1</v>
      </c>
      <c r="AK70">
        <v>1</v>
      </c>
      <c r="AL70">
        <v>1</v>
      </c>
      <c r="AN70">
        <v>0</v>
      </c>
      <c r="AO70">
        <v>1</v>
      </c>
      <c r="AP70">
        <v>1</v>
      </c>
      <c r="AQ70">
        <v>0</v>
      </c>
      <c r="AR70">
        <v>0</v>
      </c>
      <c r="AT70">
        <v>0.29</v>
      </c>
      <c r="AU70" t="s">
        <v>115</v>
      </c>
      <c r="AV70">
        <v>2</v>
      </c>
      <c r="AW70">
        <v>2</v>
      </c>
      <c r="AX70">
        <v>55096508</v>
      </c>
      <c r="AY70">
        <v>1</v>
      </c>
      <c r="AZ70">
        <v>0</v>
      </c>
      <c r="BA70">
        <v>70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Y70*Source!I93</f>
        <v>7.685</v>
      </c>
      <c r="CY70">
        <f>AD70</f>
        <v>0</v>
      </c>
      <c r="CZ70">
        <f>AH70</f>
        <v>0</v>
      </c>
      <c r="DA70">
        <f>AL70</f>
        <v>1</v>
      </c>
      <c r="DB70">
        <f>ROUND((ROUND(AT70*CZ70,2)*ROUND(1.25,7)),2)</f>
        <v>0</v>
      </c>
      <c r="DC70">
        <f>ROUND((ROUND(AT70*AG70,2)*ROUND(1.25,7)),2)</f>
        <v>0</v>
      </c>
    </row>
    <row r="71" spans="1:107" ht="12.75">
      <c r="A71">
        <f>ROW(Source!A93)</f>
        <v>93</v>
      </c>
      <c r="B71">
        <v>55110074</v>
      </c>
      <c r="C71">
        <v>55096506</v>
      </c>
      <c r="D71">
        <v>49620286</v>
      </c>
      <c r="E71">
        <v>1</v>
      </c>
      <c r="F71">
        <v>1</v>
      </c>
      <c r="G71">
        <v>1</v>
      </c>
      <c r="H71">
        <v>2</v>
      </c>
      <c r="I71" t="s">
        <v>331</v>
      </c>
      <c r="J71" t="s">
        <v>332</v>
      </c>
      <c r="K71" t="s">
        <v>333</v>
      </c>
      <c r="L71">
        <v>1368</v>
      </c>
      <c r="N71">
        <v>1011</v>
      </c>
      <c r="O71" t="s">
        <v>317</v>
      </c>
      <c r="P71" t="s">
        <v>317</v>
      </c>
      <c r="Q71">
        <v>1</v>
      </c>
      <c r="W71">
        <v>0</v>
      </c>
      <c r="X71">
        <v>-1554407757</v>
      </c>
      <c r="Y71">
        <v>0.1875</v>
      </c>
      <c r="AA71">
        <v>0</v>
      </c>
      <c r="AB71">
        <v>86.4</v>
      </c>
      <c r="AC71">
        <v>13.5</v>
      </c>
      <c r="AD71">
        <v>0</v>
      </c>
      <c r="AE71">
        <v>0</v>
      </c>
      <c r="AF71">
        <v>86.4</v>
      </c>
      <c r="AG71">
        <v>13.5</v>
      </c>
      <c r="AH71">
        <v>0</v>
      </c>
      <c r="AI71">
        <v>1</v>
      </c>
      <c r="AJ71">
        <v>1</v>
      </c>
      <c r="AK71">
        <v>1</v>
      </c>
      <c r="AL71">
        <v>1</v>
      </c>
      <c r="AN71">
        <v>0</v>
      </c>
      <c r="AO71">
        <v>1</v>
      </c>
      <c r="AP71">
        <v>1</v>
      </c>
      <c r="AQ71">
        <v>0</v>
      </c>
      <c r="AR71">
        <v>0</v>
      </c>
      <c r="AT71">
        <v>0.15</v>
      </c>
      <c r="AU71" t="s">
        <v>115</v>
      </c>
      <c r="AV71">
        <v>0</v>
      </c>
      <c r="AW71">
        <v>2</v>
      </c>
      <c r="AX71">
        <v>55096509</v>
      </c>
      <c r="AY71">
        <v>1</v>
      </c>
      <c r="AZ71">
        <v>0</v>
      </c>
      <c r="BA71">
        <v>71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Y71*Source!I93</f>
        <v>3.9749999999999996</v>
      </c>
      <c r="CY71">
        <f>AB71</f>
        <v>86.4</v>
      </c>
      <c r="CZ71">
        <f>AF71</f>
        <v>86.4</v>
      </c>
      <c r="DA71">
        <f>AJ71</f>
        <v>1</v>
      </c>
      <c r="DB71">
        <f>ROUND((ROUND(AT71*CZ71,2)*ROUND(1.25,7)),2)</f>
        <v>16.2</v>
      </c>
      <c r="DC71">
        <f>ROUND((ROUND(AT71*AG71,2)*ROUND(1.25,7)),2)</f>
        <v>2.54</v>
      </c>
    </row>
    <row r="72" spans="1:107" ht="12.75">
      <c r="A72">
        <f>ROW(Source!A93)</f>
        <v>93</v>
      </c>
      <c r="B72">
        <v>55110074</v>
      </c>
      <c r="C72">
        <v>55096506</v>
      </c>
      <c r="D72">
        <v>49620344</v>
      </c>
      <c r="E72">
        <v>1</v>
      </c>
      <c r="F72">
        <v>1</v>
      </c>
      <c r="G72">
        <v>1</v>
      </c>
      <c r="H72">
        <v>2</v>
      </c>
      <c r="I72" t="s">
        <v>352</v>
      </c>
      <c r="J72" t="s">
        <v>353</v>
      </c>
      <c r="K72" t="s">
        <v>354</v>
      </c>
      <c r="L72">
        <v>1368</v>
      </c>
      <c r="N72">
        <v>1011</v>
      </c>
      <c r="O72" t="s">
        <v>317</v>
      </c>
      <c r="P72" t="s">
        <v>317</v>
      </c>
      <c r="Q72">
        <v>1</v>
      </c>
      <c r="W72">
        <v>0</v>
      </c>
      <c r="X72">
        <v>30216853</v>
      </c>
      <c r="Y72">
        <v>0.0625</v>
      </c>
      <c r="AA72">
        <v>0</v>
      </c>
      <c r="AB72">
        <v>115.4</v>
      </c>
      <c r="AC72">
        <v>13.5</v>
      </c>
      <c r="AD72">
        <v>0</v>
      </c>
      <c r="AE72">
        <v>0</v>
      </c>
      <c r="AF72">
        <v>115.4</v>
      </c>
      <c r="AG72">
        <v>13.5</v>
      </c>
      <c r="AH72">
        <v>0</v>
      </c>
      <c r="AI72">
        <v>1</v>
      </c>
      <c r="AJ72">
        <v>1</v>
      </c>
      <c r="AK72">
        <v>1</v>
      </c>
      <c r="AL72">
        <v>1</v>
      </c>
      <c r="AN72">
        <v>0</v>
      </c>
      <c r="AO72">
        <v>1</v>
      </c>
      <c r="AP72">
        <v>1</v>
      </c>
      <c r="AQ72">
        <v>0</v>
      </c>
      <c r="AR72">
        <v>0</v>
      </c>
      <c r="AT72">
        <v>0.05</v>
      </c>
      <c r="AU72" t="s">
        <v>115</v>
      </c>
      <c r="AV72">
        <v>0</v>
      </c>
      <c r="AW72">
        <v>2</v>
      </c>
      <c r="AX72">
        <v>55096510</v>
      </c>
      <c r="AY72">
        <v>1</v>
      </c>
      <c r="AZ72">
        <v>0</v>
      </c>
      <c r="BA72">
        <v>72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Y72*Source!I93</f>
        <v>1.325</v>
      </c>
      <c r="CY72">
        <f>AB72</f>
        <v>115.4</v>
      </c>
      <c r="CZ72">
        <f>AF72</f>
        <v>115.4</v>
      </c>
      <c r="DA72">
        <f>AJ72</f>
        <v>1</v>
      </c>
      <c r="DB72">
        <f>ROUND((ROUND(AT72*CZ72,2)*ROUND(1.25,7)),2)</f>
        <v>7.21</v>
      </c>
      <c r="DC72">
        <f>ROUND((ROUND(AT72*AG72,2)*ROUND(1.25,7)),2)</f>
        <v>0.85</v>
      </c>
    </row>
    <row r="73" spans="1:107" ht="12.75">
      <c r="A73">
        <f>ROW(Source!A93)</f>
        <v>93</v>
      </c>
      <c r="B73">
        <v>55110074</v>
      </c>
      <c r="C73">
        <v>55096506</v>
      </c>
      <c r="D73">
        <v>49621268</v>
      </c>
      <c r="E73">
        <v>1</v>
      </c>
      <c r="F73">
        <v>1</v>
      </c>
      <c r="G73">
        <v>1</v>
      </c>
      <c r="H73">
        <v>2</v>
      </c>
      <c r="I73" t="s">
        <v>345</v>
      </c>
      <c r="J73" t="s">
        <v>346</v>
      </c>
      <c r="K73" t="s">
        <v>347</v>
      </c>
      <c r="L73">
        <v>1368</v>
      </c>
      <c r="N73">
        <v>1011</v>
      </c>
      <c r="O73" t="s">
        <v>317</v>
      </c>
      <c r="P73" t="s">
        <v>317</v>
      </c>
      <c r="Q73">
        <v>1</v>
      </c>
      <c r="W73">
        <v>0</v>
      </c>
      <c r="X73">
        <v>1862470278</v>
      </c>
      <c r="Y73">
        <v>0.11249999999999999</v>
      </c>
      <c r="AA73">
        <v>0</v>
      </c>
      <c r="AB73">
        <v>65.71</v>
      </c>
      <c r="AC73">
        <v>11.6</v>
      </c>
      <c r="AD73">
        <v>0</v>
      </c>
      <c r="AE73">
        <v>0</v>
      </c>
      <c r="AF73">
        <v>65.71</v>
      </c>
      <c r="AG73">
        <v>11.6</v>
      </c>
      <c r="AH73">
        <v>0</v>
      </c>
      <c r="AI73">
        <v>1</v>
      </c>
      <c r="AJ73">
        <v>1</v>
      </c>
      <c r="AK73">
        <v>1</v>
      </c>
      <c r="AL73">
        <v>1</v>
      </c>
      <c r="AN73">
        <v>0</v>
      </c>
      <c r="AO73">
        <v>1</v>
      </c>
      <c r="AP73">
        <v>1</v>
      </c>
      <c r="AQ73">
        <v>0</v>
      </c>
      <c r="AR73">
        <v>0</v>
      </c>
      <c r="AT73">
        <v>0.09</v>
      </c>
      <c r="AU73" t="s">
        <v>115</v>
      </c>
      <c r="AV73">
        <v>0</v>
      </c>
      <c r="AW73">
        <v>2</v>
      </c>
      <c r="AX73">
        <v>55096511</v>
      </c>
      <c r="AY73">
        <v>1</v>
      </c>
      <c r="AZ73">
        <v>0</v>
      </c>
      <c r="BA73">
        <v>73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Y73*Source!I93</f>
        <v>2.385</v>
      </c>
      <c r="CY73">
        <f>AB73</f>
        <v>65.71</v>
      </c>
      <c r="CZ73">
        <f>AF73</f>
        <v>65.71</v>
      </c>
      <c r="DA73">
        <f>AJ73</f>
        <v>1</v>
      </c>
      <c r="DB73">
        <f>ROUND((ROUND(AT73*CZ73,2)*ROUND(1.25,7)),2)</f>
        <v>7.39</v>
      </c>
      <c r="DC73">
        <f>ROUND((ROUND(AT73*AG73,2)*ROUND(1.25,7)),2)</f>
        <v>1.3</v>
      </c>
    </row>
    <row r="74" spans="1:107" ht="12.75">
      <c r="A74">
        <f>ROW(Source!A93)</f>
        <v>93</v>
      </c>
      <c r="B74">
        <v>55110074</v>
      </c>
      <c r="C74">
        <v>55096506</v>
      </c>
      <c r="D74">
        <v>49470012</v>
      </c>
      <c r="E74">
        <v>1</v>
      </c>
      <c r="F74">
        <v>1</v>
      </c>
      <c r="G74">
        <v>1</v>
      </c>
      <c r="H74">
        <v>3</v>
      </c>
      <c r="I74" t="s">
        <v>355</v>
      </c>
      <c r="J74" t="s">
        <v>356</v>
      </c>
      <c r="K74" t="s">
        <v>357</v>
      </c>
      <c r="L74">
        <v>1346</v>
      </c>
      <c r="N74">
        <v>1009</v>
      </c>
      <c r="O74" t="s">
        <v>205</v>
      </c>
      <c r="P74" t="s">
        <v>205</v>
      </c>
      <c r="Q74">
        <v>1</v>
      </c>
      <c r="W74">
        <v>0</v>
      </c>
      <c r="X74">
        <v>795665641</v>
      </c>
      <c r="Y74">
        <v>29.94</v>
      </c>
      <c r="AA74">
        <v>6.09</v>
      </c>
      <c r="AB74">
        <v>0</v>
      </c>
      <c r="AC74">
        <v>0</v>
      </c>
      <c r="AD74">
        <v>0</v>
      </c>
      <c r="AE74">
        <v>6.09</v>
      </c>
      <c r="AF74">
        <v>0</v>
      </c>
      <c r="AG74">
        <v>0</v>
      </c>
      <c r="AH74">
        <v>0</v>
      </c>
      <c r="AI74">
        <v>1</v>
      </c>
      <c r="AJ74">
        <v>1</v>
      </c>
      <c r="AK74">
        <v>1</v>
      </c>
      <c r="AL74">
        <v>1</v>
      </c>
      <c r="AN74">
        <v>0</v>
      </c>
      <c r="AO74">
        <v>1</v>
      </c>
      <c r="AP74">
        <v>0</v>
      </c>
      <c r="AQ74">
        <v>0</v>
      </c>
      <c r="AR74">
        <v>0</v>
      </c>
      <c r="AT74">
        <v>29.94</v>
      </c>
      <c r="AV74">
        <v>0</v>
      </c>
      <c r="AW74">
        <v>2</v>
      </c>
      <c r="AX74">
        <v>55096512</v>
      </c>
      <c r="AY74">
        <v>1</v>
      </c>
      <c r="AZ74">
        <v>0</v>
      </c>
      <c r="BA74">
        <v>74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Y74*Source!I93</f>
        <v>634.728</v>
      </c>
      <c r="CY74">
        <f>AA74</f>
        <v>6.09</v>
      </c>
      <c r="CZ74">
        <f>AE74</f>
        <v>6.09</v>
      </c>
      <c r="DA74">
        <f>AI74</f>
        <v>1</v>
      </c>
      <c r="DB74">
        <f>ROUND(ROUND(AT74*CZ74,2),2)</f>
        <v>182.33</v>
      </c>
      <c r="DC74">
        <f>ROUND(ROUND(AT74*AG74,2),2)</f>
        <v>0</v>
      </c>
    </row>
    <row r="75" spans="1:107" ht="12.75">
      <c r="A75">
        <f>ROW(Source!A93)</f>
        <v>93</v>
      </c>
      <c r="B75">
        <v>55110074</v>
      </c>
      <c r="C75">
        <v>55096506</v>
      </c>
      <c r="D75">
        <v>53668685</v>
      </c>
      <c r="E75">
        <v>1</v>
      </c>
      <c r="F75">
        <v>1</v>
      </c>
      <c r="G75">
        <v>1</v>
      </c>
      <c r="H75">
        <v>3</v>
      </c>
      <c r="I75" t="s">
        <v>171</v>
      </c>
      <c r="J75" t="s">
        <v>174</v>
      </c>
      <c r="K75" t="s">
        <v>172</v>
      </c>
      <c r="L75">
        <v>1327</v>
      </c>
      <c r="N75">
        <v>1005</v>
      </c>
      <c r="O75" t="s">
        <v>173</v>
      </c>
      <c r="P75" t="s">
        <v>173</v>
      </c>
      <c r="Q75">
        <v>1</v>
      </c>
      <c r="W75">
        <v>0</v>
      </c>
      <c r="X75">
        <v>1276428827</v>
      </c>
      <c r="Y75">
        <v>114</v>
      </c>
      <c r="AA75">
        <v>27.73</v>
      </c>
      <c r="AB75">
        <v>0</v>
      </c>
      <c r="AC75">
        <v>0</v>
      </c>
      <c r="AD75">
        <v>0</v>
      </c>
      <c r="AE75">
        <v>27.73</v>
      </c>
      <c r="AF75">
        <v>0</v>
      </c>
      <c r="AG75">
        <v>0</v>
      </c>
      <c r="AH75">
        <v>0</v>
      </c>
      <c r="AI75">
        <v>1</v>
      </c>
      <c r="AJ75">
        <v>1</v>
      </c>
      <c r="AK75">
        <v>1</v>
      </c>
      <c r="AL75">
        <v>1</v>
      </c>
      <c r="AN75">
        <v>0</v>
      </c>
      <c r="AO75">
        <v>0</v>
      </c>
      <c r="AP75">
        <v>0</v>
      </c>
      <c r="AQ75">
        <v>0</v>
      </c>
      <c r="AR75">
        <v>0</v>
      </c>
      <c r="AT75">
        <v>114</v>
      </c>
      <c r="AV75">
        <v>0</v>
      </c>
      <c r="AW75">
        <v>1</v>
      </c>
      <c r="AX75">
        <v>-1</v>
      </c>
      <c r="AY75">
        <v>0</v>
      </c>
      <c r="AZ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Y75*Source!I93</f>
        <v>2416.7999999999997</v>
      </c>
      <c r="CY75">
        <f>AA75</f>
        <v>27.73</v>
      </c>
      <c r="CZ75">
        <f>AE75</f>
        <v>27.73</v>
      </c>
      <c r="DA75">
        <f>AI75</f>
        <v>1</v>
      </c>
      <c r="DB75">
        <f>ROUND(ROUND(AT75*CZ75,2),2)</f>
        <v>3161.22</v>
      </c>
      <c r="DC75">
        <f>ROUND(ROUND(AT75*AG75,2),2)</f>
        <v>0</v>
      </c>
    </row>
    <row r="76" spans="1:107" ht="12.75">
      <c r="A76">
        <f>ROW(Source!A93)</f>
        <v>93</v>
      </c>
      <c r="B76">
        <v>55110074</v>
      </c>
      <c r="C76">
        <v>55096506</v>
      </c>
      <c r="D76">
        <v>53668689</v>
      </c>
      <c r="E76">
        <v>1</v>
      </c>
      <c r="F76">
        <v>1</v>
      </c>
      <c r="G76">
        <v>1</v>
      </c>
      <c r="H76">
        <v>3</v>
      </c>
      <c r="I76" t="s">
        <v>176</v>
      </c>
      <c r="J76" t="s">
        <v>178</v>
      </c>
      <c r="K76" t="s">
        <v>177</v>
      </c>
      <c r="L76">
        <v>1327</v>
      </c>
      <c r="N76">
        <v>1005</v>
      </c>
      <c r="O76" t="s">
        <v>173</v>
      </c>
      <c r="P76" t="s">
        <v>173</v>
      </c>
      <c r="Q76">
        <v>1</v>
      </c>
      <c r="W76">
        <v>0</v>
      </c>
      <c r="X76">
        <v>-583407189</v>
      </c>
      <c r="Y76">
        <v>116</v>
      </c>
      <c r="AA76">
        <v>19.75</v>
      </c>
      <c r="AB76">
        <v>0</v>
      </c>
      <c r="AC76">
        <v>0</v>
      </c>
      <c r="AD76">
        <v>0</v>
      </c>
      <c r="AE76">
        <v>19.75</v>
      </c>
      <c r="AF76">
        <v>0</v>
      </c>
      <c r="AG76">
        <v>0</v>
      </c>
      <c r="AH76">
        <v>0</v>
      </c>
      <c r="AI76">
        <v>1</v>
      </c>
      <c r="AJ76">
        <v>1</v>
      </c>
      <c r="AK76">
        <v>1</v>
      </c>
      <c r="AL76">
        <v>1</v>
      </c>
      <c r="AN76">
        <v>0</v>
      </c>
      <c r="AO76">
        <v>0</v>
      </c>
      <c r="AP76">
        <v>0</v>
      </c>
      <c r="AQ76">
        <v>0</v>
      </c>
      <c r="AR76">
        <v>0</v>
      </c>
      <c r="AT76">
        <v>116</v>
      </c>
      <c r="AV76">
        <v>0</v>
      </c>
      <c r="AW76">
        <v>1</v>
      </c>
      <c r="AX76">
        <v>-1</v>
      </c>
      <c r="AY76">
        <v>0</v>
      </c>
      <c r="AZ76">
        <v>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Y76*Source!I93</f>
        <v>2459.2</v>
      </c>
      <c r="CY76">
        <f>AA76</f>
        <v>19.75</v>
      </c>
      <c r="CZ76">
        <f>AE76</f>
        <v>19.75</v>
      </c>
      <c r="DA76">
        <f>AI76</f>
        <v>1</v>
      </c>
      <c r="DB76">
        <f>ROUND(ROUND(AT76*CZ76,2),2)</f>
        <v>2291</v>
      </c>
      <c r="DC76">
        <f>ROUND(ROUND(AT76*AG76,2),2)</f>
        <v>0</v>
      </c>
    </row>
    <row r="77" spans="1:107" ht="12.75">
      <c r="A77">
        <f>ROW(Source!A94)</f>
        <v>94</v>
      </c>
      <c r="B77">
        <v>55110083</v>
      </c>
      <c r="C77">
        <v>55096506</v>
      </c>
      <c r="D77">
        <v>49459419</v>
      </c>
      <c r="E77">
        <v>58</v>
      </c>
      <c r="F77">
        <v>1</v>
      </c>
      <c r="G77">
        <v>1</v>
      </c>
      <c r="H77">
        <v>1</v>
      </c>
      <c r="I77" t="s">
        <v>350</v>
      </c>
      <c r="K77" t="s">
        <v>351</v>
      </c>
      <c r="L77">
        <v>1191</v>
      </c>
      <c r="N77">
        <v>1013</v>
      </c>
      <c r="O77" t="s">
        <v>311</v>
      </c>
      <c r="P77" t="s">
        <v>311</v>
      </c>
      <c r="Q77">
        <v>1</v>
      </c>
      <c r="W77">
        <v>0</v>
      </c>
      <c r="X77">
        <v>-1081351934</v>
      </c>
      <c r="Y77">
        <v>16.514</v>
      </c>
      <c r="AA77">
        <v>0</v>
      </c>
      <c r="AB77">
        <v>0</v>
      </c>
      <c r="AC77">
        <v>0</v>
      </c>
      <c r="AD77">
        <v>9.4</v>
      </c>
      <c r="AE77">
        <v>0</v>
      </c>
      <c r="AF77">
        <v>0</v>
      </c>
      <c r="AG77">
        <v>0</v>
      </c>
      <c r="AH77">
        <v>9.4</v>
      </c>
      <c r="AI77">
        <v>1</v>
      </c>
      <c r="AJ77">
        <v>1</v>
      </c>
      <c r="AK77">
        <v>1</v>
      </c>
      <c r="AL77">
        <v>1</v>
      </c>
      <c r="AN77">
        <v>0</v>
      </c>
      <c r="AO77">
        <v>1</v>
      </c>
      <c r="AP77">
        <v>1</v>
      </c>
      <c r="AQ77">
        <v>0</v>
      </c>
      <c r="AR77">
        <v>0</v>
      </c>
      <c r="AT77">
        <v>14.36</v>
      </c>
      <c r="AU77" t="s">
        <v>116</v>
      </c>
      <c r="AV77">
        <v>1</v>
      </c>
      <c r="AW77">
        <v>2</v>
      </c>
      <c r="AX77">
        <v>55096507</v>
      </c>
      <c r="AY77">
        <v>1</v>
      </c>
      <c r="AZ77">
        <v>0</v>
      </c>
      <c r="BA77">
        <v>77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Y77*Source!I94</f>
        <v>350.0968</v>
      </c>
      <c r="CY77">
        <f>AD77</f>
        <v>9.4</v>
      </c>
      <c r="CZ77">
        <f>AH77</f>
        <v>9.4</v>
      </c>
      <c r="DA77">
        <f>AL77</f>
        <v>1</v>
      </c>
      <c r="DB77">
        <f>ROUND((ROUND(AT77*CZ77,2)*ROUND(1.15,7)),2)</f>
        <v>155.23</v>
      </c>
      <c r="DC77">
        <f>ROUND((ROUND(AT77*AG77,2)*ROUND(1.15,7)),2)</f>
        <v>0</v>
      </c>
    </row>
    <row r="78" spans="1:107" ht="12.75">
      <c r="A78">
        <f>ROW(Source!A94)</f>
        <v>94</v>
      </c>
      <c r="B78">
        <v>55110083</v>
      </c>
      <c r="C78">
        <v>55096506</v>
      </c>
      <c r="D78">
        <v>49459566</v>
      </c>
      <c r="E78">
        <v>58</v>
      </c>
      <c r="F78">
        <v>1</v>
      </c>
      <c r="G78">
        <v>1</v>
      </c>
      <c r="H78">
        <v>1</v>
      </c>
      <c r="I78" t="s">
        <v>330</v>
      </c>
      <c r="K78" t="s">
        <v>321</v>
      </c>
      <c r="L78">
        <v>1191</v>
      </c>
      <c r="N78">
        <v>1013</v>
      </c>
      <c r="O78" t="s">
        <v>311</v>
      </c>
      <c r="P78" t="s">
        <v>311</v>
      </c>
      <c r="Q78">
        <v>1</v>
      </c>
      <c r="W78">
        <v>0</v>
      </c>
      <c r="X78">
        <v>-1173606021</v>
      </c>
      <c r="Y78">
        <v>0.3625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1</v>
      </c>
      <c r="AJ78">
        <v>1</v>
      </c>
      <c r="AK78">
        <v>1</v>
      </c>
      <c r="AL78">
        <v>1</v>
      </c>
      <c r="AN78">
        <v>0</v>
      </c>
      <c r="AO78">
        <v>1</v>
      </c>
      <c r="AP78">
        <v>1</v>
      </c>
      <c r="AQ78">
        <v>0</v>
      </c>
      <c r="AR78">
        <v>0</v>
      </c>
      <c r="AT78">
        <v>0.29</v>
      </c>
      <c r="AU78" t="s">
        <v>115</v>
      </c>
      <c r="AV78">
        <v>2</v>
      </c>
      <c r="AW78">
        <v>2</v>
      </c>
      <c r="AX78">
        <v>55096508</v>
      </c>
      <c r="AY78">
        <v>1</v>
      </c>
      <c r="AZ78">
        <v>0</v>
      </c>
      <c r="BA78">
        <v>78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Y78*Source!I94</f>
        <v>7.685</v>
      </c>
      <c r="CY78">
        <f>AD78</f>
        <v>0</v>
      </c>
      <c r="CZ78">
        <f>AH78</f>
        <v>0</v>
      </c>
      <c r="DA78">
        <f>AL78</f>
        <v>1</v>
      </c>
      <c r="DB78">
        <f>ROUND((ROUND(AT78*CZ78,2)*ROUND(1.25,7)),2)</f>
        <v>0</v>
      </c>
      <c r="DC78">
        <f>ROUND((ROUND(AT78*AG78,2)*ROUND(1.25,7)),2)</f>
        <v>0</v>
      </c>
    </row>
    <row r="79" spans="1:107" ht="12.75">
      <c r="A79">
        <f>ROW(Source!A94)</f>
        <v>94</v>
      </c>
      <c r="B79">
        <v>55110083</v>
      </c>
      <c r="C79">
        <v>55096506</v>
      </c>
      <c r="D79">
        <v>49620286</v>
      </c>
      <c r="E79">
        <v>1</v>
      </c>
      <c r="F79">
        <v>1</v>
      </c>
      <c r="G79">
        <v>1</v>
      </c>
      <c r="H79">
        <v>2</v>
      </c>
      <c r="I79" t="s">
        <v>331</v>
      </c>
      <c r="J79" t="s">
        <v>332</v>
      </c>
      <c r="K79" t="s">
        <v>333</v>
      </c>
      <c r="L79">
        <v>1368</v>
      </c>
      <c r="N79">
        <v>1011</v>
      </c>
      <c r="O79" t="s">
        <v>317</v>
      </c>
      <c r="P79" t="s">
        <v>317</v>
      </c>
      <c r="Q79">
        <v>1</v>
      </c>
      <c r="W79">
        <v>0</v>
      </c>
      <c r="X79">
        <v>-1554407757</v>
      </c>
      <c r="Y79">
        <v>0.1875</v>
      </c>
      <c r="AA79">
        <v>0</v>
      </c>
      <c r="AB79">
        <v>888.19</v>
      </c>
      <c r="AC79">
        <v>486.41</v>
      </c>
      <c r="AD79">
        <v>0</v>
      </c>
      <c r="AE79">
        <v>0</v>
      </c>
      <c r="AF79">
        <v>86.4</v>
      </c>
      <c r="AG79">
        <v>13.5</v>
      </c>
      <c r="AH79">
        <v>0</v>
      </c>
      <c r="AI79">
        <v>1</v>
      </c>
      <c r="AJ79">
        <v>10.28</v>
      </c>
      <c r="AK79">
        <v>36.03</v>
      </c>
      <c r="AL79">
        <v>1</v>
      </c>
      <c r="AN79">
        <v>0</v>
      </c>
      <c r="AO79">
        <v>1</v>
      </c>
      <c r="AP79">
        <v>1</v>
      </c>
      <c r="AQ79">
        <v>0</v>
      </c>
      <c r="AR79">
        <v>0</v>
      </c>
      <c r="AT79">
        <v>0.15</v>
      </c>
      <c r="AU79" t="s">
        <v>115</v>
      </c>
      <c r="AV79">
        <v>0</v>
      </c>
      <c r="AW79">
        <v>2</v>
      </c>
      <c r="AX79">
        <v>55096509</v>
      </c>
      <c r="AY79">
        <v>1</v>
      </c>
      <c r="AZ79">
        <v>0</v>
      </c>
      <c r="BA79">
        <v>79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X79">
        <f>Y79*Source!I94</f>
        <v>3.9749999999999996</v>
      </c>
      <c r="CY79">
        <f>AB79</f>
        <v>888.19</v>
      </c>
      <c r="CZ79">
        <f>AF79</f>
        <v>86.4</v>
      </c>
      <c r="DA79">
        <f>AJ79</f>
        <v>10.28</v>
      </c>
      <c r="DB79">
        <f>ROUND((ROUND(AT79*CZ79,2)*ROUND(1.25,7)),2)</f>
        <v>16.2</v>
      </c>
      <c r="DC79">
        <f>ROUND((ROUND(AT79*AG79,2)*ROUND(1.25,7)),2)</f>
        <v>2.54</v>
      </c>
    </row>
    <row r="80" spans="1:107" ht="12.75">
      <c r="A80">
        <f>ROW(Source!A94)</f>
        <v>94</v>
      </c>
      <c r="B80">
        <v>55110083</v>
      </c>
      <c r="C80">
        <v>55096506</v>
      </c>
      <c r="D80">
        <v>49620344</v>
      </c>
      <c r="E80">
        <v>1</v>
      </c>
      <c r="F80">
        <v>1</v>
      </c>
      <c r="G80">
        <v>1</v>
      </c>
      <c r="H80">
        <v>2</v>
      </c>
      <c r="I80" t="s">
        <v>352</v>
      </c>
      <c r="J80" t="s">
        <v>353</v>
      </c>
      <c r="K80" t="s">
        <v>354</v>
      </c>
      <c r="L80">
        <v>1368</v>
      </c>
      <c r="N80">
        <v>1011</v>
      </c>
      <c r="O80" t="s">
        <v>317</v>
      </c>
      <c r="P80" t="s">
        <v>317</v>
      </c>
      <c r="Q80">
        <v>1</v>
      </c>
      <c r="W80">
        <v>0</v>
      </c>
      <c r="X80">
        <v>30216853</v>
      </c>
      <c r="Y80">
        <v>0.0625</v>
      </c>
      <c r="AA80">
        <v>0</v>
      </c>
      <c r="AB80">
        <v>1237.09</v>
      </c>
      <c r="AC80">
        <v>486.41</v>
      </c>
      <c r="AD80">
        <v>0</v>
      </c>
      <c r="AE80">
        <v>0</v>
      </c>
      <c r="AF80">
        <v>115.4</v>
      </c>
      <c r="AG80">
        <v>13.5</v>
      </c>
      <c r="AH80">
        <v>0</v>
      </c>
      <c r="AI80">
        <v>1</v>
      </c>
      <c r="AJ80">
        <v>10.72</v>
      </c>
      <c r="AK80">
        <v>36.03</v>
      </c>
      <c r="AL80">
        <v>1</v>
      </c>
      <c r="AN80">
        <v>0</v>
      </c>
      <c r="AO80">
        <v>1</v>
      </c>
      <c r="AP80">
        <v>1</v>
      </c>
      <c r="AQ80">
        <v>0</v>
      </c>
      <c r="AR80">
        <v>0</v>
      </c>
      <c r="AT80">
        <v>0.05</v>
      </c>
      <c r="AU80" t="s">
        <v>115</v>
      </c>
      <c r="AV80">
        <v>0</v>
      </c>
      <c r="AW80">
        <v>2</v>
      </c>
      <c r="AX80">
        <v>55096510</v>
      </c>
      <c r="AY80">
        <v>1</v>
      </c>
      <c r="AZ80">
        <v>0</v>
      </c>
      <c r="BA80">
        <v>80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X80">
        <f>Y80*Source!I94</f>
        <v>1.325</v>
      </c>
      <c r="CY80">
        <f>AB80</f>
        <v>1237.09</v>
      </c>
      <c r="CZ80">
        <f>AF80</f>
        <v>115.4</v>
      </c>
      <c r="DA80">
        <f>AJ80</f>
        <v>10.72</v>
      </c>
      <c r="DB80">
        <f>ROUND((ROUND(AT80*CZ80,2)*ROUND(1.25,7)),2)</f>
        <v>7.21</v>
      </c>
      <c r="DC80">
        <f>ROUND((ROUND(AT80*AG80,2)*ROUND(1.25,7)),2)</f>
        <v>0.85</v>
      </c>
    </row>
    <row r="81" spans="1:107" ht="12.75">
      <c r="A81">
        <f>ROW(Source!A94)</f>
        <v>94</v>
      </c>
      <c r="B81">
        <v>55110083</v>
      </c>
      <c r="C81">
        <v>55096506</v>
      </c>
      <c r="D81">
        <v>49621268</v>
      </c>
      <c r="E81">
        <v>1</v>
      </c>
      <c r="F81">
        <v>1</v>
      </c>
      <c r="G81">
        <v>1</v>
      </c>
      <c r="H81">
        <v>2</v>
      </c>
      <c r="I81" t="s">
        <v>345</v>
      </c>
      <c r="J81" t="s">
        <v>346</v>
      </c>
      <c r="K81" t="s">
        <v>347</v>
      </c>
      <c r="L81">
        <v>1368</v>
      </c>
      <c r="N81">
        <v>1011</v>
      </c>
      <c r="O81" t="s">
        <v>317</v>
      </c>
      <c r="P81" t="s">
        <v>317</v>
      </c>
      <c r="Q81">
        <v>1</v>
      </c>
      <c r="W81">
        <v>0</v>
      </c>
      <c r="X81">
        <v>1862470278</v>
      </c>
      <c r="Y81">
        <v>0.11249999999999999</v>
      </c>
      <c r="AA81">
        <v>0</v>
      </c>
      <c r="AB81">
        <v>778.66</v>
      </c>
      <c r="AC81">
        <v>417.95</v>
      </c>
      <c r="AD81">
        <v>0</v>
      </c>
      <c r="AE81">
        <v>0</v>
      </c>
      <c r="AF81">
        <v>65.71</v>
      </c>
      <c r="AG81">
        <v>11.6</v>
      </c>
      <c r="AH81">
        <v>0</v>
      </c>
      <c r="AI81">
        <v>1</v>
      </c>
      <c r="AJ81">
        <v>11.85</v>
      </c>
      <c r="AK81">
        <v>36.03</v>
      </c>
      <c r="AL81">
        <v>1</v>
      </c>
      <c r="AN81">
        <v>0</v>
      </c>
      <c r="AO81">
        <v>1</v>
      </c>
      <c r="AP81">
        <v>1</v>
      </c>
      <c r="AQ81">
        <v>0</v>
      </c>
      <c r="AR81">
        <v>0</v>
      </c>
      <c r="AT81">
        <v>0.09</v>
      </c>
      <c r="AU81" t="s">
        <v>115</v>
      </c>
      <c r="AV81">
        <v>0</v>
      </c>
      <c r="AW81">
        <v>2</v>
      </c>
      <c r="AX81">
        <v>55096511</v>
      </c>
      <c r="AY81">
        <v>1</v>
      </c>
      <c r="AZ81">
        <v>0</v>
      </c>
      <c r="BA81">
        <v>81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CX81">
        <f>Y81*Source!I94</f>
        <v>2.385</v>
      </c>
      <c r="CY81">
        <f>AB81</f>
        <v>778.66</v>
      </c>
      <c r="CZ81">
        <f>AF81</f>
        <v>65.71</v>
      </c>
      <c r="DA81">
        <f>AJ81</f>
        <v>11.85</v>
      </c>
      <c r="DB81">
        <f>ROUND((ROUND(AT81*CZ81,2)*ROUND(1.25,7)),2)</f>
        <v>7.39</v>
      </c>
      <c r="DC81">
        <f>ROUND((ROUND(AT81*AG81,2)*ROUND(1.25,7)),2)</f>
        <v>1.3</v>
      </c>
    </row>
    <row r="82" spans="1:107" ht="12.75">
      <c r="A82">
        <f>ROW(Source!A94)</f>
        <v>94</v>
      </c>
      <c r="B82">
        <v>55110083</v>
      </c>
      <c r="C82">
        <v>55096506</v>
      </c>
      <c r="D82">
        <v>49470012</v>
      </c>
      <c r="E82">
        <v>1</v>
      </c>
      <c r="F82">
        <v>1</v>
      </c>
      <c r="G82">
        <v>1</v>
      </c>
      <c r="H82">
        <v>3</v>
      </c>
      <c r="I82" t="s">
        <v>355</v>
      </c>
      <c r="J82" t="s">
        <v>356</v>
      </c>
      <c r="K82" t="s">
        <v>357</v>
      </c>
      <c r="L82">
        <v>1346</v>
      </c>
      <c r="N82">
        <v>1009</v>
      </c>
      <c r="O82" t="s">
        <v>205</v>
      </c>
      <c r="P82" t="s">
        <v>205</v>
      </c>
      <c r="Q82">
        <v>1</v>
      </c>
      <c r="W82">
        <v>0</v>
      </c>
      <c r="X82">
        <v>795665641</v>
      </c>
      <c r="Y82">
        <v>29.94</v>
      </c>
      <c r="AA82">
        <v>51.64</v>
      </c>
      <c r="AB82">
        <v>0</v>
      </c>
      <c r="AC82">
        <v>0</v>
      </c>
      <c r="AD82">
        <v>0</v>
      </c>
      <c r="AE82">
        <v>6.09</v>
      </c>
      <c r="AF82">
        <v>0</v>
      </c>
      <c r="AG82">
        <v>0</v>
      </c>
      <c r="AH82">
        <v>0</v>
      </c>
      <c r="AI82">
        <v>8.48</v>
      </c>
      <c r="AJ82">
        <v>1</v>
      </c>
      <c r="AK82">
        <v>1</v>
      </c>
      <c r="AL82">
        <v>1</v>
      </c>
      <c r="AN82">
        <v>0</v>
      </c>
      <c r="AO82">
        <v>1</v>
      </c>
      <c r="AP82">
        <v>0</v>
      </c>
      <c r="AQ82">
        <v>0</v>
      </c>
      <c r="AR82">
        <v>0</v>
      </c>
      <c r="AT82">
        <v>29.94</v>
      </c>
      <c r="AV82">
        <v>0</v>
      </c>
      <c r="AW82">
        <v>2</v>
      </c>
      <c r="AX82">
        <v>55096512</v>
      </c>
      <c r="AY82">
        <v>1</v>
      </c>
      <c r="AZ82">
        <v>0</v>
      </c>
      <c r="BA82">
        <v>82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CX82">
        <f>Y82*Source!I94</f>
        <v>634.728</v>
      </c>
      <c r="CY82">
        <f>AA82</f>
        <v>51.64</v>
      </c>
      <c r="CZ82">
        <f>AE82</f>
        <v>6.09</v>
      </c>
      <c r="DA82">
        <f>AI82</f>
        <v>8.48</v>
      </c>
      <c r="DB82">
        <f>ROUND(ROUND(AT82*CZ82,2),2)</f>
        <v>182.33</v>
      </c>
      <c r="DC82">
        <f>ROUND(ROUND(AT82*AG82,2),2)</f>
        <v>0</v>
      </c>
    </row>
    <row r="83" spans="1:107" ht="12.75">
      <c r="A83">
        <f>ROW(Source!A94)</f>
        <v>94</v>
      </c>
      <c r="B83">
        <v>55110083</v>
      </c>
      <c r="C83">
        <v>55096506</v>
      </c>
      <c r="D83">
        <v>53668685</v>
      </c>
      <c r="E83">
        <v>1</v>
      </c>
      <c r="F83">
        <v>1</v>
      </c>
      <c r="G83">
        <v>1</v>
      </c>
      <c r="H83">
        <v>3</v>
      </c>
      <c r="I83" t="s">
        <v>171</v>
      </c>
      <c r="J83" t="s">
        <v>174</v>
      </c>
      <c r="K83" t="s">
        <v>172</v>
      </c>
      <c r="L83">
        <v>1327</v>
      </c>
      <c r="N83">
        <v>1005</v>
      </c>
      <c r="O83" t="s">
        <v>173</v>
      </c>
      <c r="P83" t="s">
        <v>173</v>
      </c>
      <c r="Q83">
        <v>1</v>
      </c>
      <c r="W83">
        <v>0</v>
      </c>
      <c r="X83">
        <v>1276428827</v>
      </c>
      <c r="Y83">
        <v>114</v>
      </c>
      <c r="AA83">
        <v>112.03</v>
      </c>
      <c r="AB83">
        <v>0</v>
      </c>
      <c r="AC83">
        <v>0</v>
      </c>
      <c r="AD83">
        <v>0</v>
      </c>
      <c r="AE83">
        <v>27.73</v>
      </c>
      <c r="AF83">
        <v>0</v>
      </c>
      <c r="AG83">
        <v>0</v>
      </c>
      <c r="AH83">
        <v>0</v>
      </c>
      <c r="AI83">
        <v>4.04</v>
      </c>
      <c r="AJ83">
        <v>1</v>
      </c>
      <c r="AK83">
        <v>1</v>
      </c>
      <c r="AL83">
        <v>1</v>
      </c>
      <c r="AN83">
        <v>0</v>
      </c>
      <c r="AO83">
        <v>0</v>
      </c>
      <c r="AP83">
        <v>0</v>
      </c>
      <c r="AQ83">
        <v>0</v>
      </c>
      <c r="AR83">
        <v>0</v>
      </c>
      <c r="AT83">
        <v>114</v>
      </c>
      <c r="AV83">
        <v>0</v>
      </c>
      <c r="AW83">
        <v>1</v>
      </c>
      <c r="AX83">
        <v>-1</v>
      </c>
      <c r="AY83">
        <v>0</v>
      </c>
      <c r="AZ83">
        <v>0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CX83">
        <f>Y83*Source!I94</f>
        <v>2416.7999999999997</v>
      </c>
      <c r="CY83">
        <f>AA83</f>
        <v>112.03</v>
      </c>
      <c r="CZ83">
        <f>AE83</f>
        <v>27.73</v>
      </c>
      <c r="DA83">
        <f>AI83</f>
        <v>4.04</v>
      </c>
      <c r="DB83">
        <f>ROUND(ROUND(AT83*CZ83,2),2)</f>
        <v>3161.22</v>
      </c>
      <c r="DC83">
        <f>ROUND(ROUND(AT83*AG83,2),2)</f>
        <v>0</v>
      </c>
    </row>
    <row r="84" spans="1:107" ht="12.75">
      <c r="A84">
        <f>ROW(Source!A94)</f>
        <v>94</v>
      </c>
      <c r="B84">
        <v>55110083</v>
      </c>
      <c r="C84">
        <v>55096506</v>
      </c>
      <c r="D84">
        <v>53668689</v>
      </c>
      <c r="E84">
        <v>1</v>
      </c>
      <c r="F84">
        <v>1</v>
      </c>
      <c r="G84">
        <v>1</v>
      </c>
      <c r="H84">
        <v>3</v>
      </c>
      <c r="I84" t="s">
        <v>176</v>
      </c>
      <c r="J84" t="s">
        <v>178</v>
      </c>
      <c r="K84" t="s">
        <v>177</v>
      </c>
      <c r="L84">
        <v>1327</v>
      </c>
      <c r="N84">
        <v>1005</v>
      </c>
      <c r="O84" t="s">
        <v>173</v>
      </c>
      <c r="P84" t="s">
        <v>173</v>
      </c>
      <c r="Q84">
        <v>1</v>
      </c>
      <c r="W84">
        <v>0</v>
      </c>
      <c r="X84">
        <v>-583407189</v>
      </c>
      <c r="Y84">
        <v>116</v>
      </c>
      <c r="AA84">
        <v>119.09</v>
      </c>
      <c r="AB84">
        <v>0</v>
      </c>
      <c r="AC84">
        <v>0</v>
      </c>
      <c r="AD84">
        <v>0</v>
      </c>
      <c r="AE84">
        <v>19.75</v>
      </c>
      <c r="AF84">
        <v>0</v>
      </c>
      <c r="AG84">
        <v>0</v>
      </c>
      <c r="AH84">
        <v>0</v>
      </c>
      <c r="AI84">
        <v>6.03</v>
      </c>
      <c r="AJ84">
        <v>1</v>
      </c>
      <c r="AK84">
        <v>1</v>
      </c>
      <c r="AL84">
        <v>1</v>
      </c>
      <c r="AN84">
        <v>0</v>
      </c>
      <c r="AO84">
        <v>0</v>
      </c>
      <c r="AP84">
        <v>0</v>
      </c>
      <c r="AQ84">
        <v>0</v>
      </c>
      <c r="AR84">
        <v>0</v>
      </c>
      <c r="AT84">
        <v>116</v>
      </c>
      <c r="AV84">
        <v>0</v>
      </c>
      <c r="AW84">
        <v>1</v>
      </c>
      <c r="AX84">
        <v>-1</v>
      </c>
      <c r="AY84">
        <v>0</v>
      </c>
      <c r="AZ84">
        <v>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CX84">
        <f>Y84*Source!I94</f>
        <v>2459.2</v>
      </c>
      <c r="CY84">
        <f>AA84</f>
        <v>119.09</v>
      </c>
      <c r="CZ84">
        <f>AE84</f>
        <v>19.75</v>
      </c>
      <c r="DA84">
        <f>AI84</f>
        <v>6.03</v>
      </c>
      <c r="DB84">
        <f>ROUND(ROUND(AT84*CZ84,2),2)</f>
        <v>2291</v>
      </c>
      <c r="DC84">
        <f>ROUND(ROUND(AT84*AG84,2),2)</f>
        <v>0</v>
      </c>
    </row>
    <row r="85" spans="1:107" ht="12.75">
      <c r="A85">
        <f>ROW(Source!A99)</f>
        <v>99</v>
      </c>
      <c r="B85">
        <v>55110074</v>
      </c>
      <c r="C85">
        <v>55096521</v>
      </c>
      <c r="D85">
        <v>49459419</v>
      </c>
      <c r="E85">
        <v>58</v>
      </c>
      <c r="F85">
        <v>1</v>
      </c>
      <c r="G85">
        <v>1</v>
      </c>
      <c r="H85">
        <v>1</v>
      </c>
      <c r="I85" t="s">
        <v>350</v>
      </c>
      <c r="K85" t="s">
        <v>351</v>
      </c>
      <c r="L85">
        <v>1191</v>
      </c>
      <c r="N85">
        <v>1013</v>
      </c>
      <c r="O85" t="s">
        <v>311</v>
      </c>
      <c r="P85" t="s">
        <v>311</v>
      </c>
      <c r="Q85">
        <v>1</v>
      </c>
      <c r="W85">
        <v>0</v>
      </c>
      <c r="X85">
        <v>-1081351934</v>
      </c>
      <c r="Y85">
        <v>16.514</v>
      </c>
      <c r="AA85">
        <v>0</v>
      </c>
      <c r="AB85">
        <v>0</v>
      </c>
      <c r="AC85">
        <v>0</v>
      </c>
      <c r="AD85">
        <v>9.4</v>
      </c>
      <c r="AE85">
        <v>0</v>
      </c>
      <c r="AF85">
        <v>0</v>
      </c>
      <c r="AG85">
        <v>0</v>
      </c>
      <c r="AH85">
        <v>9.4</v>
      </c>
      <c r="AI85">
        <v>1</v>
      </c>
      <c r="AJ85">
        <v>1</v>
      </c>
      <c r="AK85">
        <v>1</v>
      </c>
      <c r="AL85">
        <v>1</v>
      </c>
      <c r="AN85">
        <v>0</v>
      </c>
      <c r="AO85">
        <v>1</v>
      </c>
      <c r="AP85">
        <v>1</v>
      </c>
      <c r="AQ85">
        <v>0</v>
      </c>
      <c r="AR85">
        <v>0</v>
      </c>
      <c r="AT85">
        <v>14.36</v>
      </c>
      <c r="AU85" t="s">
        <v>116</v>
      </c>
      <c r="AV85">
        <v>1</v>
      </c>
      <c r="AW85">
        <v>2</v>
      </c>
      <c r="AX85">
        <v>55096522</v>
      </c>
      <c r="AY85">
        <v>1</v>
      </c>
      <c r="AZ85">
        <v>0</v>
      </c>
      <c r="BA85">
        <v>85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CX85">
        <f>Y85*Source!I99</f>
        <v>2.64224</v>
      </c>
      <c r="CY85">
        <f>AD85</f>
        <v>9.4</v>
      </c>
      <c r="CZ85">
        <f>AH85</f>
        <v>9.4</v>
      </c>
      <c r="DA85">
        <f>AL85</f>
        <v>1</v>
      </c>
      <c r="DB85">
        <f>ROUND((ROUND(AT85*CZ85,2)*ROUND(1.15,7)),2)</f>
        <v>155.23</v>
      </c>
      <c r="DC85">
        <f>ROUND((ROUND(AT85*AG85,2)*ROUND(1.15,7)),2)</f>
        <v>0</v>
      </c>
    </row>
    <row r="86" spans="1:107" ht="12.75">
      <c r="A86">
        <f>ROW(Source!A99)</f>
        <v>99</v>
      </c>
      <c r="B86">
        <v>55110074</v>
      </c>
      <c r="C86">
        <v>55096521</v>
      </c>
      <c r="D86">
        <v>49459566</v>
      </c>
      <c r="E86">
        <v>58</v>
      </c>
      <c r="F86">
        <v>1</v>
      </c>
      <c r="G86">
        <v>1</v>
      </c>
      <c r="H86">
        <v>1</v>
      </c>
      <c r="I86" t="s">
        <v>330</v>
      </c>
      <c r="K86" t="s">
        <v>321</v>
      </c>
      <c r="L86">
        <v>1191</v>
      </c>
      <c r="N86">
        <v>1013</v>
      </c>
      <c r="O86" t="s">
        <v>311</v>
      </c>
      <c r="P86" t="s">
        <v>311</v>
      </c>
      <c r="Q86">
        <v>1</v>
      </c>
      <c r="W86">
        <v>0</v>
      </c>
      <c r="X86">
        <v>-1173606021</v>
      </c>
      <c r="Y86">
        <v>0.3625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1</v>
      </c>
      <c r="AJ86">
        <v>1</v>
      </c>
      <c r="AK86">
        <v>1</v>
      </c>
      <c r="AL86">
        <v>1</v>
      </c>
      <c r="AN86">
        <v>0</v>
      </c>
      <c r="AO86">
        <v>1</v>
      </c>
      <c r="AP86">
        <v>1</v>
      </c>
      <c r="AQ86">
        <v>0</v>
      </c>
      <c r="AR86">
        <v>0</v>
      </c>
      <c r="AT86">
        <v>0.29</v>
      </c>
      <c r="AU86" t="s">
        <v>115</v>
      </c>
      <c r="AV86">
        <v>2</v>
      </c>
      <c r="AW86">
        <v>2</v>
      </c>
      <c r="AX86">
        <v>55096523</v>
      </c>
      <c r="AY86">
        <v>1</v>
      </c>
      <c r="AZ86">
        <v>0</v>
      </c>
      <c r="BA86">
        <v>86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CX86">
        <f>Y86*Source!I99</f>
        <v>0.057999999999999996</v>
      </c>
      <c r="CY86">
        <f>AD86</f>
        <v>0</v>
      </c>
      <c r="CZ86">
        <f>AH86</f>
        <v>0</v>
      </c>
      <c r="DA86">
        <f>AL86</f>
        <v>1</v>
      </c>
      <c r="DB86">
        <f>ROUND((ROUND(AT86*CZ86,2)*ROUND(1.25,7)),2)</f>
        <v>0</v>
      </c>
      <c r="DC86">
        <f>ROUND((ROUND(AT86*AG86,2)*ROUND(1.25,7)),2)</f>
        <v>0</v>
      </c>
    </row>
    <row r="87" spans="1:107" ht="12.75">
      <c r="A87">
        <f>ROW(Source!A99)</f>
        <v>99</v>
      </c>
      <c r="B87">
        <v>55110074</v>
      </c>
      <c r="C87">
        <v>55096521</v>
      </c>
      <c r="D87">
        <v>49620286</v>
      </c>
      <c r="E87">
        <v>1</v>
      </c>
      <c r="F87">
        <v>1</v>
      </c>
      <c r="G87">
        <v>1</v>
      </c>
      <c r="H87">
        <v>2</v>
      </c>
      <c r="I87" t="s">
        <v>331</v>
      </c>
      <c r="J87" t="s">
        <v>332</v>
      </c>
      <c r="K87" t="s">
        <v>333</v>
      </c>
      <c r="L87">
        <v>1368</v>
      </c>
      <c r="N87">
        <v>1011</v>
      </c>
      <c r="O87" t="s">
        <v>317</v>
      </c>
      <c r="P87" t="s">
        <v>317</v>
      </c>
      <c r="Q87">
        <v>1</v>
      </c>
      <c r="W87">
        <v>0</v>
      </c>
      <c r="X87">
        <v>-1554407757</v>
      </c>
      <c r="Y87">
        <v>0.1875</v>
      </c>
      <c r="AA87">
        <v>0</v>
      </c>
      <c r="AB87">
        <v>86.4</v>
      </c>
      <c r="AC87">
        <v>13.5</v>
      </c>
      <c r="AD87">
        <v>0</v>
      </c>
      <c r="AE87">
        <v>0</v>
      </c>
      <c r="AF87">
        <v>86.4</v>
      </c>
      <c r="AG87">
        <v>13.5</v>
      </c>
      <c r="AH87">
        <v>0</v>
      </c>
      <c r="AI87">
        <v>1</v>
      </c>
      <c r="AJ87">
        <v>1</v>
      </c>
      <c r="AK87">
        <v>1</v>
      </c>
      <c r="AL87">
        <v>1</v>
      </c>
      <c r="AN87">
        <v>0</v>
      </c>
      <c r="AO87">
        <v>1</v>
      </c>
      <c r="AP87">
        <v>1</v>
      </c>
      <c r="AQ87">
        <v>0</v>
      </c>
      <c r="AR87">
        <v>0</v>
      </c>
      <c r="AT87">
        <v>0.15</v>
      </c>
      <c r="AU87" t="s">
        <v>115</v>
      </c>
      <c r="AV87">
        <v>0</v>
      </c>
      <c r="AW87">
        <v>2</v>
      </c>
      <c r="AX87">
        <v>55096524</v>
      </c>
      <c r="AY87">
        <v>1</v>
      </c>
      <c r="AZ87">
        <v>0</v>
      </c>
      <c r="BA87">
        <v>87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CX87">
        <f>Y87*Source!I99</f>
        <v>0.03</v>
      </c>
      <c r="CY87">
        <f>AB87</f>
        <v>86.4</v>
      </c>
      <c r="CZ87">
        <f>AF87</f>
        <v>86.4</v>
      </c>
      <c r="DA87">
        <f>AJ87</f>
        <v>1</v>
      </c>
      <c r="DB87">
        <f>ROUND((ROUND(AT87*CZ87,2)*ROUND(1.25,7)),2)</f>
        <v>16.2</v>
      </c>
      <c r="DC87">
        <f>ROUND((ROUND(AT87*AG87,2)*ROUND(1.25,7)),2)</f>
        <v>2.54</v>
      </c>
    </row>
    <row r="88" spans="1:107" ht="12.75">
      <c r="A88">
        <f>ROW(Source!A99)</f>
        <v>99</v>
      </c>
      <c r="B88">
        <v>55110074</v>
      </c>
      <c r="C88">
        <v>55096521</v>
      </c>
      <c r="D88">
        <v>49620344</v>
      </c>
      <c r="E88">
        <v>1</v>
      </c>
      <c r="F88">
        <v>1</v>
      </c>
      <c r="G88">
        <v>1</v>
      </c>
      <c r="H88">
        <v>2</v>
      </c>
      <c r="I88" t="s">
        <v>352</v>
      </c>
      <c r="J88" t="s">
        <v>353</v>
      </c>
      <c r="K88" t="s">
        <v>354</v>
      </c>
      <c r="L88">
        <v>1368</v>
      </c>
      <c r="N88">
        <v>1011</v>
      </c>
      <c r="O88" t="s">
        <v>317</v>
      </c>
      <c r="P88" t="s">
        <v>317</v>
      </c>
      <c r="Q88">
        <v>1</v>
      </c>
      <c r="W88">
        <v>0</v>
      </c>
      <c r="X88">
        <v>30216853</v>
      </c>
      <c r="Y88">
        <v>0.0625</v>
      </c>
      <c r="AA88">
        <v>0</v>
      </c>
      <c r="AB88">
        <v>115.4</v>
      </c>
      <c r="AC88">
        <v>13.5</v>
      </c>
      <c r="AD88">
        <v>0</v>
      </c>
      <c r="AE88">
        <v>0</v>
      </c>
      <c r="AF88">
        <v>115.4</v>
      </c>
      <c r="AG88">
        <v>13.5</v>
      </c>
      <c r="AH88">
        <v>0</v>
      </c>
      <c r="AI88">
        <v>1</v>
      </c>
      <c r="AJ88">
        <v>1</v>
      </c>
      <c r="AK88">
        <v>1</v>
      </c>
      <c r="AL88">
        <v>1</v>
      </c>
      <c r="AN88">
        <v>0</v>
      </c>
      <c r="AO88">
        <v>1</v>
      </c>
      <c r="AP88">
        <v>1</v>
      </c>
      <c r="AQ88">
        <v>0</v>
      </c>
      <c r="AR88">
        <v>0</v>
      </c>
      <c r="AT88">
        <v>0.05</v>
      </c>
      <c r="AU88" t="s">
        <v>115</v>
      </c>
      <c r="AV88">
        <v>0</v>
      </c>
      <c r="AW88">
        <v>2</v>
      </c>
      <c r="AX88">
        <v>55096525</v>
      </c>
      <c r="AY88">
        <v>1</v>
      </c>
      <c r="AZ88">
        <v>0</v>
      </c>
      <c r="BA88">
        <v>88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CX88">
        <f>Y88*Source!I99</f>
        <v>0.01</v>
      </c>
      <c r="CY88">
        <f>AB88</f>
        <v>115.4</v>
      </c>
      <c r="CZ88">
        <f>AF88</f>
        <v>115.4</v>
      </c>
      <c r="DA88">
        <f>AJ88</f>
        <v>1</v>
      </c>
      <c r="DB88">
        <f>ROUND((ROUND(AT88*CZ88,2)*ROUND(1.25,7)),2)</f>
        <v>7.21</v>
      </c>
      <c r="DC88">
        <f>ROUND((ROUND(AT88*AG88,2)*ROUND(1.25,7)),2)</f>
        <v>0.85</v>
      </c>
    </row>
    <row r="89" spans="1:107" ht="12.75">
      <c r="A89">
        <f>ROW(Source!A99)</f>
        <v>99</v>
      </c>
      <c r="B89">
        <v>55110074</v>
      </c>
      <c r="C89">
        <v>55096521</v>
      </c>
      <c r="D89">
        <v>49621268</v>
      </c>
      <c r="E89">
        <v>1</v>
      </c>
      <c r="F89">
        <v>1</v>
      </c>
      <c r="G89">
        <v>1</v>
      </c>
      <c r="H89">
        <v>2</v>
      </c>
      <c r="I89" t="s">
        <v>345</v>
      </c>
      <c r="J89" t="s">
        <v>346</v>
      </c>
      <c r="K89" t="s">
        <v>347</v>
      </c>
      <c r="L89">
        <v>1368</v>
      </c>
      <c r="N89">
        <v>1011</v>
      </c>
      <c r="O89" t="s">
        <v>317</v>
      </c>
      <c r="P89" t="s">
        <v>317</v>
      </c>
      <c r="Q89">
        <v>1</v>
      </c>
      <c r="W89">
        <v>0</v>
      </c>
      <c r="X89">
        <v>1862470278</v>
      </c>
      <c r="Y89">
        <v>0.11249999999999999</v>
      </c>
      <c r="AA89">
        <v>0</v>
      </c>
      <c r="AB89">
        <v>65.71</v>
      </c>
      <c r="AC89">
        <v>11.6</v>
      </c>
      <c r="AD89">
        <v>0</v>
      </c>
      <c r="AE89">
        <v>0</v>
      </c>
      <c r="AF89">
        <v>65.71</v>
      </c>
      <c r="AG89">
        <v>11.6</v>
      </c>
      <c r="AH89">
        <v>0</v>
      </c>
      <c r="AI89">
        <v>1</v>
      </c>
      <c r="AJ89">
        <v>1</v>
      </c>
      <c r="AK89">
        <v>1</v>
      </c>
      <c r="AL89">
        <v>1</v>
      </c>
      <c r="AN89">
        <v>0</v>
      </c>
      <c r="AO89">
        <v>1</v>
      </c>
      <c r="AP89">
        <v>1</v>
      </c>
      <c r="AQ89">
        <v>0</v>
      </c>
      <c r="AR89">
        <v>0</v>
      </c>
      <c r="AT89">
        <v>0.09</v>
      </c>
      <c r="AU89" t="s">
        <v>115</v>
      </c>
      <c r="AV89">
        <v>0</v>
      </c>
      <c r="AW89">
        <v>2</v>
      </c>
      <c r="AX89">
        <v>55096526</v>
      </c>
      <c r="AY89">
        <v>1</v>
      </c>
      <c r="AZ89">
        <v>0</v>
      </c>
      <c r="BA89">
        <v>89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CX89">
        <f>Y89*Source!I99</f>
        <v>0.018</v>
      </c>
      <c r="CY89">
        <f>AB89</f>
        <v>65.71</v>
      </c>
      <c r="CZ89">
        <f>AF89</f>
        <v>65.71</v>
      </c>
      <c r="DA89">
        <f>AJ89</f>
        <v>1</v>
      </c>
      <c r="DB89">
        <f>ROUND((ROUND(AT89*CZ89,2)*ROUND(1.25,7)),2)</f>
        <v>7.39</v>
      </c>
      <c r="DC89">
        <f>ROUND((ROUND(AT89*AG89,2)*ROUND(1.25,7)),2)</f>
        <v>1.3</v>
      </c>
    </row>
    <row r="90" spans="1:107" ht="12.75">
      <c r="A90">
        <f>ROW(Source!A99)</f>
        <v>99</v>
      </c>
      <c r="B90">
        <v>55110074</v>
      </c>
      <c r="C90">
        <v>55096521</v>
      </c>
      <c r="D90">
        <v>49470012</v>
      </c>
      <c r="E90">
        <v>1</v>
      </c>
      <c r="F90">
        <v>1</v>
      </c>
      <c r="G90">
        <v>1</v>
      </c>
      <c r="H90">
        <v>3</v>
      </c>
      <c r="I90" t="s">
        <v>355</v>
      </c>
      <c r="J90" t="s">
        <v>356</v>
      </c>
      <c r="K90" t="s">
        <v>357</v>
      </c>
      <c r="L90">
        <v>1346</v>
      </c>
      <c r="N90">
        <v>1009</v>
      </c>
      <c r="O90" t="s">
        <v>205</v>
      </c>
      <c r="P90" t="s">
        <v>205</v>
      </c>
      <c r="Q90">
        <v>1</v>
      </c>
      <c r="W90">
        <v>0</v>
      </c>
      <c r="X90">
        <v>795665641</v>
      </c>
      <c r="Y90">
        <v>29.94</v>
      </c>
      <c r="AA90">
        <v>6.09</v>
      </c>
      <c r="AB90">
        <v>0</v>
      </c>
      <c r="AC90">
        <v>0</v>
      </c>
      <c r="AD90">
        <v>0</v>
      </c>
      <c r="AE90">
        <v>6.09</v>
      </c>
      <c r="AF90">
        <v>0</v>
      </c>
      <c r="AG90">
        <v>0</v>
      </c>
      <c r="AH90">
        <v>0</v>
      </c>
      <c r="AI90">
        <v>1</v>
      </c>
      <c r="AJ90">
        <v>1</v>
      </c>
      <c r="AK90">
        <v>1</v>
      </c>
      <c r="AL90">
        <v>1</v>
      </c>
      <c r="AN90">
        <v>0</v>
      </c>
      <c r="AO90">
        <v>1</v>
      </c>
      <c r="AP90">
        <v>0</v>
      </c>
      <c r="AQ90">
        <v>0</v>
      </c>
      <c r="AR90">
        <v>0</v>
      </c>
      <c r="AT90">
        <v>29.94</v>
      </c>
      <c r="AV90">
        <v>0</v>
      </c>
      <c r="AW90">
        <v>2</v>
      </c>
      <c r="AX90">
        <v>55096527</v>
      </c>
      <c r="AY90">
        <v>1</v>
      </c>
      <c r="AZ90">
        <v>0</v>
      </c>
      <c r="BA90">
        <v>90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CX90">
        <f>Y90*Source!I99</f>
        <v>4.7904</v>
      </c>
      <c r="CY90">
        <f>AA90</f>
        <v>6.09</v>
      </c>
      <c r="CZ90">
        <f>AE90</f>
        <v>6.09</v>
      </c>
      <c r="DA90">
        <f>AI90</f>
        <v>1</v>
      </c>
      <c r="DB90">
        <f>ROUND(ROUND(AT90*CZ90,2),2)</f>
        <v>182.33</v>
      </c>
      <c r="DC90">
        <f>ROUND(ROUND(AT90*AG90,2),2)</f>
        <v>0</v>
      </c>
    </row>
    <row r="91" spans="1:107" ht="12.75">
      <c r="A91">
        <f>ROW(Source!A99)</f>
        <v>99</v>
      </c>
      <c r="B91">
        <v>55110074</v>
      </c>
      <c r="C91">
        <v>55096521</v>
      </c>
      <c r="D91">
        <v>53668685</v>
      </c>
      <c r="E91">
        <v>1</v>
      </c>
      <c r="F91">
        <v>1</v>
      </c>
      <c r="G91">
        <v>1</v>
      </c>
      <c r="H91">
        <v>3</v>
      </c>
      <c r="I91" t="s">
        <v>171</v>
      </c>
      <c r="J91" t="s">
        <v>174</v>
      </c>
      <c r="K91" t="s">
        <v>172</v>
      </c>
      <c r="L91">
        <v>1327</v>
      </c>
      <c r="N91">
        <v>1005</v>
      </c>
      <c r="O91" t="s">
        <v>173</v>
      </c>
      <c r="P91" t="s">
        <v>173</v>
      </c>
      <c r="Q91">
        <v>1</v>
      </c>
      <c r="W91">
        <v>0</v>
      </c>
      <c r="X91">
        <v>1276428827</v>
      </c>
      <c r="Y91">
        <v>114</v>
      </c>
      <c r="AA91">
        <v>27.73</v>
      </c>
      <c r="AB91">
        <v>0</v>
      </c>
      <c r="AC91">
        <v>0</v>
      </c>
      <c r="AD91">
        <v>0</v>
      </c>
      <c r="AE91">
        <v>27.73</v>
      </c>
      <c r="AF91">
        <v>0</v>
      </c>
      <c r="AG91">
        <v>0</v>
      </c>
      <c r="AH91">
        <v>0</v>
      </c>
      <c r="AI91">
        <v>1</v>
      </c>
      <c r="AJ91">
        <v>1</v>
      </c>
      <c r="AK91">
        <v>1</v>
      </c>
      <c r="AL91">
        <v>1</v>
      </c>
      <c r="AN91">
        <v>0</v>
      </c>
      <c r="AO91">
        <v>0</v>
      </c>
      <c r="AP91">
        <v>0</v>
      </c>
      <c r="AQ91">
        <v>0</v>
      </c>
      <c r="AR91">
        <v>0</v>
      </c>
      <c r="AT91">
        <v>114</v>
      </c>
      <c r="AV91">
        <v>0</v>
      </c>
      <c r="AW91">
        <v>1</v>
      </c>
      <c r="AX91">
        <v>-1</v>
      </c>
      <c r="AY91">
        <v>0</v>
      </c>
      <c r="AZ91">
        <v>0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CX91">
        <f>Y91*Source!I99</f>
        <v>18.240000000000002</v>
      </c>
      <c r="CY91">
        <f>AA91</f>
        <v>27.73</v>
      </c>
      <c r="CZ91">
        <f>AE91</f>
        <v>27.73</v>
      </c>
      <c r="DA91">
        <f>AI91</f>
        <v>1</v>
      </c>
      <c r="DB91">
        <f>ROUND(ROUND(AT91*CZ91,2),2)</f>
        <v>3161.22</v>
      </c>
      <c r="DC91">
        <f>ROUND(ROUND(AT91*AG91,2),2)</f>
        <v>0</v>
      </c>
    </row>
    <row r="92" spans="1:107" ht="12.75">
      <c r="A92">
        <f>ROW(Source!A99)</f>
        <v>99</v>
      </c>
      <c r="B92">
        <v>55110074</v>
      </c>
      <c r="C92">
        <v>55096521</v>
      </c>
      <c r="D92">
        <v>53668689</v>
      </c>
      <c r="E92">
        <v>1</v>
      </c>
      <c r="F92">
        <v>1</v>
      </c>
      <c r="G92">
        <v>1</v>
      </c>
      <c r="H92">
        <v>3</v>
      </c>
      <c r="I92" t="s">
        <v>176</v>
      </c>
      <c r="J92" t="s">
        <v>178</v>
      </c>
      <c r="K92" t="s">
        <v>177</v>
      </c>
      <c r="L92">
        <v>1327</v>
      </c>
      <c r="N92">
        <v>1005</v>
      </c>
      <c r="O92" t="s">
        <v>173</v>
      </c>
      <c r="P92" t="s">
        <v>173</v>
      </c>
      <c r="Q92">
        <v>1</v>
      </c>
      <c r="W92">
        <v>0</v>
      </c>
      <c r="X92">
        <v>-583407189</v>
      </c>
      <c r="Y92">
        <v>116</v>
      </c>
      <c r="AA92">
        <v>19.75</v>
      </c>
      <c r="AB92">
        <v>0</v>
      </c>
      <c r="AC92">
        <v>0</v>
      </c>
      <c r="AD92">
        <v>0</v>
      </c>
      <c r="AE92">
        <v>19.75</v>
      </c>
      <c r="AF92">
        <v>0</v>
      </c>
      <c r="AG92">
        <v>0</v>
      </c>
      <c r="AH92">
        <v>0</v>
      </c>
      <c r="AI92">
        <v>1</v>
      </c>
      <c r="AJ92">
        <v>1</v>
      </c>
      <c r="AK92">
        <v>1</v>
      </c>
      <c r="AL92">
        <v>1</v>
      </c>
      <c r="AN92">
        <v>0</v>
      </c>
      <c r="AO92">
        <v>0</v>
      </c>
      <c r="AP92">
        <v>0</v>
      </c>
      <c r="AQ92">
        <v>0</v>
      </c>
      <c r="AR92">
        <v>0</v>
      </c>
      <c r="AT92">
        <v>116</v>
      </c>
      <c r="AV92">
        <v>0</v>
      </c>
      <c r="AW92">
        <v>1</v>
      </c>
      <c r="AX92">
        <v>-1</v>
      </c>
      <c r="AY92">
        <v>0</v>
      </c>
      <c r="AZ92">
        <v>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CX92">
        <f>Y92*Source!I99</f>
        <v>18.56</v>
      </c>
      <c r="CY92">
        <f>AA92</f>
        <v>19.75</v>
      </c>
      <c r="CZ92">
        <f>AE92</f>
        <v>19.75</v>
      </c>
      <c r="DA92">
        <f>AI92</f>
        <v>1</v>
      </c>
      <c r="DB92">
        <f>ROUND(ROUND(AT92*CZ92,2),2)</f>
        <v>2291</v>
      </c>
      <c r="DC92">
        <f>ROUND(ROUND(AT92*AG92,2),2)</f>
        <v>0</v>
      </c>
    </row>
    <row r="93" spans="1:107" ht="12.75">
      <c r="A93">
        <f>ROW(Source!A100)</f>
        <v>100</v>
      </c>
      <c r="B93">
        <v>55110083</v>
      </c>
      <c r="C93">
        <v>55096521</v>
      </c>
      <c r="D93">
        <v>49459419</v>
      </c>
      <c r="E93">
        <v>58</v>
      </c>
      <c r="F93">
        <v>1</v>
      </c>
      <c r="G93">
        <v>1</v>
      </c>
      <c r="H93">
        <v>1</v>
      </c>
      <c r="I93" t="s">
        <v>350</v>
      </c>
      <c r="K93" t="s">
        <v>351</v>
      </c>
      <c r="L93">
        <v>1191</v>
      </c>
      <c r="N93">
        <v>1013</v>
      </c>
      <c r="O93" t="s">
        <v>311</v>
      </c>
      <c r="P93" t="s">
        <v>311</v>
      </c>
      <c r="Q93">
        <v>1</v>
      </c>
      <c r="W93">
        <v>0</v>
      </c>
      <c r="X93">
        <v>-1081351934</v>
      </c>
      <c r="Y93">
        <v>16.514</v>
      </c>
      <c r="AA93">
        <v>0</v>
      </c>
      <c r="AB93">
        <v>0</v>
      </c>
      <c r="AC93">
        <v>0</v>
      </c>
      <c r="AD93">
        <v>9.4</v>
      </c>
      <c r="AE93">
        <v>0</v>
      </c>
      <c r="AF93">
        <v>0</v>
      </c>
      <c r="AG93">
        <v>0</v>
      </c>
      <c r="AH93">
        <v>9.4</v>
      </c>
      <c r="AI93">
        <v>1</v>
      </c>
      <c r="AJ93">
        <v>1</v>
      </c>
      <c r="AK93">
        <v>1</v>
      </c>
      <c r="AL93">
        <v>1</v>
      </c>
      <c r="AN93">
        <v>0</v>
      </c>
      <c r="AO93">
        <v>1</v>
      </c>
      <c r="AP93">
        <v>1</v>
      </c>
      <c r="AQ93">
        <v>0</v>
      </c>
      <c r="AR93">
        <v>0</v>
      </c>
      <c r="AT93">
        <v>14.36</v>
      </c>
      <c r="AU93" t="s">
        <v>116</v>
      </c>
      <c r="AV93">
        <v>1</v>
      </c>
      <c r="AW93">
        <v>2</v>
      </c>
      <c r="AX93">
        <v>55096522</v>
      </c>
      <c r="AY93">
        <v>1</v>
      </c>
      <c r="AZ93">
        <v>0</v>
      </c>
      <c r="BA93">
        <v>93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CX93">
        <f>Y93*Source!I100</f>
        <v>2.64224</v>
      </c>
      <c r="CY93">
        <f>AD93</f>
        <v>9.4</v>
      </c>
      <c r="CZ93">
        <f>AH93</f>
        <v>9.4</v>
      </c>
      <c r="DA93">
        <f>AL93</f>
        <v>1</v>
      </c>
      <c r="DB93">
        <f>ROUND((ROUND(AT93*CZ93,2)*ROUND(1.15,7)),2)</f>
        <v>155.23</v>
      </c>
      <c r="DC93">
        <f>ROUND((ROUND(AT93*AG93,2)*ROUND(1.15,7)),2)</f>
        <v>0</v>
      </c>
    </row>
    <row r="94" spans="1:107" ht="12.75">
      <c r="A94">
        <f>ROW(Source!A100)</f>
        <v>100</v>
      </c>
      <c r="B94">
        <v>55110083</v>
      </c>
      <c r="C94">
        <v>55096521</v>
      </c>
      <c r="D94">
        <v>49459566</v>
      </c>
      <c r="E94">
        <v>58</v>
      </c>
      <c r="F94">
        <v>1</v>
      </c>
      <c r="G94">
        <v>1</v>
      </c>
      <c r="H94">
        <v>1</v>
      </c>
      <c r="I94" t="s">
        <v>330</v>
      </c>
      <c r="K94" t="s">
        <v>321</v>
      </c>
      <c r="L94">
        <v>1191</v>
      </c>
      <c r="N94">
        <v>1013</v>
      </c>
      <c r="O94" t="s">
        <v>311</v>
      </c>
      <c r="P94" t="s">
        <v>311</v>
      </c>
      <c r="Q94">
        <v>1</v>
      </c>
      <c r="W94">
        <v>0</v>
      </c>
      <c r="X94">
        <v>-1173606021</v>
      </c>
      <c r="Y94">
        <v>0.3625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1</v>
      </c>
      <c r="AJ94">
        <v>1</v>
      </c>
      <c r="AK94">
        <v>1</v>
      </c>
      <c r="AL94">
        <v>1</v>
      </c>
      <c r="AN94">
        <v>0</v>
      </c>
      <c r="AO94">
        <v>1</v>
      </c>
      <c r="AP94">
        <v>1</v>
      </c>
      <c r="AQ94">
        <v>0</v>
      </c>
      <c r="AR94">
        <v>0</v>
      </c>
      <c r="AT94">
        <v>0.29</v>
      </c>
      <c r="AU94" t="s">
        <v>115</v>
      </c>
      <c r="AV94">
        <v>2</v>
      </c>
      <c r="AW94">
        <v>2</v>
      </c>
      <c r="AX94">
        <v>55096523</v>
      </c>
      <c r="AY94">
        <v>1</v>
      </c>
      <c r="AZ94">
        <v>0</v>
      </c>
      <c r="BA94">
        <v>94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CX94">
        <f>Y94*Source!I100</f>
        <v>0.057999999999999996</v>
      </c>
      <c r="CY94">
        <f>AD94</f>
        <v>0</v>
      </c>
      <c r="CZ94">
        <f>AH94</f>
        <v>0</v>
      </c>
      <c r="DA94">
        <f>AL94</f>
        <v>1</v>
      </c>
      <c r="DB94">
        <f>ROUND((ROUND(AT94*CZ94,2)*ROUND(1.25,7)),2)</f>
        <v>0</v>
      </c>
      <c r="DC94">
        <f>ROUND((ROUND(AT94*AG94,2)*ROUND(1.25,7)),2)</f>
        <v>0</v>
      </c>
    </row>
    <row r="95" spans="1:107" ht="12.75">
      <c r="A95">
        <f>ROW(Source!A100)</f>
        <v>100</v>
      </c>
      <c r="B95">
        <v>55110083</v>
      </c>
      <c r="C95">
        <v>55096521</v>
      </c>
      <c r="D95">
        <v>49620286</v>
      </c>
      <c r="E95">
        <v>1</v>
      </c>
      <c r="F95">
        <v>1</v>
      </c>
      <c r="G95">
        <v>1</v>
      </c>
      <c r="H95">
        <v>2</v>
      </c>
      <c r="I95" t="s">
        <v>331</v>
      </c>
      <c r="J95" t="s">
        <v>332</v>
      </c>
      <c r="K95" t="s">
        <v>333</v>
      </c>
      <c r="L95">
        <v>1368</v>
      </c>
      <c r="N95">
        <v>1011</v>
      </c>
      <c r="O95" t="s">
        <v>317</v>
      </c>
      <c r="P95" t="s">
        <v>317</v>
      </c>
      <c r="Q95">
        <v>1</v>
      </c>
      <c r="W95">
        <v>0</v>
      </c>
      <c r="X95">
        <v>-1554407757</v>
      </c>
      <c r="Y95">
        <v>0.1875</v>
      </c>
      <c r="AA95">
        <v>0</v>
      </c>
      <c r="AB95">
        <v>888.19</v>
      </c>
      <c r="AC95">
        <v>486.41</v>
      </c>
      <c r="AD95">
        <v>0</v>
      </c>
      <c r="AE95">
        <v>0</v>
      </c>
      <c r="AF95">
        <v>86.4</v>
      </c>
      <c r="AG95">
        <v>13.5</v>
      </c>
      <c r="AH95">
        <v>0</v>
      </c>
      <c r="AI95">
        <v>1</v>
      </c>
      <c r="AJ95">
        <v>10.28</v>
      </c>
      <c r="AK95">
        <v>36.03</v>
      </c>
      <c r="AL95">
        <v>1</v>
      </c>
      <c r="AN95">
        <v>0</v>
      </c>
      <c r="AO95">
        <v>1</v>
      </c>
      <c r="AP95">
        <v>1</v>
      </c>
      <c r="AQ95">
        <v>0</v>
      </c>
      <c r="AR95">
        <v>0</v>
      </c>
      <c r="AT95">
        <v>0.15</v>
      </c>
      <c r="AU95" t="s">
        <v>115</v>
      </c>
      <c r="AV95">
        <v>0</v>
      </c>
      <c r="AW95">
        <v>2</v>
      </c>
      <c r="AX95">
        <v>55096524</v>
      </c>
      <c r="AY95">
        <v>1</v>
      </c>
      <c r="AZ95">
        <v>0</v>
      </c>
      <c r="BA95">
        <v>95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CX95">
        <f>Y95*Source!I100</f>
        <v>0.03</v>
      </c>
      <c r="CY95">
        <f>AB95</f>
        <v>888.19</v>
      </c>
      <c r="CZ95">
        <f>AF95</f>
        <v>86.4</v>
      </c>
      <c r="DA95">
        <f>AJ95</f>
        <v>10.28</v>
      </c>
      <c r="DB95">
        <f>ROUND((ROUND(AT95*CZ95,2)*ROUND(1.25,7)),2)</f>
        <v>16.2</v>
      </c>
      <c r="DC95">
        <f>ROUND((ROUND(AT95*AG95,2)*ROUND(1.25,7)),2)</f>
        <v>2.54</v>
      </c>
    </row>
    <row r="96" spans="1:107" ht="12.75">
      <c r="A96">
        <f>ROW(Source!A100)</f>
        <v>100</v>
      </c>
      <c r="B96">
        <v>55110083</v>
      </c>
      <c r="C96">
        <v>55096521</v>
      </c>
      <c r="D96">
        <v>49620344</v>
      </c>
      <c r="E96">
        <v>1</v>
      </c>
      <c r="F96">
        <v>1</v>
      </c>
      <c r="G96">
        <v>1</v>
      </c>
      <c r="H96">
        <v>2</v>
      </c>
      <c r="I96" t="s">
        <v>352</v>
      </c>
      <c r="J96" t="s">
        <v>353</v>
      </c>
      <c r="K96" t="s">
        <v>354</v>
      </c>
      <c r="L96">
        <v>1368</v>
      </c>
      <c r="N96">
        <v>1011</v>
      </c>
      <c r="O96" t="s">
        <v>317</v>
      </c>
      <c r="P96" t="s">
        <v>317</v>
      </c>
      <c r="Q96">
        <v>1</v>
      </c>
      <c r="W96">
        <v>0</v>
      </c>
      <c r="X96">
        <v>30216853</v>
      </c>
      <c r="Y96">
        <v>0.0625</v>
      </c>
      <c r="AA96">
        <v>0</v>
      </c>
      <c r="AB96">
        <v>1237.09</v>
      </c>
      <c r="AC96">
        <v>486.41</v>
      </c>
      <c r="AD96">
        <v>0</v>
      </c>
      <c r="AE96">
        <v>0</v>
      </c>
      <c r="AF96">
        <v>115.4</v>
      </c>
      <c r="AG96">
        <v>13.5</v>
      </c>
      <c r="AH96">
        <v>0</v>
      </c>
      <c r="AI96">
        <v>1</v>
      </c>
      <c r="AJ96">
        <v>10.72</v>
      </c>
      <c r="AK96">
        <v>36.03</v>
      </c>
      <c r="AL96">
        <v>1</v>
      </c>
      <c r="AN96">
        <v>0</v>
      </c>
      <c r="AO96">
        <v>1</v>
      </c>
      <c r="AP96">
        <v>1</v>
      </c>
      <c r="AQ96">
        <v>0</v>
      </c>
      <c r="AR96">
        <v>0</v>
      </c>
      <c r="AT96">
        <v>0.05</v>
      </c>
      <c r="AU96" t="s">
        <v>115</v>
      </c>
      <c r="AV96">
        <v>0</v>
      </c>
      <c r="AW96">
        <v>2</v>
      </c>
      <c r="AX96">
        <v>55096525</v>
      </c>
      <c r="AY96">
        <v>1</v>
      </c>
      <c r="AZ96">
        <v>0</v>
      </c>
      <c r="BA96">
        <v>96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CX96">
        <f>Y96*Source!I100</f>
        <v>0.01</v>
      </c>
      <c r="CY96">
        <f>AB96</f>
        <v>1237.09</v>
      </c>
      <c r="CZ96">
        <f>AF96</f>
        <v>115.4</v>
      </c>
      <c r="DA96">
        <f>AJ96</f>
        <v>10.72</v>
      </c>
      <c r="DB96">
        <f>ROUND((ROUND(AT96*CZ96,2)*ROUND(1.25,7)),2)</f>
        <v>7.21</v>
      </c>
      <c r="DC96">
        <f>ROUND((ROUND(AT96*AG96,2)*ROUND(1.25,7)),2)</f>
        <v>0.85</v>
      </c>
    </row>
    <row r="97" spans="1:107" ht="12.75">
      <c r="A97">
        <f>ROW(Source!A100)</f>
        <v>100</v>
      </c>
      <c r="B97">
        <v>55110083</v>
      </c>
      <c r="C97">
        <v>55096521</v>
      </c>
      <c r="D97">
        <v>49621268</v>
      </c>
      <c r="E97">
        <v>1</v>
      </c>
      <c r="F97">
        <v>1</v>
      </c>
      <c r="G97">
        <v>1</v>
      </c>
      <c r="H97">
        <v>2</v>
      </c>
      <c r="I97" t="s">
        <v>345</v>
      </c>
      <c r="J97" t="s">
        <v>346</v>
      </c>
      <c r="K97" t="s">
        <v>347</v>
      </c>
      <c r="L97">
        <v>1368</v>
      </c>
      <c r="N97">
        <v>1011</v>
      </c>
      <c r="O97" t="s">
        <v>317</v>
      </c>
      <c r="P97" t="s">
        <v>317</v>
      </c>
      <c r="Q97">
        <v>1</v>
      </c>
      <c r="W97">
        <v>0</v>
      </c>
      <c r="X97">
        <v>1862470278</v>
      </c>
      <c r="Y97">
        <v>0.11249999999999999</v>
      </c>
      <c r="AA97">
        <v>0</v>
      </c>
      <c r="AB97">
        <v>778.66</v>
      </c>
      <c r="AC97">
        <v>417.95</v>
      </c>
      <c r="AD97">
        <v>0</v>
      </c>
      <c r="AE97">
        <v>0</v>
      </c>
      <c r="AF97">
        <v>65.71</v>
      </c>
      <c r="AG97">
        <v>11.6</v>
      </c>
      <c r="AH97">
        <v>0</v>
      </c>
      <c r="AI97">
        <v>1</v>
      </c>
      <c r="AJ97">
        <v>11.85</v>
      </c>
      <c r="AK97">
        <v>36.03</v>
      </c>
      <c r="AL97">
        <v>1</v>
      </c>
      <c r="AN97">
        <v>0</v>
      </c>
      <c r="AO97">
        <v>1</v>
      </c>
      <c r="AP97">
        <v>1</v>
      </c>
      <c r="AQ97">
        <v>0</v>
      </c>
      <c r="AR97">
        <v>0</v>
      </c>
      <c r="AT97">
        <v>0.09</v>
      </c>
      <c r="AU97" t="s">
        <v>115</v>
      </c>
      <c r="AV97">
        <v>0</v>
      </c>
      <c r="AW97">
        <v>2</v>
      </c>
      <c r="AX97">
        <v>55096526</v>
      </c>
      <c r="AY97">
        <v>1</v>
      </c>
      <c r="AZ97">
        <v>0</v>
      </c>
      <c r="BA97">
        <v>97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CX97">
        <f>Y97*Source!I100</f>
        <v>0.018</v>
      </c>
      <c r="CY97">
        <f>AB97</f>
        <v>778.66</v>
      </c>
      <c r="CZ97">
        <f>AF97</f>
        <v>65.71</v>
      </c>
      <c r="DA97">
        <f>AJ97</f>
        <v>11.85</v>
      </c>
      <c r="DB97">
        <f>ROUND((ROUND(AT97*CZ97,2)*ROUND(1.25,7)),2)</f>
        <v>7.39</v>
      </c>
      <c r="DC97">
        <f>ROUND((ROUND(AT97*AG97,2)*ROUND(1.25,7)),2)</f>
        <v>1.3</v>
      </c>
    </row>
    <row r="98" spans="1:107" ht="12.75">
      <c r="A98">
        <f>ROW(Source!A100)</f>
        <v>100</v>
      </c>
      <c r="B98">
        <v>55110083</v>
      </c>
      <c r="C98">
        <v>55096521</v>
      </c>
      <c r="D98">
        <v>49470012</v>
      </c>
      <c r="E98">
        <v>1</v>
      </c>
      <c r="F98">
        <v>1</v>
      </c>
      <c r="G98">
        <v>1</v>
      </c>
      <c r="H98">
        <v>3</v>
      </c>
      <c r="I98" t="s">
        <v>355</v>
      </c>
      <c r="J98" t="s">
        <v>356</v>
      </c>
      <c r="K98" t="s">
        <v>357</v>
      </c>
      <c r="L98">
        <v>1346</v>
      </c>
      <c r="N98">
        <v>1009</v>
      </c>
      <c r="O98" t="s">
        <v>205</v>
      </c>
      <c r="P98" t="s">
        <v>205</v>
      </c>
      <c r="Q98">
        <v>1</v>
      </c>
      <c r="W98">
        <v>0</v>
      </c>
      <c r="X98">
        <v>795665641</v>
      </c>
      <c r="Y98">
        <v>29.94</v>
      </c>
      <c r="AA98">
        <v>51.64</v>
      </c>
      <c r="AB98">
        <v>0</v>
      </c>
      <c r="AC98">
        <v>0</v>
      </c>
      <c r="AD98">
        <v>0</v>
      </c>
      <c r="AE98">
        <v>6.09</v>
      </c>
      <c r="AF98">
        <v>0</v>
      </c>
      <c r="AG98">
        <v>0</v>
      </c>
      <c r="AH98">
        <v>0</v>
      </c>
      <c r="AI98">
        <v>8.48</v>
      </c>
      <c r="AJ98">
        <v>1</v>
      </c>
      <c r="AK98">
        <v>1</v>
      </c>
      <c r="AL98">
        <v>1</v>
      </c>
      <c r="AN98">
        <v>0</v>
      </c>
      <c r="AO98">
        <v>1</v>
      </c>
      <c r="AP98">
        <v>0</v>
      </c>
      <c r="AQ98">
        <v>0</v>
      </c>
      <c r="AR98">
        <v>0</v>
      </c>
      <c r="AT98">
        <v>29.94</v>
      </c>
      <c r="AV98">
        <v>0</v>
      </c>
      <c r="AW98">
        <v>2</v>
      </c>
      <c r="AX98">
        <v>55096527</v>
      </c>
      <c r="AY98">
        <v>1</v>
      </c>
      <c r="AZ98">
        <v>0</v>
      </c>
      <c r="BA98">
        <v>98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CX98">
        <f>Y98*Source!I100</f>
        <v>4.7904</v>
      </c>
      <c r="CY98">
        <f>AA98</f>
        <v>51.64</v>
      </c>
      <c r="CZ98">
        <f>AE98</f>
        <v>6.09</v>
      </c>
      <c r="DA98">
        <f>AI98</f>
        <v>8.48</v>
      </c>
      <c r="DB98">
        <f>ROUND(ROUND(AT98*CZ98,2),2)</f>
        <v>182.33</v>
      </c>
      <c r="DC98">
        <f>ROUND(ROUND(AT98*AG98,2),2)</f>
        <v>0</v>
      </c>
    </row>
    <row r="99" spans="1:107" ht="12.75">
      <c r="A99">
        <f>ROW(Source!A100)</f>
        <v>100</v>
      </c>
      <c r="B99">
        <v>55110083</v>
      </c>
      <c r="C99">
        <v>55096521</v>
      </c>
      <c r="D99">
        <v>53668685</v>
      </c>
      <c r="E99">
        <v>1</v>
      </c>
      <c r="F99">
        <v>1</v>
      </c>
      <c r="G99">
        <v>1</v>
      </c>
      <c r="H99">
        <v>3</v>
      </c>
      <c r="I99" t="s">
        <v>171</v>
      </c>
      <c r="J99" t="s">
        <v>174</v>
      </c>
      <c r="K99" t="s">
        <v>172</v>
      </c>
      <c r="L99">
        <v>1327</v>
      </c>
      <c r="N99">
        <v>1005</v>
      </c>
      <c r="O99" t="s">
        <v>173</v>
      </c>
      <c r="P99" t="s">
        <v>173</v>
      </c>
      <c r="Q99">
        <v>1</v>
      </c>
      <c r="W99">
        <v>0</v>
      </c>
      <c r="X99">
        <v>1276428827</v>
      </c>
      <c r="Y99">
        <v>114</v>
      </c>
      <c r="AA99">
        <v>112.03</v>
      </c>
      <c r="AB99">
        <v>0</v>
      </c>
      <c r="AC99">
        <v>0</v>
      </c>
      <c r="AD99">
        <v>0</v>
      </c>
      <c r="AE99">
        <v>27.73</v>
      </c>
      <c r="AF99">
        <v>0</v>
      </c>
      <c r="AG99">
        <v>0</v>
      </c>
      <c r="AH99">
        <v>0</v>
      </c>
      <c r="AI99">
        <v>4.04</v>
      </c>
      <c r="AJ99">
        <v>1</v>
      </c>
      <c r="AK99">
        <v>1</v>
      </c>
      <c r="AL99">
        <v>1</v>
      </c>
      <c r="AN99">
        <v>0</v>
      </c>
      <c r="AO99">
        <v>0</v>
      </c>
      <c r="AP99">
        <v>0</v>
      </c>
      <c r="AQ99">
        <v>0</v>
      </c>
      <c r="AR99">
        <v>0</v>
      </c>
      <c r="AT99">
        <v>114</v>
      </c>
      <c r="AV99">
        <v>0</v>
      </c>
      <c r="AW99">
        <v>1</v>
      </c>
      <c r="AX99">
        <v>-1</v>
      </c>
      <c r="AY99">
        <v>0</v>
      </c>
      <c r="AZ99">
        <v>0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CX99">
        <f>Y99*Source!I100</f>
        <v>18.240000000000002</v>
      </c>
      <c r="CY99">
        <f>AA99</f>
        <v>112.03</v>
      </c>
      <c r="CZ99">
        <f>AE99</f>
        <v>27.73</v>
      </c>
      <c r="DA99">
        <f>AI99</f>
        <v>4.04</v>
      </c>
      <c r="DB99">
        <f>ROUND(ROUND(AT99*CZ99,2),2)</f>
        <v>3161.22</v>
      </c>
      <c r="DC99">
        <f>ROUND(ROUND(AT99*AG99,2),2)</f>
        <v>0</v>
      </c>
    </row>
    <row r="100" spans="1:107" ht="12.75">
      <c r="A100">
        <f>ROW(Source!A100)</f>
        <v>100</v>
      </c>
      <c r="B100">
        <v>55110083</v>
      </c>
      <c r="C100">
        <v>55096521</v>
      </c>
      <c r="D100">
        <v>53668689</v>
      </c>
      <c r="E100">
        <v>1</v>
      </c>
      <c r="F100">
        <v>1</v>
      </c>
      <c r="G100">
        <v>1</v>
      </c>
      <c r="H100">
        <v>3</v>
      </c>
      <c r="I100" t="s">
        <v>176</v>
      </c>
      <c r="J100" t="s">
        <v>178</v>
      </c>
      <c r="K100" t="s">
        <v>177</v>
      </c>
      <c r="L100">
        <v>1327</v>
      </c>
      <c r="N100">
        <v>1005</v>
      </c>
      <c r="O100" t="s">
        <v>173</v>
      </c>
      <c r="P100" t="s">
        <v>173</v>
      </c>
      <c r="Q100">
        <v>1</v>
      </c>
      <c r="W100">
        <v>0</v>
      </c>
      <c r="X100">
        <v>-583407189</v>
      </c>
      <c r="Y100">
        <v>116</v>
      </c>
      <c r="AA100">
        <v>119.09</v>
      </c>
      <c r="AB100">
        <v>0</v>
      </c>
      <c r="AC100">
        <v>0</v>
      </c>
      <c r="AD100">
        <v>0</v>
      </c>
      <c r="AE100">
        <v>19.75</v>
      </c>
      <c r="AF100">
        <v>0</v>
      </c>
      <c r="AG100">
        <v>0</v>
      </c>
      <c r="AH100">
        <v>0</v>
      </c>
      <c r="AI100">
        <v>6.03</v>
      </c>
      <c r="AJ100">
        <v>1</v>
      </c>
      <c r="AK100">
        <v>1</v>
      </c>
      <c r="AL100">
        <v>1</v>
      </c>
      <c r="AN100">
        <v>0</v>
      </c>
      <c r="AO100">
        <v>0</v>
      </c>
      <c r="AP100">
        <v>0</v>
      </c>
      <c r="AQ100">
        <v>0</v>
      </c>
      <c r="AR100">
        <v>0</v>
      </c>
      <c r="AT100">
        <v>116</v>
      </c>
      <c r="AV100">
        <v>0</v>
      </c>
      <c r="AW100">
        <v>1</v>
      </c>
      <c r="AX100">
        <v>-1</v>
      </c>
      <c r="AY100">
        <v>0</v>
      </c>
      <c r="AZ100">
        <v>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CX100">
        <f>Y100*Source!I100</f>
        <v>18.56</v>
      </c>
      <c r="CY100">
        <f>AA100</f>
        <v>119.09</v>
      </c>
      <c r="CZ100">
        <f>AE100</f>
        <v>19.75</v>
      </c>
      <c r="DA100">
        <f>AI100</f>
        <v>6.03</v>
      </c>
      <c r="DB100">
        <f>ROUND(ROUND(AT100*CZ100,2),2)</f>
        <v>2291</v>
      </c>
      <c r="DC100">
        <f>ROUND(ROUND(AT100*AG100,2),2)</f>
        <v>0</v>
      </c>
    </row>
    <row r="101" spans="1:107" ht="12.75">
      <c r="A101">
        <f>ROW(Source!A105)</f>
        <v>105</v>
      </c>
      <c r="B101">
        <v>55110074</v>
      </c>
      <c r="C101">
        <v>55096536</v>
      </c>
      <c r="D101">
        <v>49459409</v>
      </c>
      <c r="E101">
        <v>58</v>
      </c>
      <c r="F101">
        <v>1</v>
      </c>
      <c r="G101">
        <v>1</v>
      </c>
      <c r="H101">
        <v>1</v>
      </c>
      <c r="I101" t="s">
        <v>358</v>
      </c>
      <c r="K101" t="s">
        <v>359</v>
      </c>
      <c r="L101">
        <v>1191</v>
      </c>
      <c r="N101">
        <v>1013</v>
      </c>
      <c r="O101" t="s">
        <v>311</v>
      </c>
      <c r="P101" t="s">
        <v>311</v>
      </c>
      <c r="Q101">
        <v>1</v>
      </c>
      <c r="W101">
        <v>0</v>
      </c>
      <c r="X101">
        <v>-1027537862</v>
      </c>
      <c r="Y101">
        <v>40.824999999999996</v>
      </c>
      <c r="AA101">
        <v>0</v>
      </c>
      <c r="AB101">
        <v>0</v>
      </c>
      <c r="AC101">
        <v>0</v>
      </c>
      <c r="AD101">
        <v>9.18</v>
      </c>
      <c r="AE101">
        <v>0</v>
      </c>
      <c r="AF101">
        <v>0</v>
      </c>
      <c r="AG101">
        <v>0</v>
      </c>
      <c r="AH101">
        <v>9.18</v>
      </c>
      <c r="AI101">
        <v>1</v>
      </c>
      <c r="AJ101">
        <v>1</v>
      </c>
      <c r="AK101">
        <v>1</v>
      </c>
      <c r="AL101">
        <v>1</v>
      </c>
      <c r="AN101">
        <v>0</v>
      </c>
      <c r="AO101">
        <v>1</v>
      </c>
      <c r="AP101">
        <v>1</v>
      </c>
      <c r="AQ101">
        <v>0</v>
      </c>
      <c r="AR101">
        <v>0</v>
      </c>
      <c r="AT101">
        <v>35.5</v>
      </c>
      <c r="AU101" t="s">
        <v>116</v>
      </c>
      <c r="AV101">
        <v>1</v>
      </c>
      <c r="AW101">
        <v>2</v>
      </c>
      <c r="AX101">
        <v>55096537</v>
      </c>
      <c r="AY101">
        <v>1</v>
      </c>
      <c r="AZ101">
        <v>0</v>
      </c>
      <c r="BA101">
        <v>101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CX101">
        <f>Y101*Source!I105</f>
        <v>61.2375</v>
      </c>
      <c r="CY101">
        <f>AD101</f>
        <v>9.18</v>
      </c>
      <c r="CZ101">
        <f>AH101</f>
        <v>9.18</v>
      </c>
      <c r="DA101">
        <f>AL101</f>
        <v>1</v>
      </c>
      <c r="DB101">
        <f>ROUND((ROUND(AT101*CZ101,2)*ROUND(1.15,7)),2)</f>
        <v>374.77</v>
      </c>
      <c r="DC101">
        <f>ROUND((ROUND(AT101*AG101,2)*ROUND(1.15,7)),2)</f>
        <v>0</v>
      </c>
    </row>
    <row r="102" spans="1:107" ht="12.75">
      <c r="A102">
        <f>ROW(Source!A105)</f>
        <v>105</v>
      </c>
      <c r="B102">
        <v>55110074</v>
      </c>
      <c r="C102">
        <v>55096536</v>
      </c>
      <c r="D102">
        <v>49459566</v>
      </c>
      <c r="E102">
        <v>58</v>
      </c>
      <c r="F102">
        <v>1</v>
      </c>
      <c r="G102">
        <v>1</v>
      </c>
      <c r="H102">
        <v>1</v>
      </c>
      <c r="I102" t="s">
        <v>330</v>
      </c>
      <c r="K102" t="s">
        <v>321</v>
      </c>
      <c r="L102">
        <v>1191</v>
      </c>
      <c r="N102">
        <v>1013</v>
      </c>
      <c r="O102" t="s">
        <v>311</v>
      </c>
      <c r="P102" t="s">
        <v>311</v>
      </c>
      <c r="Q102">
        <v>1</v>
      </c>
      <c r="W102">
        <v>0</v>
      </c>
      <c r="X102">
        <v>-1173606021</v>
      </c>
      <c r="Y102">
        <v>1.075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1</v>
      </c>
      <c r="AJ102">
        <v>1</v>
      </c>
      <c r="AK102">
        <v>1</v>
      </c>
      <c r="AL102">
        <v>1</v>
      </c>
      <c r="AN102">
        <v>0</v>
      </c>
      <c r="AO102">
        <v>1</v>
      </c>
      <c r="AP102">
        <v>1</v>
      </c>
      <c r="AQ102">
        <v>0</v>
      </c>
      <c r="AR102">
        <v>0</v>
      </c>
      <c r="AT102">
        <v>0.86</v>
      </c>
      <c r="AU102" t="s">
        <v>115</v>
      </c>
      <c r="AV102">
        <v>2</v>
      </c>
      <c r="AW102">
        <v>2</v>
      </c>
      <c r="AX102">
        <v>55096538</v>
      </c>
      <c r="AY102">
        <v>1</v>
      </c>
      <c r="AZ102">
        <v>0</v>
      </c>
      <c r="BA102">
        <v>102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CX102">
        <f>Y102*Source!I105</f>
        <v>1.6124999999999998</v>
      </c>
      <c r="CY102">
        <f>AD102</f>
        <v>0</v>
      </c>
      <c r="CZ102">
        <f>AH102</f>
        <v>0</v>
      </c>
      <c r="DA102">
        <f>AL102</f>
        <v>1</v>
      </c>
      <c r="DB102">
        <f>ROUND((ROUND(AT102*CZ102,2)*ROUND(1.25,7)),2)</f>
        <v>0</v>
      </c>
      <c r="DC102">
        <f>ROUND((ROUND(AT102*AG102,2)*ROUND(1.25,7)),2)</f>
        <v>0</v>
      </c>
    </row>
    <row r="103" spans="1:107" ht="12.75">
      <c r="A103">
        <f>ROW(Source!A105)</f>
        <v>105</v>
      </c>
      <c r="B103">
        <v>55110074</v>
      </c>
      <c r="C103">
        <v>55096536</v>
      </c>
      <c r="D103">
        <v>49620286</v>
      </c>
      <c r="E103">
        <v>1</v>
      </c>
      <c r="F103">
        <v>1</v>
      </c>
      <c r="G103">
        <v>1</v>
      </c>
      <c r="H103">
        <v>2</v>
      </c>
      <c r="I103" t="s">
        <v>331</v>
      </c>
      <c r="J103" t="s">
        <v>332</v>
      </c>
      <c r="K103" t="s">
        <v>333</v>
      </c>
      <c r="L103">
        <v>1368</v>
      </c>
      <c r="N103">
        <v>1011</v>
      </c>
      <c r="O103" t="s">
        <v>317</v>
      </c>
      <c r="P103" t="s">
        <v>317</v>
      </c>
      <c r="Q103">
        <v>1</v>
      </c>
      <c r="W103">
        <v>0</v>
      </c>
      <c r="X103">
        <v>-1554407757</v>
      </c>
      <c r="Y103">
        <v>0.7625</v>
      </c>
      <c r="AA103">
        <v>0</v>
      </c>
      <c r="AB103">
        <v>86.4</v>
      </c>
      <c r="AC103">
        <v>13.5</v>
      </c>
      <c r="AD103">
        <v>0</v>
      </c>
      <c r="AE103">
        <v>0</v>
      </c>
      <c r="AF103">
        <v>86.4</v>
      </c>
      <c r="AG103">
        <v>13.5</v>
      </c>
      <c r="AH103">
        <v>0</v>
      </c>
      <c r="AI103">
        <v>1</v>
      </c>
      <c r="AJ103">
        <v>1</v>
      </c>
      <c r="AK103">
        <v>1</v>
      </c>
      <c r="AL103">
        <v>1</v>
      </c>
      <c r="AN103">
        <v>0</v>
      </c>
      <c r="AO103">
        <v>1</v>
      </c>
      <c r="AP103">
        <v>1</v>
      </c>
      <c r="AQ103">
        <v>0</v>
      </c>
      <c r="AR103">
        <v>0</v>
      </c>
      <c r="AT103">
        <v>0.61</v>
      </c>
      <c r="AU103" t="s">
        <v>115</v>
      </c>
      <c r="AV103">
        <v>0</v>
      </c>
      <c r="AW103">
        <v>2</v>
      </c>
      <c r="AX103">
        <v>55096539</v>
      </c>
      <c r="AY103">
        <v>1</v>
      </c>
      <c r="AZ103">
        <v>0</v>
      </c>
      <c r="BA103">
        <v>103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CX103">
        <f>Y103*Source!I105</f>
        <v>1.1437499999999998</v>
      </c>
      <c r="CY103">
        <f>AB103</f>
        <v>86.4</v>
      </c>
      <c r="CZ103">
        <f>AF103</f>
        <v>86.4</v>
      </c>
      <c r="DA103">
        <f>AJ103</f>
        <v>1</v>
      </c>
      <c r="DB103">
        <f>ROUND((ROUND(AT103*CZ103,2)*ROUND(1.25,7)),2)</f>
        <v>65.88</v>
      </c>
      <c r="DC103">
        <f>ROUND((ROUND(AT103*AG103,2)*ROUND(1.25,7)),2)</f>
        <v>10.3</v>
      </c>
    </row>
    <row r="104" spans="1:107" ht="12.75">
      <c r="A104">
        <f>ROW(Source!A105)</f>
        <v>105</v>
      </c>
      <c r="B104">
        <v>55110074</v>
      </c>
      <c r="C104">
        <v>55096536</v>
      </c>
      <c r="D104">
        <v>49620344</v>
      </c>
      <c r="E104">
        <v>1</v>
      </c>
      <c r="F104">
        <v>1</v>
      </c>
      <c r="G104">
        <v>1</v>
      </c>
      <c r="H104">
        <v>2</v>
      </c>
      <c r="I104" t="s">
        <v>352</v>
      </c>
      <c r="J104" t="s">
        <v>353</v>
      </c>
      <c r="K104" t="s">
        <v>354</v>
      </c>
      <c r="L104">
        <v>1368</v>
      </c>
      <c r="N104">
        <v>1011</v>
      </c>
      <c r="O104" t="s">
        <v>317</v>
      </c>
      <c r="P104" t="s">
        <v>317</v>
      </c>
      <c r="Q104">
        <v>1</v>
      </c>
      <c r="W104">
        <v>0</v>
      </c>
      <c r="X104">
        <v>30216853</v>
      </c>
      <c r="Y104">
        <v>0.125</v>
      </c>
      <c r="AA104">
        <v>0</v>
      </c>
      <c r="AB104">
        <v>115.4</v>
      </c>
      <c r="AC104">
        <v>13.5</v>
      </c>
      <c r="AD104">
        <v>0</v>
      </c>
      <c r="AE104">
        <v>0</v>
      </c>
      <c r="AF104">
        <v>115.4</v>
      </c>
      <c r="AG104">
        <v>13.5</v>
      </c>
      <c r="AH104">
        <v>0</v>
      </c>
      <c r="AI104">
        <v>1</v>
      </c>
      <c r="AJ104">
        <v>1</v>
      </c>
      <c r="AK104">
        <v>1</v>
      </c>
      <c r="AL104">
        <v>1</v>
      </c>
      <c r="AN104">
        <v>0</v>
      </c>
      <c r="AO104">
        <v>1</v>
      </c>
      <c r="AP104">
        <v>1</v>
      </c>
      <c r="AQ104">
        <v>0</v>
      </c>
      <c r="AR104">
        <v>0</v>
      </c>
      <c r="AT104">
        <v>0.1</v>
      </c>
      <c r="AU104" t="s">
        <v>115</v>
      </c>
      <c r="AV104">
        <v>0</v>
      </c>
      <c r="AW104">
        <v>2</v>
      </c>
      <c r="AX104">
        <v>55096540</v>
      </c>
      <c r="AY104">
        <v>1</v>
      </c>
      <c r="AZ104">
        <v>0</v>
      </c>
      <c r="BA104">
        <v>104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CX104">
        <f>Y104*Source!I105</f>
        <v>0.1875</v>
      </c>
      <c r="CY104">
        <f>AB104</f>
        <v>115.4</v>
      </c>
      <c r="CZ104">
        <f>AF104</f>
        <v>115.4</v>
      </c>
      <c r="DA104">
        <f>AJ104</f>
        <v>1</v>
      </c>
      <c r="DB104">
        <f>ROUND((ROUND(AT104*CZ104,2)*ROUND(1.25,7)),2)</f>
        <v>14.43</v>
      </c>
      <c r="DC104">
        <f>ROUND((ROUND(AT104*AG104,2)*ROUND(1.25,7)),2)</f>
        <v>1.69</v>
      </c>
    </row>
    <row r="105" spans="1:107" ht="12.75">
      <c r="A105">
        <f>ROW(Source!A105)</f>
        <v>105</v>
      </c>
      <c r="B105">
        <v>55110074</v>
      </c>
      <c r="C105">
        <v>55096536</v>
      </c>
      <c r="D105">
        <v>49621268</v>
      </c>
      <c r="E105">
        <v>1</v>
      </c>
      <c r="F105">
        <v>1</v>
      </c>
      <c r="G105">
        <v>1</v>
      </c>
      <c r="H105">
        <v>2</v>
      </c>
      <c r="I105" t="s">
        <v>345</v>
      </c>
      <c r="J105" t="s">
        <v>346</v>
      </c>
      <c r="K105" t="s">
        <v>347</v>
      </c>
      <c r="L105">
        <v>1368</v>
      </c>
      <c r="N105">
        <v>1011</v>
      </c>
      <c r="O105" t="s">
        <v>317</v>
      </c>
      <c r="P105" t="s">
        <v>317</v>
      </c>
      <c r="Q105">
        <v>1</v>
      </c>
      <c r="W105">
        <v>0</v>
      </c>
      <c r="X105">
        <v>1862470278</v>
      </c>
      <c r="Y105">
        <v>0.1875</v>
      </c>
      <c r="AA105">
        <v>0</v>
      </c>
      <c r="AB105">
        <v>65.71</v>
      </c>
      <c r="AC105">
        <v>11.6</v>
      </c>
      <c r="AD105">
        <v>0</v>
      </c>
      <c r="AE105">
        <v>0</v>
      </c>
      <c r="AF105">
        <v>65.71</v>
      </c>
      <c r="AG105">
        <v>11.6</v>
      </c>
      <c r="AH105">
        <v>0</v>
      </c>
      <c r="AI105">
        <v>1</v>
      </c>
      <c r="AJ105">
        <v>1</v>
      </c>
      <c r="AK105">
        <v>1</v>
      </c>
      <c r="AL105">
        <v>1</v>
      </c>
      <c r="AN105">
        <v>0</v>
      </c>
      <c r="AO105">
        <v>1</v>
      </c>
      <c r="AP105">
        <v>1</v>
      </c>
      <c r="AQ105">
        <v>0</v>
      </c>
      <c r="AR105">
        <v>0</v>
      </c>
      <c r="AT105">
        <v>0.15</v>
      </c>
      <c r="AU105" t="s">
        <v>115</v>
      </c>
      <c r="AV105">
        <v>0</v>
      </c>
      <c r="AW105">
        <v>2</v>
      </c>
      <c r="AX105">
        <v>55096541</v>
      </c>
      <c r="AY105">
        <v>1</v>
      </c>
      <c r="AZ105">
        <v>0</v>
      </c>
      <c r="BA105">
        <v>105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CX105">
        <f>Y105*Source!I105</f>
        <v>0.28125</v>
      </c>
      <c r="CY105">
        <f>AB105</f>
        <v>65.71</v>
      </c>
      <c r="CZ105">
        <f>AF105</f>
        <v>65.71</v>
      </c>
      <c r="DA105">
        <f>AJ105</f>
        <v>1</v>
      </c>
      <c r="DB105">
        <f>ROUND((ROUND(AT105*CZ105,2)*ROUND(1.25,7)),2)</f>
        <v>12.33</v>
      </c>
      <c r="DC105">
        <f>ROUND((ROUND(AT105*AG105,2)*ROUND(1.25,7)),2)</f>
        <v>2.18</v>
      </c>
    </row>
    <row r="106" spans="1:107" ht="12.75">
      <c r="A106">
        <f>ROW(Source!A105)</f>
        <v>105</v>
      </c>
      <c r="B106">
        <v>55110074</v>
      </c>
      <c r="C106">
        <v>55096536</v>
      </c>
      <c r="D106">
        <v>49470012</v>
      </c>
      <c r="E106">
        <v>1</v>
      </c>
      <c r="F106">
        <v>1</v>
      </c>
      <c r="G106">
        <v>1</v>
      </c>
      <c r="H106">
        <v>3</v>
      </c>
      <c r="I106" t="s">
        <v>355</v>
      </c>
      <c r="J106" t="s">
        <v>356</v>
      </c>
      <c r="K106" t="s">
        <v>357</v>
      </c>
      <c r="L106">
        <v>1346</v>
      </c>
      <c r="N106">
        <v>1009</v>
      </c>
      <c r="O106" t="s">
        <v>205</v>
      </c>
      <c r="P106" t="s">
        <v>205</v>
      </c>
      <c r="Q106">
        <v>1</v>
      </c>
      <c r="W106">
        <v>0</v>
      </c>
      <c r="X106">
        <v>795665641</v>
      </c>
      <c r="Y106">
        <v>32.49</v>
      </c>
      <c r="AA106">
        <v>6.09</v>
      </c>
      <c r="AB106">
        <v>0</v>
      </c>
      <c r="AC106">
        <v>0</v>
      </c>
      <c r="AD106">
        <v>0</v>
      </c>
      <c r="AE106">
        <v>6.09</v>
      </c>
      <c r="AF106">
        <v>0</v>
      </c>
      <c r="AG106">
        <v>0</v>
      </c>
      <c r="AH106">
        <v>0</v>
      </c>
      <c r="AI106">
        <v>1</v>
      </c>
      <c r="AJ106">
        <v>1</v>
      </c>
      <c r="AK106">
        <v>1</v>
      </c>
      <c r="AL106">
        <v>1</v>
      </c>
      <c r="AN106">
        <v>0</v>
      </c>
      <c r="AO106">
        <v>1</v>
      </c>
      <c r="AP106">
        <v>0</v>
      </c>
      <c r="AQ106">
        <v>0</v>
      </c>
      <c r="AR106">
        <v>0</v>
      </c>
      <c r="AT106">
        <v>32.49</v>
      </c>
      <c r="AV106">
        <v>0</v>
      </c>
      <c r="AW106">
        <v>2</v>
      </c>
      <c r="AX106">
        <v>55096542</v>
      </c>
      <c r="AY106">
        <v>1</v>
      </c>
      <c r="AZ106">
        <v>0</v>
      </c>
      <c r="BA106">
        <v>106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CX106">
        <f>Y106*Source!I105</f>
        <v>48.735</v>
      </c>
      <c r="CY106">
        <f>AA106</f>
        <v>6.09</v>
      </c>
      <c r="CZ106">
        <f>AE106</f>
        <v>6.09</v>
      </c>
      <c r="DA106">
        <f>AI106</f>
        <v>1</v>
      </c>
      <c r="DB106">
        <f>ROUND(ROUND(AT106*CZ106,2),2)</f>
        <v>197.86</v>
      </c>
      <c r="DC106">
        <f>ROUND(ROUND(AT106*AG106,2),2)</f>
        <v>0</v>
      </c>
    </row>
    <row r="107" spans="1:107" ht="12.75">
      <c r="A107">
        <f>ROW(Source!A105)</f>
        <v>105</v>
      </c>
      <c r="B107">
        <v>55110074</v>
      </c>
      <c r="C107">
        <v>55096536</v>
      </c>
      <c r="D107">
        <v>49476762</v>
      </c>
      <c r="E107">
        <v>1</v>
      </c>
      <c r="F107">
        <v>1</v>
      </c>
      <c r="G107">
        <v>1</v>
      </c>
      <c r="H107">
        <v>3</v>
      </c>
      <c r="I107" t="s">
        <v>191</v>
      </c>
      <c r="J107" t="s">
        <v>193</v>
      </c>
      <c r="K107" t="s">
        <v>192</v>
      </c>
      <c r="L107">
        <v>1339</v>
      </c>
      <c r="N107">
        <v>1007</v>
      </c>
      <c r="O107" t="s">
        <v>54</v>
      </c>
      <c r="P107" t="s">
        <v>54</v>
      </c>
      <c r="Q107">
        <v>1</v>
      </c>
      <c r="W107">
        <v>1</v>
      </c>
      <c r="X107">
        <v>-1924676840</v>
      </c>
      <c r="Y107">
        <v>-0.51</v>
      </c>
      <c r="AA107">
        <v>519.8</v>
      </c>
      <c r="AB107">
        <v>0</v>
      </c>
      <c r="AC107">
        <v>0</v>
      </c>
      <c r="AD107">
        <v>0</v>
      </c>
      <c r="AE107">
        <v>519.8</v>
      </c>
      <c r="AF107">
        <v>0</v>
      </c>
      <c r="AG107">
        <v>0</v>
      </c>
      <c r="AH107">
        <v>0</v>
      </c>
      <c r="AI107">
        <v>1</v>
      </c>
      <c r="AJ107">
        <v>1</v>
      </c>
      <c r="AK107">
        <v>1</v>
      </c>
      <c r="AL107">
        <v>1</v>
      </c>
      <c r="AN107">
        <v>0</v>
      </c>
      <c r="AO107">
        <v>1</v>
      </c>
      <c r="AP107">
        <v>0</v>
      </c>
      <c r="AQ107">
        <v>0</v>
      </c>
      <c r="AR107">
        <v>0</v>
      </c>
      <c r="AT107">
        <v>-0.51</v>
      </c>
      <c r="AV107">
        <v>0</v>
      </c>
      <c r="AW107">
        <v>2</v>
      </c>
      <c r="AX107">
        <v>55096543</v>
      </c>
      <c r="AY107">
        <v>1</v>
      </c>
      <c r="AZ107">
        <v>6144</v>
      </c>
      <c r="BA107">
        <v>107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CX107">
        <f>Y107*Source!I105</f>
        <v>-0.765</v>
      </c>
      <c r="CY107">
        <f>AA107</f>
        <v>519.8</v>
      </c>
      <c r="CZ107">
        <f>AE107</f>
        <v>519.8</v>
      </c>
      <c r="DA107">
        <f>AI107</f>
        <v>1</v>
      </c>
      <c r="DB107">
        <f>ROUND(ROUND(AT107*CZ107,2),2)</f>
        <v>-265.1</v>
      </c>
      <c r="DC107">
        <f>ROUND(ROUND(AT107*AG107,2),2)</f>
        <v>0</v>
      </c>
    </row>
    <row r="108" spans="1:107" ht="12.75">
      <c r="A108">
        <f>ROW(Source!A105)</f>
        <v>105</v>
      </c>
      <c r="B108">
        <v>55110074</v>
      </c>
      <c r="C108">
        <v>55096536</v>
      </c>
      <c r="D108">
        <v>53668685</v>
      </c>
      <c r="E108">
        <v>1</v>
      </c>
      <c r="F108">
        <v>1</v>
      </c>
      <c r="G108">
        <v>1</v>
      </c>
      <c r="H108">
        <v>3</v>
      </c>
      <c r="I108" t="s">
        <v>171</v>
      </c>
      <c r="J108" t="s">
        <v>174</v>
      </c>
      <c r="K108" t="s">
        <v>172</v>
      </c>
      <c r="L108">
        <v>1327</v>
      </c>
      <c r="N108">
        <v>1005</v>
      </c>
      <c r="O108" t="s">
        <v>173</v>
      </c>
      <c r="P108" t="s">
        <v>173</v>
      </c>
      <c r="Q108">
        <v>1</v>
      </c>
      <c r="W108">
        <v>0</v>
      </c>
      <c r="X108">
        <v>1276428827</v>
      </c>
      <c r="Y108">
        <v>114</v>
      </c>
      <c r="AA108">
        <v>27.73</v>
      </c>
      <c r="AB108">
        <v>0</v>
      </c>
      <c r="AC108">
        <v>0</v>
      </c>
      <c r="AD108">
        <v>0</v>
      </c>
      <c r="AE108">
        <v>27.73</v>
      </c>
      <c r="AF108">
        <v>0</v>
      </c>
      <c r="AG108">
        <v>0</v>
      </c>
      <c r="AH108">
        <v>0</v>
      </c>
      <c r="AI108">
        <v>1</v>
      </c>
      <c r="AJ108">
        <v>1</v>
      </c>
      <c r="AK108">
        <v>1</v>
      </c>
      <c r="AL108">
        <v>1</v>
      </c>
      <c r="AN108">
        <v>0</v>
      </c>
      <c r="AO108">
        <v>0</v>
      </c>
      <c r="AP108">
        <v>0</v>
      </c>
      <c r="AQ108">
        <v>0</v>
      </c>
      <c r="AR108">
        <v>0</v>
      </c>
      <c r="AT108">
        <v>114</v>
      </c>
      <c r="AV108">
        <v>0</v>
      </c>
      <c r="AW108">
        <v>1</v>
      </c>
      <c r="AX108">
        <v>-1</v>
      </c>
      <c r="AY108">
        <v>0</v>
      </c>
      <c r="AZ108">
        <v>0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CX108">
        <f>Y108*Source!I105</f>
        <v>171</v>
      </c>
      <c r="CY108">
        <f>AA108</f>
        <v>27.73</v>
      </c>
      <c r="CZ108">
        <f>AE108</f>
        <v>27.73</v>
      </c>
      <c r="DA108">
        <f>AI108</f>
        <v>1</v>
      </c>
      <c r="DB108">
        <f>ROUND(ROUND(AT108*CZ108,2),2)</f>
        <v>3161.22</v>
      </c>
      <c r="DC108">
        <f>ROUND(ROUND(AT108*AG108,2),2)</f>
        <v>0</v>
      </c>
    </row>
    <row r="109" spans="1:107" ht="12.75">
      <c r="A109">
        <f>ROW(Source!A105)</f>
        <v>105</v>
      </c>
      <c r="B109">
        <v>55110074</v>
      </c>
      <c r="C109">
        <v>55096536</v>
      </c>
      <c r="D109">
        <v>53668689</v>
      </c>
      <c r="E109">
        <v>1</v>
      </c>
      <c r="F109">
        <v>1</v>
      </c>
      <c r="G109">
        <v>1</v>
      </c>
      <c r="H109">
        <v>3</v>
      </c>
      <c r="I109" t="s">
        <v>176</v>
      </c>
      <c r="J109" t="s">
        <v>178</v>
      </c>
      <c r="K109" t="s">
        <v>177</v>
      </c>
      <c r="L109">
        <v>1327</v>
      </c>
      <c r="N109">
        <v>1005</v>
      </c>
      <c r="O109" t="s">
        <v>173</v>
      </c>
      <c r="P109" t="s">
        <v>173</v>
      </c>
      <c r="Q109">
        <v>1</v>
      </c>
      <c r="W109">
        <v>0</v>
      </c>
      <c r="X109">
        <v>-583407189</v>
      </c>
      <c r="Y109">
        <v>116</v>
      </c>
      <c r="AA109">
        <v>19.75</v>
      </c>
      <c r="AB109">
        <v>0</v>
      </c>
      <c r="AC109">
        <v>0</v>
      </c>
      <c r="AD109">
        <v>0</v>
      </c>
      <c r="AE109">
        <v>19.75</v>
      </c>
      <c r="AF109">
        <v>0</v>
      </c>
      <c r="AG109">
        <v>0</v>
      </c>
      <c r="AH109">
        <v>0</v>
      </c>
      <c r="AI109">
        <v>1</v>
      </c>
      <c r="AJ109">
        <v>1</v>
      </c>
      <c r="AK109">
        <v>1</v>
      </c>
      <c r="AL109">
        <v>1</v>
      </c>
      <c r="AN109">
        <v>0</v>
      </c>
      <c r="AO109">
        <v>0</v>
      </c>
      <c r="AP109">
        <v>0</v>
      </c>
      <c r="AQ109">
        <v>0</v>
      </c>
      <c r="AR109">
        <v>0</v>
      </c>
      <c r="AT109">
        <v>116</v>
      </c>
      <c r="AV109">
        <v>0</v>
      </c>
      <c r="AW109">
        <v>1</v>
      </c>
      <c r="AX109">
        <v>-1</v>
      </c>
      <c r="AY109">
        <v>0</v>
      </c>
      <c r="AZ109">
        <v>0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CX109">
        <f>Y109*Source!I105</f>
        <v>174</v>
      </c>
      <c r="CY109">
        <f>AA109</f>
        <v>19.75</v>
      </c>
      <c r="CZ109">
        <f>AE109</f>
        <v>19.75</v>
      </c>
      <c r="DA109">
        <f>AI109</f>
        <v>1</v>
      </c>
      <c r="DB109">
        <f>ROUND(ROUND(AT109*CZ109,2),2)</f>
        <v>2291</v>
      </c>
      <c r="DC109">
        <f>ROUND(ROUND(AT109*AG109,2),2)</f>
        <v>0</v>
      </c>
    </row>
    <row r="110" spans="1:107" ht="12.75">
      <c r="A110">
        <f>ROW(Source!A106)</f>
        <v>106</v>
      </c>
      <c r="B110">
        <v>55110083</v>
      </c>
      <c r="C110">
        <v>55096536</v>
      </c>
      <c r="D110">
        <v>49459409</v>
      </c>
      <c r="E110">
        <v>58</v>
      </c>
      <c r="F110">
        <v>1</v>
      </c>
      <c r="G110">
        <v>1</v>
      </c>
      <c r="H110">
        <v>1</v>
      </c>
      <c r="I110" t="s">
        <v>358</v>
      </c>
      <c r="K110" t="s">
        <v>359</v>
      </c>
      <c r="L110">
        <v>1191</v>
      </c>
      <c r="N110">
        <v>1013</v>
      </c>
      <c r="O110" t="s">
        <v>311</v>
      </c>
      <c r="P110" t="s">
        <v>311</v>
      </c>
      <c r="Q110">
        <v>1</v>
      </c>
      <c r="W110">
        <v>0</v>
      </c>
      <c r="X110">
        <v>-1027537862</v>
      </c>
      <c r="Y110">
        <v>40.824999999999996</v>
      </c>
      <c r="AA110">
        <v>0</v>
      </c>
      <c r="AB110">
        <v>0</v>
      </c>
      <c r="AC110">
        <v>0</v>
      </c>
      <c r="AD110">
        <v>9.18</v>
      </c>
      <c r="AE110">
        <v>0</v>
      </c>
      <c r="AF110">
        <v>0</v>
      </c>
      <c r="AG110">
        <v>0</v>
      </c>
      <c r="AH110">
        <v>9.18</v>
      </c>
      <c r="AI110">
        <v>1</v>
      </c>
      <c r="AJ110">
        <v>1</v>
      </c>
      <c r="AK110">
        <v>1</v>
      </c>
      <c r="AL110">
        <v>1</v>
      </c>
      <c r="AN110">
        <v>0</v>
      </c>
      <c r="AO110">
        <v>1</v>
      </c>
      <c r="AP110">
        <v>1</v>
      </c>
      <c r="AQ110">
        <v>0</v>
      </c>
      <c r="AR110">
        <v>0</v>
      </c>
      <c r="AT110">
        <v>35.5</v>
      </c>
      <c r="AU110" t="s">
        <v>116</v>
      </c>
      <c r="AV110">
        <v>1</v>
      </c>
      <c r="AW110">
        <v>2</v>
      </c>
      <c r="AX110">
        <v>55096537</v>
      </c>
      <c r="AY110">
        <v>1</v>
      </c>
      <c r="AZ110">
        <v>0</v>
      </c>
      <c r="BA110">
        <v>109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CX110">
        <f>Y110*Source!I106</f>
        <v>61.2375</v>
      </c>
      <c r="CY110">
        <f>AD110</f>
        <v>9.18</v>
      </c>
      <c r="CZ110">
        <f>AH110</f>
        <v>9.18</v>
      </c>
      <c r="DA110">
        <f>AL110</f>
        <v>1</v>
      </c>
      <c r="DB110">
        <f>ROUND((ROUND(AT110*CZ110,2)*ROUND(1.15,7)),2)</f>
        <v>374.77</v>
      </c>
      <c r="DC110">
        <f>ROUND((ROUND(AT110*AG110,2)*ROUND(1.15,7)),2)</f>
        <v>0</v>
      </c>
    </row>
    <row r="111" spans="1:107" ht="12.75">
      <c r="A111">
        <f>ROW(Source!A106)</f>
        <v>106</v>
      </c>
      <c r="B111">
        <v>55110083</v>
      </c>
      <c r="C111">
        <v>55096536</v>
      </c>
      <c r="D111">
        <v>49459566</v>
      </c>
      <c r="E111">
        <v>58</v>
      </c>
      <c r="F111">
        <v>1</v>
      </c>
      <c r="G111">
        <v>1</v>
      </c>
      <c r="H111">
        <v>1</v>
      </c>
      <c r="I111" t="s">
        <v>330</v>
      </c>
      <c r="K111" t="s">
        <v>321</v>
      </c>
      <c r="L111">
        <v>1191</v>
      </c>
      <c r="N111">
        <v>1013</v>
      </c>
      <c r="O111" t="s">
        <v>311</v>
      </c>
      <c r="P111" t="s">
        <v>311</v>
      </c>
      <c r="Q111">
        <v>1</v>
      </c>
      <c r="W111">
        <v>0</v>
      </c>
      <c r="X111">
        <v>-1173606021</v>
      </c>
      <c r="Y111">
        <v>1.075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1</v>
      </c>
      <c r="AJ111">
        <v>1</v>
      </c>
      <c r="AK111">
        <v>1</v>
      </c>
      <c r="AL111">
        <v>1</v>
      </c>
      <c r="AN111">
        <v>0</v>
      </c>
      <c r="AO111">
        <v>1</v>
      </c>
      <c r="AP111">
        <v>1</v>
      </c>
      <c r="AQ111">
        <v>0</v>
      </c>
      <c r="AR111">
        <v>0</v>
      </c>
      <c r="AT111">
        <v>0.86</v>
      </c>
      <c r="AU111" t="s">
        <v>115</v>
      </c>
      <c r="AV111">
        <v>2</v>
      </c>
      <c r="AW111">
        <v>2</v>
      </c>
      <c r="AX111">
        <v>55096538</v>
      </c>
      <c r="AY111">
        <v>1</v>
      </c>
      <c r="AZ111">
        <v>0</v>
      </c>
      <c r="BA111">
        <v>110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CX111">
        <f>Y111*Source!I106</f>
        <v>1.6124999999999998</v>
      </c>
      <c r="CY111">
        <f>AD111</f>
        <v>0</v>
      </c>
      <c r="CZ111">
        <f>AH111</f>
        <v>0</v>
      </c>
      <c r="DA111">
        <f>AL111</f>
        <v>1</v>
      </c>
      <c r="DB111">
        <f>ROUND((ROUND(AT111*CZ111,2)*ROUND(1.25,7)),2)</f>
        <v>0</v>
      </c>
      <c r="DC111">
        <f>ROUND((ROUND(AT111*AG111,2)*ROUND(1.25,7)),2)</f>
        <v>0</v>
      </c>
    </row>
    <row r="112" spans="1:107" ht="12.75">
      <c r="A112">
        <f>ROW(Source!A106)</f>
        <v>106</v>
      </c>
      <c r="B112">
        <v>55110083</v>
      </c>
      <c r="C112">
        <v>55096536</v>
      </c>
      <c r="D112">
        <v>49620286</v>
      </c>
      <c r="E112">
        <v>1</v>
      </c>
      <c r="F112">
        <v>1</v>
      </c>
      <c r="G112">
        <v>1</v>
      </c>
      <c r="H112">
        <v>2</v>
      </c>
      <c r="I112" t="s">
        <v>331</v>
      </c>
      <c r="J112" t="s">
        <v>332</v>
      </c>
      <c r="K112" t="s">
        <v>333</v>
      </c>
      <c r="L112">
        <v>1368</v>
      </c>
      <c r="N112">
        <v>1011</v>
      </c>
      <c r="O112" t="s">
        <v>317</v>
      </c>
      <c r="P112" t="s">
        <v>317</v>
      </c>
      <c r="Q112">
        <v>1</v>
      </c>
      <c r="W112">
        <v>0</v>
      </c>
      <c r="X112">
        <v>-1554407757</v>
      </c>
      <c r="Y112">
        <v>0.7625</v>
      </c>
      <c r="AA112">
        <v>0</v>
      </c>
      <c r="AB112">
        <v>888.19</v>
      </c>
      <c r="AC112">
        <v>486.41</v>
      </c>
      <c r="AD112">
        <v>0</v>
      </c>
      <c r="AE112">
        <v>0</v>
      </c>
      <c r="AF112">
        <v>86.4</v>
      </c>
      <c r="AG112">
        <v>13.5</v>
      </c>
      <c r="AH112">
        <v>0</v>
      </c>
      <c r="AI112">
        <v>1</v>
      </c>
      <c r="AJ112">
        <v>10.28</v>
      </c>
      <c r="AK112">
        <v>36.03</v>
      </c>
      <c r="AL112">
        <v>1</v>
      </c>
      <c r="AN112">
        <v>0</v>
      </c>
      <c r="AO112">
        <v>1</v>
      </c>
      <c r="AP112">
        <v>1</v>
      </c>
      <c r="AQ112">
        <v>0</v>
      </c>
      <c r="AR112">
        <v>0</v>
      </c>
      <c r="AT112">
        <v>0.61</v>
      </c>
      <c r="AU112" t="s">
        <v>115</v>
      </c>
      <c r="AV112">
        <v>0</v>
      </c>
      <c r="AW112">
        <v>2</v>
      </c>
      <c r="AX112">
        <v>55096539</v>
      </c>
      <c r="AY112">
        <v>1</v>
      </c>
      <c r="AZ112">
        <v>0</v>
      </c>
      <c r="BA112">
        <v>111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CX112">
        <f>Y112*Source!I106</f>
        <v>1.1437499999999998</v>
      </c>
      <c r="CY112">
        <f>AB112</f>
        <v>888.19</v>
      </c>
      <c r="CZ112">
        <f>AF112</f>
        <v>86.4</v>
      </c>
      <c r="DA112">
        <f>AJ112</f>
        <v>10.28</v>
      </c>
      <c r="DB112">
        <f>ROUND((ROUND(AT112*CZ112,2)*ROUND(1.25,7)),2)</f>
        <v>65.88</v>
      </c>
      <c r="DC112">
        <f>ROUND((ROUND(AT112*AG112,2)*ROUND(1.25,7)),2)</f>
        <v>10.3</v>
      </c>
    </row>
    <row r="113" spans="1:107" ht="12.75">
      <c r="A113">
        <f>ROW(Source!A106)</f>
        <v>106</v>
      </c>
      <c r="B113">
        <v>55110083</v>
      </c>
      <c r="C113">
        <v>55096536</v>
      </c>
      <c r="D113">
        <v>49620344</v>
      </c>
      <c r="E113">
        <v>1</v>
      </c>
      <c r="F113">
        <v>1</v>
      </c>
      <c r="G113">
        <v>1</v>
      </c>
      <c r="H113">
        <v>2</v>
      </c>
      <c r="I113" t="s">
        <v>352</v>
      </c>
      <c r="J113" t="s">
        <v>353</v>
      </c>
      <c r="K113" t="s">
        <v>354</v>
      </c>
      <c r="L113">
        <v>1368</v>
      </c>
      <c r="N113">
        <v>1011</v>
      </c>
      <c r="O113" t="s">
        <v>317</v>
      </c>
      <c r="P113" t="s">
        <v>317</v>
      </c>
      <c r="Q113">
        <v>1</v>
      </c>
      <c r="W113">
        <v>0</v>
      </c>
      <c r="X113">
        <v>30216853</v>
      </c>
      <c r="Y113">
        <v>0.125</v>
      </c>
      <c r="AA113">
        <v>0</v>
      </c>
      <c r="AB113">
        <v>1237.09</v>
      </c>
      <c r="AC113">
        <v>486.41</v>
      </c>
      <c r="AD113">
        <v>0</v>
      </c>
      <c r="AE113">
        <v>0</v>
      </c>
      <c r="AF113">
        <v>115.4</v>
      </c>
      <c r="AG113">
        <v>13.5</v>
      </c>
      <c r="AH113">
        <v>0</v>
      </c>
      <c r="AI113">
        <v>1</v>
      </c>
      <c r="AJ113">
        <v>10.72</v>
      </c>
      <c r="AK113">
        <v>36.03</v>
      </c>
      <c r="AL113">
        <v>1</v>
      </c>
      <c r="AN113">
        <v>0</v>
      </c>
      <c r="AO113">
        <v>1</v>
      </c>
      <c r="AP113">
        <v>1</v>
      </c>
      <c r="AQ113">
        <v>0</v>
      </c>
      <c r="AR113">
        <v>0</v>
      </c>
      <c r="AT113">
        <v>0.1</v>
      </c>
      <c r="AU113" t="s">
        <v>115</v>
      </c>
      <c r="AV113">
        <v>0</v>
      </c>
      <c r="AW113">
        <v>2</v>
      </c>
      <c r="AX113">
        <v>55096540</v>
      </c>
      <c r="AY113">
        <v>1</v>
      </c>
      <c r="AZ113">
        <v>0</v>
      </c>
      <c r="BA113">
        <v>112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CX113">
        <f>Y113*Source!I106</f>
        <v>0.1875</v>
      </c>
      <c r="CY113">
        <f>AB113</f>
        <v>1237.09</v>
      </c>
      <c r="CZ113">
        <f>AF113</f>
        <v>115.4</v>
      </c>
      <c r="DA113">
        <f>AJ113</f>
        <v>10.72</v>
      </c>
      <c r="DB113">
        <f>ROUND((ROUND(AT113*CZ113,2)*ROUND(1.25,7)),2)</f>
        <v>14.43</v>
      </c>
      <c r="DC113">
        <f>ROUND((ROUND(AT113*AG113,2)*ROUND(1.25,7)),2)</f>
        <v>1.69</v>
      </c>
    </row>
    <row r="114" spans="1:107" ht="12.75">
      <c r="A114">
        <f>ROW(Source!A106)</f>
        <v>106</v>
      </c>
      <c r="B114">
        <v>55110083</v>
      </c>
      <c r="C114">
        <v>55096536</v>
      </c>
      <c r="D114">
        <v>49621268</v>
      </c>
      <c r="E114">
        <v>1</v>
      </c>
      <c r="F114">
        <v>1</v>
      </c>
      <c r="G114">
        <v>1</v>
      </c>
      <c r="H114">
        <v>2</v>
      </c>
      <c r="I114" t="s">
        <v>345</v>
      </c>
      <c r="J114" t="s">
        <v>346</v>
      </c>
      <c r="K114" t="s">
        <v>347</v>
      </c>
      <c r="L114">
        <v>1368</v>
      </c>
      <c r="N114">
        <v>1011</v>
      </c>
      <c r="O114" t="s">
        <v>317</v>
      </c>
      <c r="P114" t="s">
        <v>317</v>
      </c>
      <c r="Q114">
        <v>1</v>
      </c>
      <c r="W114">
        <v>0</v>
      </c>
      <c r="X114">
        <v>1862470278</v>
      </c>
      <c r="Y114">
        <v>0.1875</v>
      </c>
      <c r="AA114">
        <v>0</v>
      </c>
      <c r="AB114">
        <v>778.66</v>
      </c>
      <c r="AC114">
        <v>417.95</v>
      </c>
      <c r="AD114">
        <v>0</v>
      </c>
      <c r="AE114">
        <v>0</v>
      </c>
      <c r="AF114">
        <v>65.71</v>
      </c>
      <c r="AG114">
        <v>11.6</v>
      </c>
      <c r="AH114">
        <v>0</v>
      </c>
      <c r="AI114">
        <v>1</v>
      </c>
      <c r="AJ114">
        <v>11.85</v>
      </c>
      <c r="AK114">
        <v>36.03</v>
      </c>
      <c r="AL114">
        <v>1</v>
      </c>
      <c r="AN114">
        <v>0</v>
      </c>
      <c r="AO114">
        <v>1</v>
      </c>
      <c r="AP114">
        <v>1</v>
      </c>
      <c r="AQ114">
        <v>0</v>
      </c>
      <c r="AR114">
        <v>0</v>
      </c>
      <c r="AT114">
        <v>0.15</v>
      </c>
      <c r="AU114" t="s">
        <v>115</v>
      </c>
      <c r="AV114">
        <v>0</v>
      </c>
      <c r="AW114">
        <v>2</v>
      </c>
      <c r="AX114">
        <v>55096541</v>
      </c>
      <c r="AY114">
        <v>1</v>
      </c>
      <c r="AZ114">
        <v>0</v>
      </c>
      <c r="BA114">
        <v>113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CX114">
        <f>Y114*Source!I106</f>
        <v>0.28125</v>
      </c>
      <c r="CY114">
        <f>AB114</f>
        <v>778.66</v>
      </c>
      <c r="CZ114">
        <f>AF114</f>
        <v>65.71</v>
      </c>
      <c r="DA114">
        <f>AJ114</f>
        <v>11.85</v>
      </c>
      <c r="DB114">
        <f>ROUND((ROUND(AT114*CZ114,2)*ROUND(1.25,7)),2)</f>
        <v>12.33</v>
      </c>
      <c r="DC114">
        <f>ROUND((ROUND(AT114*AG114,2)*ROUND(1.25,7)),2)</f>
        <v>2.18</v>
      </c>
    </row>
    <row r="115" spans="1:107" ht="12.75">
      <c r="A115">
        <f>ROW(Source!A106)</f>
        <v>106</v>
      </c>
      <c r="B115">
        <v>55110083</v>
      </c>
      <c r="C115">
        <v>55096536</v>
      </c>
      <c r="D115">
        <v>49470012</v>
      </c>
      <c r="E115">
        <v>1</v>
      </c>
      <c r="F115">
        <v>1</v>
      </c>
      <c r="G115">
        <v>1</v>
      </c>
      <c r="H115">
        <v>3</v>
      </c>
      <c r="I115" t="s">
        <v>355</v>
      </c>
      <c r="J115" t="s">
        <v>356</v>
      </c>
      <c r="K115" t="s">
        <v>357</v>
      </c>
      <c r="L115">
        <v>1346</v>
      </c>
      <c r="N115">
        <v>1009</v>
      </c>
      <c r="O115" t="s">
        <v>205</v>
      </c>
      <c r="P115" t="s">
        <v>205</v>
      </c>
      <c r="Q115">
        <v>1</v>
      </c>
      <c r="W115">
        <v>0</v>
      </c>
      <c r="X115">
        <v>795665641</v>
      </c>
      <c r="Y115">
        <v>32.49</v>
      </c>
      <c r="AA115">
        <v>51.64</v>
      </c>
      <c r="AB115">
        <v>0</v>
      </c>
      <c r="AC115">
        <v>0</v>
      </c>
      <c r="AD115">
        <v>0</v>
      </c>
      <c r="AE115">
        <v>6.09</v>
      </c>
      <c r="AF115">
        <v>0</v>
      </c>
      <c r="AG115">
        <v>0</v>
      </c>
      <c r="AH115">
        <v>0</v>
      </c>
      <c r="AI115">
        <v>8.48</v>
      </c>
      <c r="AJ115">
        <v>1</v>
      </c>
      <c r="AK115">
        <v>1</v>
      </c>
      <c r="AL115">
        <v>1</v>
      </c>
      <c r="AN115">
        <v>0</v>
      </c>
      <c r="AO115">
        <v>1</v>
      </c>
      <c r="AP115">
        <v>0</v>
      </c>
      <c r="AQ115">
        <v>0</v>
      </c>
      <c r="AR115">
        <v>0</v>
      </c>
      <c r="AT115">
        <v>32.49</v>
      </c>
      <c r="AV115">
        <v>0</v>
      </c>
      <c r="AW115">
        <v>2</v>
      </c>
      <c r="AX115">
        <v>55096542</v>
      </c>
      <c r="AY115">
        <v>1</v>
      </c>
      <c r="AZ115">
        <v>0</v>
      </c>
      <c r="BA115">
        <v>114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CX115">
        <f>Y115*Source!I106</f>
        <v>48.735</v>
      </c>
      <c r="CY115">
        <f>AA115</f>
        <v>51.64</v>
      </c>
      <c r="CZ115">
        <f>AE115</f>
        <v>6.09</v>
      </c>
      <c r="DA115">
        <f>AI115</f>
        <v>8.48</v>
      </c>
      <c r="DB115">
        <f>ROUND(ROUND(AT115*CZ115,2),2)</f>
        <v>197.86</v>
      </c>
      <c r="DC115">
        <f>ROUND(ROUND(AT115*AG115,2),2)</f>
        <v>0</v>
      </c>
    </row>
    <row r="116" spans="1:107" ht="12.75">
      <c r="A116">
        <f>ROW(Source!A106)</f>
        <v>106</v>
      </c>
      <c r="B116">
        <v>55110083</v>
      </c>
      <c r="C116">
        <v>55096536</v>
      </c>
      <c r="D116">
        <v>49476762</v>
      </c>
      <c r="E116">
        <v>1</v>
      </c>
      <c r="F116">
        <v>1</v>
      </c>
      <c r="G116">
        <v>1</v>
      </c>
      <c r="H116">
        <v>3</v>
      </c>
      <c r="I116" t="s">
        <v>191</v>
      </c>
      <c r="J116" t="s">
        <v>193</v>
      </c>
      <c r="K116" t="s">
        <v>192</v>
      </c>
      <c r="L116">
        <v>1339</v>
      </c>
      <c r="N116">
        <v>1007</v>
      </c>
      <c r="O116" t="s">
        <v>54</v>
      </c>
      <c r="P116" t="s">
        <v>54</v>
      </c>
      <c r="Q116">
        <v>1</v>
      </c>
      <c r="W116">
        <v>1</v>
      </c>
      <c r="X116">
        <v>-1924676840</v>
      </c>
      <c r="Y116">
        <v>-0.51</v>
      </c>
      <c r="AA116">
        <v>3357.91</v>
      </c>
      <c r="AB116">
        <v>0</v>
      </c>
      <c r="AC116">
        <v>0</v>
      </c>
      <c r="AD116">
        <v>0</v>
      </c>
      <c r="AE116">
        <v>519.8</v>
      </c>
      <c r="AF116">
        <v>0</v>
      </c>
      <c r="AG116">
        <v>0</v>
      </c>
      <c r="AH116">
        <v>0</v>
      </c>
      <c r="AI116">
        <v>6.46</v>
      </c>
      <c r="AJ116">
        <v>1</v>
      </c>
      <c r="AK116">
        <v>1</v>
      </c>
      <c r="AL116">
        <v>1</v>
      </c>
      <c r="AN116">
        <v>0</v>
      </c>
      <c r="AO116">
        <v>1</v>
      </c>
      <c r="AP116">
        <v>0</v>
      </c>
      <c r="AQ116">
        <v>0</v>
      </c>
      <c r="AR116">
        <v>0</v>
      </c>
      <c r="AT116">
        <v>-0.51</v>
      </c>
      <c r="AV116">
        <v>0</v>
      </c>
      <c r="AW116">
        <v>2</v>
      </c>
      <c r="AX116">
        <v>55096543</v>
      </c>
      <c r="AY116">
        <v>1</v>
      </c>
      <c r="AZ116">
        <v>6144</v>
      </c>
      <c r="BA116">
        <v>115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CX116">
        <f>Y116*Source!I106</f>
        <v>-0.765</v>
      </c>
      <c r="CY116">
        <f>AA116</f>
        <v>3357.91</v>
      </c>
      <c r="CZ116">
        <f>AE116</f>
        <v>519.8</v>
      </c>
      <c r="DA116">
        <f>AI116</f>
        <v>6.46</v>
      </c>
      <c r="DB116">
        <f>ROUND(ROUND(AT116*CZ116,2),2)</f>
        <v>-265.1</v>
      </c>
      <c r="DC116">
        <f>ROUND(ROUND(AT116*AG116,2),2)</f>
        <v>0</v>
      </c>
    </row>
    <row r="117" spans="1:107" ht="12.75">
      <c r="A117">
        <f>ROW(Source!A106)</f>
        <v>106</v>
      </c>
      <c r="B117">
        <v>55110083</v>
      </c>
      <c r="C117">
        <v>55096536</v>
      </c>
      <c r="D117">
        <v>53668685</v>
      </c>
      <c r="E117">
        <v>1</v>
      </c>
      <c r="F117">
        <v>1</v>
      </c>
      <c r="G117">
        <v>1</v>
      </c>
      <c r="H117">
        <v>3</v>
      </c>
      <c r="I117" t="s">
        <v>171</v>
      </c>
      <c r="J117" t="s">
        <v>174</v>
      </c>
      <c r="K117" t="s">
        <v>172</v>
      </c>
      <c r="L117">
        <v>1327</v>
      </c>
      <c r="N117">
        <v>1005</v>
      </c>
      <c r="O117" t="s">
        <v>173</v>
      </c>
      <c r="P117" t="s">
        <v>173</v>
      </c>
      <c r="Q117">
        <v>1</v>
      </c>
      <c r="W117">
        <v>0</v>
      </c>
      <c r="X117">
        <v>1276428827</v>
      </c>
      <c r="Y117">
        <v>114</v>
      </c>
      <c r="AA117">
        <v>112.03</v>
      </c>
      <c r="AB117">
        <v>0</v>
      </c>
      <c r="AC117">
        <v>0</v>
      </c>
      <c r="AD117">
        <v>0</v>
      </c>
      <c r="AE117">
        <v>27.73</v>
      </c>
      <c r="AF117">
        <v>0</v>
      </c>
      <c r="AG117">
        <v>0</v>
      </c>
      <c r="AH117">
        <v>0</v>
      </c>
      <c r="AI117">
        <v>4.04</v>
      </c>
      <c r="AJ117">
        <v>1</v>
      </c>
      <c r="AK117">
        <v>1</v>
      </c>
      <c r="AL117">
        <v>1</v>
      </c>
      <c r="AN117">
        <v>0</v>
      </c>
      <c r="AO117">
        <v>0</v>
      </c>
      <c r="AP117">
        <v>0</v>
      </c>
      <c r="AQ117">
        <v>0</v>
      </c>
      <c r="AR117">
        <v>0</v>
      </c>
      <c r="AT117">
        <v>114</v>
      </c>
      <c r="AV117">
        <v>0</v>
      </c>
      <c r="AW117">
        <v>1</v>
      </c>
      <c r="AX117">
        <v>-1</v>
      </c>
      <c r="AY117">
        <v>0</v>
      </c>
      <c r="AZ117">
        <v>0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CX117">
        <f>Y117*Source!I106</f>
        <v>171</v>
      </c>
      <c r="CY117">
        <f>AA117</f>
        <v>112.03</v>
      </c>
      <c r="CZ117">
        <f>AE117</f>
        <v>27.73</v>
      </c>
      <c r="DA117">
        <f>AI117</f>
        <v>4.04</v>
      </c>
      <c r="DB117">
        <f>ROUND(ROUND(AT117*CZ117,2),2)</f>
        <v>3161.22</v>
      </c>
      <c r="DC117">
        <f>ROUND(ROUND(AT117*AG117,2),2)</f>
        <v>0</v>
      </c>
    </row>
    <row r="118" spans="1:107" ht="12.75">
      <c r="A118">
        <f>ROW(Source!A106)</f>
        <v>106</v>
      </c>
      <c r="B118">
        <v>55110083</v>
      </c>
      <c r="C118">
        <v>55096536</v>
      </c>
      <c r="D118">
        <v>53668689</v>
      </c>
      <c r="E118">
        <v>1</v>
      </c>
      <c r="F118">
        <v>1</v>
      </c>
      <c r="G118">
        <v>1</v>
      </c>
      <c r="H118">
        <v>3</v>
      </c>
      <c r="I118" t="s">
        <v>176</v>
      </c>
      <c r="J118" t="s">
        <v>178</v>
      </c>
      <c r="K118" t="s">
        <v>177</v>
      </c>
      <c r="L118">
        <v>1327</v>
      </c>
      <c r="N118">
        <v>1005</v>
      </c>
      <c r="O118" t="s">
        <v>173</v>
      </c>
      <c r="P118" t="s">
        <v>173</v>
      </c>
      <c r="Q118">
        <v>1</v>
      </c>
      <c r="W118">
        <v>0</v>
      </c>
      <c r="X118">
        <v>-583407189</v>
      </c>
      <c r="Y118">
        <v>116</v>
      </c>
      <c r="AA118">
        <v>119.09</v>
      </c>
      <c r="AB118">
        <v>0</v>
      </c>
      <c r="AC118">
        <v>0</v>
      </c>
      <c r="AD118">
        <v>0</v>
      </c>
      <c r="AE118">
        <v>19.75</v>
      </c>
      <c r="AF118">
        <v>0</v>
      </c>
      <c r="AG118">
        <v>0</v>
      </c>
      <c r="AH118">
        <v>0</v>
      </c>
      <c r="AI118">
        <v>6.03</v>
      </c>
      <c r="AJ118">
        <v>1</v>
      </c>
      <c r="AK118">
        <v>1</v>
      </c>
      <c r="AL118">
        <v>1</v>
      </c>
      <c r="AN118">
        <v>0</v>
      </c>
      <c r="AO118">
        <v>0</v>
      </c>
      <c r="AP118">
        <v>0</v>
      </c>
      <c r="AQ118">
        <v>0</v>
      </c>
      <c r="AR118">
        <v>0</v>
      </c>
      <c r="AT118">
        <v>116</v>
      </c>
      <c r="AV118">
        <v>0</v>
      </c>
      <c r="AW118">
        <v>1</v>
      </c>
      <c r="AX118">
        <v>-1</v>
      </c>
      <c r="AY118">
        <v>0</v>
      </c>
      <c r="AZ118">
        <v>0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CX118">
        <f>Y118*Source!I106</f>
        <v>174</v>
      </c>
      <c r="CY118">
        <f>AA118</f>
        <v>119.09</v>
      </c>
      <c r="CZ118">
        <f>AE118</f>
        <v>19.75</v>
      </c>
      <c r="DA118">
        <f>AI118</f>
        <v>6.03</v>
      </c>
      <c r="DB118">
        <f>ROUND(ROUND(AT118*CZ118,2),2)</f>
        <v>2291</v>
      </c>
      <c r="DC118">
        <f>ROUND(ROUND(AT118*AG118,2),2)</f>
        <v>0</v>
      </c>
    </row>
    <row r="119" spans="1:107" ht="12.75">
      <c r="A119">
        <f>ROW(Source!A113)</f>
        <v>113</v>
      </c>
      <c r="B119">
        <v>55110074</v>
      </c>
      <c r="C119">
        <v>55100253</v>
      </c>
      <c r="D119">
        <v>53630083</v>
      </c>
      <c r="E119">
        <v>70</v>
      </c>
      <c r="F119">
        <v>1</v>
      </c>
      <c r="G119">
        <v>1</v>
      </c>
      <c r="H119">
        <v>1</v>
      </c>
      <c r="I119" t="s">
        <v>360</v>
      </c>
      <c r="K119" t="s">
        <v>361</v>
      </c>
      <c r="L119">
        <v>1191</v>
      </c>
      <c r="N119">
        <v>1013</v>
      </c>
      <c r="O119" t="s">
        <v>311</v>
      </c>
      <c r="P119" t="s">
        <v>311</v>
      </c>
      <c r="Q119">
        <v>1</v>
      </c>
      <c r="W119">
        <v>0</v>
      </c>
      <c r="X119">
        <v>1893946532</v>
      </c>
      <c r="Y119">
        <v>18.285</v>
      </c>
      <c r="AA119">
        <v>0</v>
      </c>
      <c r="AB119">
        <v>0</v>
      </c>
      <c r="AC119">
        <v>0</v>
      </c>
      <c r="AD119">
        <v>9.07</v>
      </c>
      <c r="AE119">
        <v>0</v>
      </c>
      <c r="AF119">
        <v>0</v>
      </c>
      <c r="AG119">
        <v>0</v>
      </c>
      <c r="AH119">
        <v>9.07</v>
      </c>
      <c r="AI119">
        <v>1</v>
      </c>
      <c r="AJ119">
        <v>1</v>
      </c>
      <c r="AK119">
        <v>1</v>
      </c>
      <c r="AL119">
        <v>1</v>
      </c>
      <c r="AN119">
        <v>0</v>
      </c>
      <c r="AO119">
        <v>1</v>
      </c>
      <c r="AP119">
        <v>1</v>
      </c>
      <c r="AQ119">
        <v>0</v>
      </c>
      <c r="AR119">
        <v>0</v>
      </c>
      <c r="AT119">
        <v>15.9</v>
      </c>
      <c r="AU119" t="s">
        <v>116</v>
      </c>
      <c r="AV119">
        <v>1</v>
      </c>
      <c r="AW119">
        <v>2</v>
      </c>
      <c r="AX119">
        <v>55100254</v>
      </c>
      <c r="AY119">
        <v>1</v>
      </c>
      <c r="AZ119">
        <v>0</v>
      </c>
      <c r="BA119">
        <v>117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CX119">
        <f>Y119*Source!I113</f>
        <v>9.1425</v>
      </c>
      <c r="CY119">
        <f>AD119</f>
        <v>9.07</v>
      </c>
      <c r="CZ119">
        <f>AH119</f>
        <v>9.07</v>
      </c>
      <c r="DA119">
        <f>AL119</f>
        <v>1</v>
      </c>
      <c r="DB119">
        <f>ROUND((ROUND(AT119*CZ119,2)*ROUND(1.15,7)),2)</f>
        <v>165.84</v>
      </c>
      <c r="DC119">
        <f>ROUND((ROUND(AT119*AG119,2)*ROUND(1.15,7)),2)</f>
        <v>0</v>
      </c>
    </row>
    <row r="120" spans="1:107" ht="12.75">
      <c r="A120">
        <f>ROW(Source!A113)</f>
        <v>113</v>
      </c>
      <c r="B120">
        <v>55110074</v>
      </c>
      <c r="C120">
        <v>55100253</v>
      </c>
      <c r="D120">
        <v>53792222</v>
      </c>
      <c r="E120">
        <v>1</v>
      </c>
      <c r="F120">
        <v>1</v>
      </c>
      <c r="G120">
        <v>1</v>
      </c>
      <c r="H120">
        <v>2</v>
      </c>
      <c r="I120" t="s">
        <v>362</v>
      </c>
      <c r="J120" t="s">
        <v>363</v>
      </c>
      <c r="K120" t="s">
        <v>364</v>
      </c>
      <c r="L120">
        <v>1367</v>
      </c>
      <c r="N120">
        <v>1011</v>
      </c>
      <c r="O120" t="s">
        <v>315</v>
      </c>
      <c r="P120" t="s">
        <v>315</v>
      </c>
      <c r="Q120">
        <v>1</v>
      </c>
      <c r="W120">
        <v>0</v>
      </c>
      <c r="X120">
        <v>-1759410705</v>
      </c>
      <c r="Y120">
        <v>8.95</v>
      </c>
      <c r="AA120">
        <v>0</v>
      </c>
      <c r="AB120">
        <v>53.87</v>
      </c>
      <c r="AC120">
        <v>0</v>
      </c>
      <c r="AD120">
        <v>0</v>
      </c>
      <c r="AE120">
        <v>0</v>
      </c>
      <c r="AF120">
        <v>53.87</v>
      </c>
      <c r="AG120">
        <v>0</v>
      </c>
      <c r="AH120">
        <v>0</v>
      </c>
      <c r="AI120">
        <v>1</v>
      </c>
      <c r="AJ120">
        <v>1</v>
      </c>
      <c r="AK120">
        <v>1</v>
      </c>
      <c r="AL120">
        <v>1</v>
      </c>
      <c r="AN120">
        <v>0</v>
      </c>
      <c r="AO120">
        <v>1</v>
      </c>
      <c r="AP120">
        <v>1</v>
      </c>
      <c r="AQ120">
        <v>0</v>
      </c>
      <c r="AR120">
        <v>0</v>
      </c>
      <c r="AT120">
        <v>7.16</v>
      </c>
      <c r="AU120" t="s">
        <v>115</v>
      </c>
      <c r="AV120">
        <v>0</v>
      </c>
      <c r="AW120">
        <v>2</v>
      </c>
      <c r="AX120">
        <v>55100255</v>
      </c>
      <c r="AY120">
        <v>1</v>
      </c>
      <c r="AZ120">
        <v>0</v>
      </c>
      <c r="BA120">
        <v>118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CX120">
        <f>Y120*Source!I113</f>
        <v>4.475</v>
      </c>
      <c r="CY120">
        <f>AB120</f>
        <v>53.87</v>
      </c>
      <c r="CZ120">
        <f>AF120</f>
        <v>53.87</v>
      </c>
      <c r="DA120">
        <f>AJ120</f>
        <v>1</v>
      </c>
      <c r="DB120">
        <f>ROUND((ROUND(AT120*CZ120,2)*ROUND(1.25,7)),2)</f>
        <v>482.14</v>
      </c>
      <c r="DC120">
        <f>ROUND((ROUND(AT120*AG120,2)*ROUND(1.25,7)),2)</f>
        <v>0</v>
      </c>
    </row>
    <row r="121" spans="1:107" ht="12.75">
      <c r="A121">
        <f>ROW(Source!A113)</f>
        <v>113</v>
      </c>
      <c r="B121">
        <v>55110074</v>
      </c>
      <c r="C121">
        <v>55100253</v>
      </c>
      <c r="D121">
        <v>53642783</v>
      </c>
      <c r="E121">
        <v>1</v>
      </c>
      <c r="F121">
        <v>1</v>
      </c>
      <c r="G121">
        <v>1</v>
      </c>
      <c r="H121">
        <v>3</v>
      </c>
      <c r="I121" t="s">
        <v>203</v>
      </c>
      <c r="J121" t="s">
        <v>206</v>
      </c>
      <c r="K121" t="s">
        <v>204</v>
      </c>
      <c r="L121">
        <v>1346</v>
      </c>
      <c r="N121">
        <v>1009</v>
      </c>
      <c r="O121" t="s">
        <v>205</v>
      </c>
      <c r="P121" t="s">
        <v>205</v>
      </c>
      <c r="Q121">
        <v>1</v>
      </c>
      <c r="W121">
        <v>0</v>
      </c>
      <c r="X121">
        <v>624972744</v>
      </c>
      <c r="Y121">
        <v>19.5</v>
      </c>
      <c r="AA121">
        <v>31.08</v>
      </c>
      <c r="AB121">
        <v>0</v>
      </c>
      <c r="AC121">
        <v>0</v>
      </c>
      <c r="AD121">
        <v>0</v>
      </c>
      <c r="AE121">
        <v>31.08</v>
      </c>
      <c r="AF121">
        <v>0</v>
      </c>
      <c r="AG121">
        <v>0</v>
      </c>
      <c r="AH121">
        <v>0</v>
      </c>
      <c r="AI121">
        <v>1</v>
      </c>
      <c r="AJ121">
        <v>1</v>
      </c>
      <c r="AK121">
        <v>1</v>
      </c>
      <c r="AL121">
        <v>1</v>
      </c>
      <c r="AN121">
        <v>0</v>
      </c>
      <c r="AO121">
        <v>0</v>
      </c>
      <c r="AP121">
        <v>0</v>
      </c>
      <c r="AQ121">
        <v>0</v>
      </c>
      <c r="AR121">
        <v>0</v>
      </c>
      <c r="AT121">
        <v>19.5</v>
      </c>
      <c r="AV121">
        <v>0</v>
      </c>
      <c r="AW121">
        <v>1</v>
      </c>
      <c r="AX121">
        <v>-1</v>
      </c>
      <c r="AY121">
        <v>0</v>
      </c>
      <c r="AZ121">
        <v>0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CX121">
        <f>Y121*Source!I113</f>
        <v>9.75</v>
      </c>
      <c r="CY121">
        <f>AA121</f>
        <v>31.08</v>
      </c>
      <c r="CZ121">
        <f>AE121</f>
        <v>31.08</v>
      </c>
      <c r="DA121">
        <f>AI121</f>
        <v>1</v>
      </c>
      <c r="DB121">
        <f>ROUND(ROUND(AT121*CZ121,2),2)</f>
        <v>606.06</v>
      </c>
      <c r="DC121">
        <f>ROUND(ROUND(AT121*AG121,2),2)</f>
        <v>0</v>
      </c>
    </row>
    <row r="122" spans="1:107" ht="12.75">
      <c r="A122">
        <f>ROW(Source!A113)</f>
        <v>113</v>
      </c>
      <c r="B122">
        <v>55110074</v>
      </c>
      <c r="C122">
        <v>55100253</v>
      </c>
      <c r="D122">
        <v>53674604</v>
      </c>
      <c r="E122">
        <v>1</v>
      </c>
      <c r="F122">
        <v>1</v>
      </c>
      <c r="G122">
        <v>1</v>
      </c>
      <c r="H122">
        <v>3</v>
      </c>
      <c r="I122" t="s">
        <v>208</v>
      </c>
      <c r="J122" t="s">
        <v>210</v>
      </c>
      <c r="K122" t="s">
        <v>209</v>
      </c>
      <c r="L122">
        <v>1348</v>
      </c>
      <c r="N122">
        <v>1009</v>
      </c>
      <c r="O122" t="s">
        <v>125</v>
      </c>
      <c r="P122" t="s">
        <v>125</v>
      </c>
      <c r="Q122">
        <v>1000</v>
      </c>
      <c r="W122">
        <v>1</v>
      </c>
      <c r="X122">
        <v>-1989106859</v>
      </c>
      <c r="Y122">
        <v>-0.075</v>
      </c>
      <c r="AA122">
        <v>9830</v>
      </c>
      <c r="AB122">
        <v>0</v>
      </c>
      <c r="AC122">
        <v>0</v>
      </c>
      <c r="AD122">
        <v>0</v>
      </c>
      <c r="AE122">
        <v>9830</v>
      </c>
      <c r="AF122">
        <v>0</v>
      </c>
      <c r="AG122">
        <v>0</v>
      </c>
      <c r="AH122">
        <v>0</v>
      </c>
      <c r="AI122">
        <v>1</v>
      </c>
      <c r="AJ122">
        <v>1</v>
      </c>
      <c r="AK122">
        <v>1</v>
      </c>
      <c r="AL122">
        <v>1</v>
      </c>
      <c r="AN122">
        <v>0</v>
      </c>
      <c r="AO122">
        <v>1</v>
      </c>
      <c r="AP122">
        <v>0</v>
      </c>
      <c r="AQ122">
        <v>0</v>
      </c>
      <c r="AR122">
        <v>0</v>
      </c>
      <c r="AT122">
        <v>-0.075</v>
      </c>
      <c r="AV122">
        <v>0</v>
      </c>
      <c r="AW122">
        <v>2</v>
      </c>
      <c r="AX122">
        <v>55100256</v>
      </c>
      <c r="AY122">
        <v>1</v>
      </c>
      <c r="AZ122">
        <v>6144</v>
      </c>
      <c r="BA122">
        <v>119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CX122">
        <f>Y122*Source!I113</f>
        <v>-0.0375</v>
      </c>
      <c r="CY122">
        <f>AA122</f>
        <v>9830</v>
      </c>
      <c r="CZ122">
        <f>AE122</f>
        <v>9830</v>
      </c>
      <c r="DA122">
        <f>AI122</f>
        <v>1</v>
      </c>
      <c r="DB122">
        <f>ROUND(ROUND(AT122*CZ122,2),2)</f>
        <v>-737.25</v>
      </c>
      <c r="DC122">
        <f>ROUND(ROUND(AT122*AG122,2),2)</f>
        <v>0</v>
      </c>
    </row>
    <row r="123" spans="1:107" ht="12.75">
      <c r="A123">
        <f>ROW(Source!A114)</f>
        <v>114</v>
      </c>
      <c r="B123">
        <v>55110083</v>
      </c>
      <c r="C123">
        <v>55100253</v>
      </c>
      <c r="D123">
        <v>53630083</v>
      </c>
      <c r="E123">
        <v>70</v>
      </c>
      <c r="F123">
        <v>1</v>
      </c>
      <c r="G123">
        <v>1</v>
      </c>
      <c r="H123">
        <v>1</v>
      </c>
      <c r="I123" t="s">
        <v>360</v>
      </c>
      <c r="K123" t="s">
        <v>361</v>
      </c>
      <c r="L123">
        <v>1191</v>
      </c>
      <c r="N123">
        <v>1013</v>
      </c>
      <c r="O123" t="s">
        <v>311</v>
      </c>
      <c r="P123" t="s">
        <v>311</v>
      </c>
      <c r="Q123">
        <v>1</v>
      </c>
      <c r="W123">
        <v>0</v>
      </c>
      <c r="X123">
        <v>1893946532</v>
      </c>
      <c r="Y123">
        <v>18.285</v>
      </c>
      <c r="AA123">
        <v>0</v>
      </c>
      <c r="AB123">
        <v>0</v>
      </c>
      <c r="AC123">
        <v>0</v>
      </c>
      <c r="AD123">
        <v>9.07</v>
      </c>
      <c r="AE123">
        <v>0</v>
      </c>
      <c r="AF123">
        <v>0</v>
      </c>
      <c r="AG123">
        <v>0</v>
      </c>
      <c r="AH123">
        <v>9.07</v>
      </c>
      <c r="AI123">
        <v>1</v>
      </c>
      <c r="AJ123">
        <v>1</v>
      </c>
      <c r="AK123">
        <v>1</v>
      </c>
      <c r="AL123">
        <v>1</v>
      </c>
      <c r="AN123">
        <v>0</v>
      </c>
      <c r="AO123">
        <v>1</v>
      </c>
      <c r="AP123">
        <v>1</v>
      </c>
      <c r="AQ123">
        <v>0</v>
      </c>
      <c r="AR123">
        <v>0</v>
      </c>
      <c r="AT123">
        <v>15.9</v>
      </c>
      <c r="AU123" t="s">
        <v>116</v>
      </c>
      <c r="AV123">
        <v>1</v>
      </c>
      <c r="AW123">
        <v>2</v>
      </c>
      <c r="AX123">
        <v>55100254</v>
      </c>
      <c r="AY123">
        <v>1</v>
      </c>
      <c r="AZ123">
        <v>0</v>
      </c>
      <c r="BA123">
        <v>120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CX123">
        <f>Y123*Source!I114</f>
        <v>9.1425</v>
      </c>
      <c r="CY123">
        <f>AD123</f>
        <v>9.07</v>
      </c>
      <c r="CZ123">
        <f>AH123</f>
        <v>9.07</v>
      </c>
      <c r="DA123">
        <f>AL123</f>
        <v>1</v>
      </c>
      <c r="DB123">
        <f>ROUND((ROUND(AT123*CZ123,2)*ROUND(1.15,7)),2)</f>
        <v>165.84</v>
      </c>
      <c r="DC123">
        <f>ROUND((ROUND(AT123*AG123,2)*ROUND(1.15,7)),2)</f>
        <v>0</v>
      </c>
    </row>
    <row r="124" spans="1:107" ht="12.75">
      <c r="A124">
        <f>ROW(Source!A114)</f>
        <v>114</v>
      </c>
      <c r="B124">
        <v>55110083</v>
      </c>
      <c r="C124">
        <v>55100253</v>
      </c>
      <c r="D124">
        <v>53792222</v>
      </c>
      <c r="E124">
        <v>1</v>
      </c>
      <c r="F124">
        <v>1</v>
      </c>
      <c r="G124">
        <v>1</v>
      </c>
      <c r="H124">
        <v>2</v>
      </c>
      <c r="I124" t="s">
        <v>362</v>
      </c>
      <c r="J124" t="s">
        <v>363</v>
      </c>
      <c r="K124" t="s">
        <v>364</v>
      </c>
      <c r="L124">
        <v>1367</v>
      </c>
      <c r="N124">
        <v>1011</v>
      </c>
      <c r="O124" t="s">
        <v>315</v>
      </c>
      <c r="P124" t="s">
        <v>315</v>
      </c>
      <c r="Q124">
        <v>1</v>
      </c>
      <c r="W124">
        <v>0</v>
      </c>
      <c r="X124">
        <v>-1759410705</v>
      </c>
      <c r="Y124">
        <v>8.95</v>
      </c>
      <c r="AA124">
        <v>0</v>
      </c>
      <c r="AB124">
        <v>247.26</v>
      </c>
      <c r="AC124">
        <v>0</v>
      </c>
      <c r="AD124">
        <v>0</v>
      </c>
      <c r="AE124">
        <v>0</v>
      </c>
      <c r="AF124">
        <v>53.87</v>
      </c>
      <c r="AG124">
        <v>0</v>
      </c>
      <c r="AH124">
        <v>0</v>
      </c>
      <c r="AI124">
        <v>1</v>
      </c>
      <c r="AJ124">
        <v>4.59</v>
      </c>
      <c r="AK124">
        <v>36.03</v>
      </c>
      <c r="AL124">
        <v>1</v>
      </c>
      <c r="AN124">
        <v>0</v>
      </c>
      <c r="AO124">
        <v>1</v>
      </c>
      <c r="AP124">
        <v>1</v>
      </c>
      <c r="AQ124">
        <v>0</v>
      </c>
      <c r="AR124">
        <v>0</v>
      </c>
      <c r="AT124">
        <v>7.16</v>
      </c>
      <c r="AU124" t="s">
        <v>115</v>
      </c>
      <c r="AV124">
        <v>0</v>
      </c>
      <c r="AW124">
        <v>2</v>
      </c>
      <c r="AX124">
        <v>55100255</v>
      </c>
      <c r="AY124">
        <v>1</v>
      </c>
      <c r="AZ124">
        <v>0</v>
      </c>
      <c r="BA124">
        <v>121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CX124">
        <f>Y124*Source!I114</f>
        <v>4.475</v>
      </c>
      <c r="CY124">
        <f>AB124</f>
        <v>247.26</v>
      </c>
      <c r="CZ124">
        <f>AF124</f>
        <v>53.87</v>
      </c>
      <c r="DA124">
        <f>AJ124</f>
        <v>4.59</v>
      </c>
      <c r="DB124">
        <f>ROUND((ROUND(AT124*CZ124,2)*ROUND(1.25,7)),2)</f>
        <v>482.14</v>
      </c>
      <c r="DC124">
        <f>ROUND((ROUND(AT124*AG124,2)*ROUND(1.25,7)),2)</f>
        <v>0</v>
      </c>
    </row>
    <row r="125" spans="1:107" ht="12.75">
      <c r="A125">
        <f>ROW(Source!A114)</f>
        <v>114</v>
      </c>
      <c r="B125">
        <v>55110083</v>
      </c>
      <c r="C125">
        <v>55100253</v>
      </c>
      <c r="D125">
        <v>53642783</v>
      </c>
      <c r="E125">
        <v>1</v>
      </c>
      <c r="F125">
        <v>1</v>
      </c>
      <c r="G125">
        <v>1</v>
      </c>
      <c r="H125">
        <v>3</v>
      </c>
      <c r="I125" t="s">
        <v>203</v>
      </c>
      <c r="J125" t="s">
        <v>206</v>
      </c>
      <c r="K125" t="s">
        <v>204</v>
      </c>
      <c r="L125">
        <v>1346</v>
      </c>
      <c r="N125">
        <v>1009</v>
      </c>
      <c r="O125" t="s">
        <v>205</v>
      </c>
      <c r="P125" t="s">
        <v>205</v>
      </c>
      <c r="Q125">
        <v>1</v>
      </c>
      <c r="W125">
        <v>0</v>
      </c>
      <c r="X125">
        <v>624972744</v>
      </c>
      <c r="Y125">
        <v>19.5</v>
      </c>
      <c r="AA125">
        <v>160.06</v>
      </c>
      <c r="AB125">
        <v>0</v>
      </c>
      <c r="AC125">
        <v>0</v>
      </c>
      <c r="AD125">
        <v>0</v>
      </c>
      <c r="AE125">
        <v>31.08</v>
      </c>
      <c r="AF125">
        <v>0</v>
      </c>
      <c r="AG125">
        <v>0</v>
      </c>
      <c r="AH125">
        <v>0</v>
      </c>
      <c r="AI125">
        <v>5.15</v>
      </c>
      <c r="AJ125">
        <v>1</v>
      </c>
      <c r="AK125">
        <v>1</v>
      </c>
      <c r="AL125">
        <v>1</v>
      </c>
      <c r="AN125">
        <v>0</v>
      </c>
      <c r="AO125">
        <v>0</v>
      </c>
      <c r="AP125">
        <v>0</v>
      </c>
      <c r="AQ125">
        <v>0</v>
      </c>
      <c r="AR125">
        <v>0</v>
      </c>
      <c r="AT125">
        <v>19.5</v>
      </c>
      <c r="AV125">
        <v>0</v>
      </c>
      <c r="AW125">
        <v>1</v>
      </c>
      <c r="AX125">
        <v>-1</v>
      </c>
      <c r="AY125">
        <v>0</v>
      </c>
      <c r="AZ125">
        <v>0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CX125">
        <f>Y125*Source!I114</f>
        <v>9.75</v>
      </c>
      <c r="CY125">
        <f>AA125</f>
        <v>160.06</v>
      </c>
      <c r="CZ125">
        <f>AE125</f>
        <v>31.08</v>
      </c>
      <c r="DA125">
        <f>AI125</f>
        <v>5.15</v>
      </c>
      <c r="DB125">
        <f>ROUND(ROUND(AT125*CZ125,2),2)</f>
        <v>606.06</v>
      </c>
      <c r="DC125">
        <f>ROUND(ROUND(AT125*AG125,2),2)</f>
        <v>0</v>
      </c>
    </row>
    <row r="126" spans="1:107" ht="12.75">
      <c r="A126">
        <f>ROW(Source!A114)</f>
        <v>114</v>
      </c>
      <c r="B126">
        <v>55110083</v>
      </c>
      <c r="C126">
        <v>55100253</v>
      </c>
      <c r="D126">
        <v>53674604</v>
      </c>
      <c r="E126">
        <v>1</v>
      </c>
      <c r="F126">
        <v>1</v>
      </c>
      <c r="G126">
        <v>1</v>
      </c>
      <c r="H126">
        <v>3</v>
      </c>
      <c r="I126" t="s">
        <v>208</v>
      </c>
      <c r="J126" t="s">
        <v>210</v>
      </c>
      <c r="K126" t="s">
        <v>209</v>
      </c>
      <c r="L126">
        <v>1348</v>
      </c>
      <c r="N126">
        <v>1009</v>
      </c>
      <c r="O126" t="s">
        <v>125</v>
      </c>
      <c r="P126" t="s">
        <v>125</v>
      </c>
      <c r="Q126">
        <v>1000</v>
      </c>
      <c r="W126">
        <v>1</v>
      </c>
      <c r="X126">
        <v>-1989106859</v>
      </c>
      <c r="Y126">
        <v>-0.075</v>
      </c>
      <c r="AA126">
        <v>86209.1</v>
      </c>
      <c r="AB126">
        <v>0</v>
      </c>
      <c r="AC126">
        <v>0</v>
      </c>
      <c r="AD126">
        <v>0</v>
      </c>
      <c r="AE126">
        <v>9830</v>
      </c>
      <c r="AF126">
        <v>0</v>
      </c>
      <c r="AG126">
        <v>0</v>
      </c>
      <c r="AH126">
        <v>0</v>
      </c>
      <c r="AI126">
        <v>8.77</v>
      </c>
      <c r="AJ126">
        <v>1</v>
      </c>
      <c r="AK126">
        <v>1</v>
      </c>
      <c r="AL126">
        <v>1</v>
      </c>
      <c r="AN126">
        <v>0</v>
      </c>
      <c r="AO126">
        <v>1</v>
      </c>
      <c r="AP126">
        <v>0</v>
      </c>
      <c r="AQ126">
        <v>0</v>
      </c>
      <c r="AR126">
        <v>0</v>
      </c>
      <c r="AT126">
        <v>-0.075</v>
      </c>
      <c r="AV126">
        <v>0</v>
      </c>
      <c r="AW126">
        <v>2</v>
      </c>
      <c r="AX126">
        <v>55100256</v>
      </c>
      <c r="AY126">
        <v>1</v>
      </c>
      <c r="AZ126">
        <v>6144</v>
      </c>
      <c r="BA126">
        <v>122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CX126">
        <f>Y126*Source!I114</f>
        <v>-0.0375</v>
      </c>
      <c r="CY126">
        <f>AA126</f>
        <v>86209.1</v>
      </c>
      <c r="CZ126">
        <f>AE126</f>
        <v>9830</v>
      </c>
      <c r="DA126">
        <f>AI126</f>
        <v>8.77</v>
      </c>
      <c r="DB126">
        <f>ROUND(ROUND(AT126*CZ126,2),2)</f>
        <v>-737.25</v>
      </c>
      <c r="DC126">
        <f>ROUND(ROUND(AT126*AG126,2),2)</f>
        <v>0</v>
      </c>
    </row>
    <row r="127" spans="1:107" ht="12.75">
      <c r="A127">
        <f>ROW(Source!A119)</f>
        <v>119</v>
      </c>
      <c r="B127">
        <v>55110074</v>
      </c>
      <c r="C127">
        <v>55100261</v>
      </c>
      <c r="D127">
        <v>53630095</v>
      </c>
      <c r="E127">
        <v>70</v>
      </c>
      <c r="F127">
        <v>1</v>
      </c>
      <c r="G127">
        <v>1</v>
      </c>
      <c r="H127">
        <v>1</v>
      </c>
      <c r="I127" t="s">
        <v>365</v>
      </c>
      <c r="K127" t="s">
        <v>366</v>
      </c>
      <c r="L127">
        <v>1191</v>
      </c>
      <c r="N127">
        <v>1013</v>
      </c>
      <c r="O127" t="s">
        <v>311</v>
      </c>
      <c r="P127" t="s">
        <v>311</v>
      </c>
      <c r="Q127">
        <v>1</v>
      </c>
      <c r="W127">
        <v>0</v>
      </c>
      <c r="X127">
        <v>-881424154</v>
      </c>
      <c r="Y127">
        <v>21.849999999999998</v>
      </c>
      <c r="AA127">
        <v>0</v>
      </c>
      <c r="AB127">
        <v>0</v>
      </c>
      <c r="AC127">
        <v>0</v>
      </c>
      <c r="AD127">
        <v>9.29</v>
      </c>
      <c r="AE127">
        <v>0</v>
      </c>
      <c r="AF127">
        <v>0</v>
      </c>
      <c r="AG127">
        <v>0</v>
      </c>
      <c r="AH127">
        <v>9.29</v>
      </c>
      <c r="AI127">
        <v>1</v>
      </c>
      <c r="AJ127">
        <v>1</v>
      </c>
      <c r="AK127">
        <v>1</v>
      </c>
      <c r="AL127">
        <v>1</v>
      </c>
      <c r="AN127">
        <v>0</v>
      </c>
      <c r="AO127">
        <v>1</v>
      </c>
      <c r="AP127">
        <v>1</v>
      </c>
      <c r="AQ127">
        <v>0</v>
      </c>
      <c r="AR127">
        <v>0</v>
      </c>
      <c r="AT127">
        <v>19</v>
      </c>
      <c r="AU127" t="s">
        <v>116</v>
      </c>
      <c r="AV127">
        <v>1</v>
      </c>
      <c r="AW127">
        <v>2</v>
      </c>
      <c r="AX127">
        <v>55100262</v>
      </c>
      <c r="AY127">
        <v>1</v>
      </c>
      <c r="AZ127">
        <v>0</v>
      </c>
      <c r="BA127">
        <v>123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CX127">
        <f>Y127*Source!I119</f>
        <v>15.294999999999998</v>
      </c>
      <c r="CY127">
        <f>AD127</f>
        <v>9.29</v>
      </c>
      <c r="CZ127">
        <f>AH127</f>
        <v>9.29</v>
      </c>
      <c r="DA127">
        <f>AL127</f>
        <v>1</v>
      </c>
      <c r="DB127">
        <f>ROUND((ROUND(AT127*CZ127,2)*ROUND(1.15,7)),2)</f>
        <v>202.99</v>
      </c>
      <c r="DC127">
        <f>ROUND((ROUND(AT127*AG127,2)*ROUND(1.15,7)),2)</f>
        <v>0</v>
      </c>
    </row>
    <row r="128" spans="1:107" ht="12.75">
      <c r="A128">
        <f>ROW(Source!A119)</f>
        <v>119</v>
      </c>
      <c r="B128">
        <v>55110074</v>
      </c>
      <c r="C128">
        <v>55100261</v>
      </c>
      <c r="D128">
        <v>53792222</v>
      </c>
      <c r="E128">
        <v>1</v>
      </c>
      <c r="F128">
        <v>1</v>
      </c>
      <c r="G128">
        <v>1</v>
      </c>
      <c r="H128">
        <v>2</v>
      </c>
      <c r="I128" t="s">
        <v>362</v>
      </c>
      <c r="J128" t="s">
        <v>363</v>
      </c>
      <c r="K128" t="s">
        <v>364</v>
      </c>
      <c r="L128">
        <v>1367</v>
      </c>
      <c r="N128">
        <v>1011</v>
      </c>
      <c r="O128" t="s">
        <v>315</v>
      </c>
      <c r="P128" t="s">
        <v>315</v>
      </c>
      <c r="Q128">
        <v>1</v>
      </c>
      <c r="W128">
        <v>0</v>
      </c>
      <c r="X128">
        <v>-1759410705</v>
      </c>
      <c r="Y128">
        <v>10.6875</v>
      </c>
      <c r="AA128">
        <v>0</v>
      </c>
      <c r="AB128">
        <v>53.87</v>
      </c>
      <c r="AC128">
        <v>0</v>
      </c>
      <c r="AD128">
        <v>0</v>
      </c>
      <c r="AE128">
        <v>0</v>
      </c>
      <c r="AF128">
        <v>53.87</v>
      </c>
      <c r="AG128">
        <v>0</v>
      </c>
      <c r="AH128">
        <v>0</v>
      </c>
      <c r="AI128">
        <v>1</v>
      </c>
      <c r="AJ128">
        <v>1</v>
      </c>
      <c r="AK128">
        <v>1</v>
      </c>
      <c r="AL128">
        <v>1</v>
      </c>
      <c r="AN128">
        <v>0</v>
      </c>
      <c r="AO128">
        <v>1</v>
      </c>
      <c r="AP128">
        <v>1</v>
      </c>
      <c r="AQ128">
        <v>0</v>
      </c>
      <c r="AR128">
        <v>0</v>
      </c>
      <c r="AT128">
        <v>8.55</v>
      </c>
      <c r="AU128" t="s">
        <v>115</v>
      </c>
      <c r="AV128">
        <v>0</v>
      </c>
      <c r="AW128">
        <v>2</v>
      </c>
      <c r="AX128">
        <v>55100263</v>
      </c>
      <c r="AY128">
        <v>1</v>
      </c>
      <c r="AZ128">
        <v>0</v>
      </c>
      <c r="BA128">
        <v>124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CX128">
        <f>Y128*Source!I119</f>
        <v>7.481249999999999</v>
      </c>
      <c r="CY128">
        <f>AB128</f>
        <v>53.87</v>
      </c>
      <c r="CZ128">
        <f>AF128</f>
        <v>53.87</v>
      </c>
      <c r="DA128">
        <f>AJ128</f>
        <v>1</v>
      </c>
      <c r="DB128">
        <f>ROUND((ROUND(AT128*CZ128,2)*ROUND(1.25,7)),2)</f>
        <v>575.74</v>
      </c>
      <c r="DC128">
        <f>ROUND((ROUND(AT128*AG128,2)*ROUND(1.25,7)),2)</f>
        <v>0</v>
      </c>
    </row>
    <row r="129" spans="1:107" ht="12.75">
      <c r="A129">
        <f>ROW(Source!A119)</f>
        <v>119</v>
      </c>
      <c r="B129">
        <v>55110074</v>
      </c>
      <c r="C129">
        <v>55100261</v>
      </c>
      <c r="D129">
        <v>53642783</v>
      </c>
      <c r="E129">
        <v>1</v>
      </c>
      <c r="F129">
        <v>1</v>
      </c>
      <c r="G129">
        <v>1</v>
      </c>
      <c r="H129">
        <v>3</v>
      </c>
      <c r="I129" t="s">
        <v>203</v>
      </c>
      <c r="J129" t="s">
        <v>206</v>
      </c>
      <c r="K129" t="s">
        <v>204</v>
      </c>
      <c r="L129">
        <v>1346</v>
      </c>
      <c r="N129">
        <v>1009</v>
      </c>
      <c r="O129" t="s">
        <v>205</v>
      </c>
      <c r="P129" t="s">
        <v>205</v>
      </c>
      <c r="Q129">
        <v>1</v>
      </c>
      <c r="W129">
        <v>0</v>
      </c>
      <c r="X129">
        <v>624972744</v>
      </c>
      <c r="Y129">
        <v>19.5</v>
      </c>
      <c r="AA129">
        <v>31.08</v>
      </c>
      <c r="AB129">
        <v>0</v>
      </c>
      <c r="AC129">
        <v>0</v>
      </c>
      <c r="AD129">
        <v>0</v>
      </c>
      <c r="AE129">
        <v>31.08</v>
      </c>
      <c r="AF129">
        <v>0</v>
      </c>
      <c r="AG129">
        <v>0</v>
      </c>
      <c r="AH129">
        <v>0</v>
      </c>
      <c r="AI129">
        <v>1</v>
      </c>
      <c r="AJ129">
        <v>1</v>
      </c>
      <c r="AK129">
        <v>1</v>
      </c>
      <c r="AL129">
        <v>1</v>
      </c>
      <c r="AN129">
        <v>0</v>
      </c>
      <c r="AO129">
        <v>0</v>
      </c>
      <c r="AP129">
        <v>0</v>
      </c>
      <c r="AQ129">
        <v>0</v>
      </c>
      <c r="AR129">
        <v>0</v>
      </c>
      <c r="AT129">
        <v>19.5</v>
      </c>
      <c r="AV129">
        <v>0</v>
      </c>
      <c r="AW129">
        <v>1</v>
      </c>
      <c r="AX129">
        <v>-1</v>
      </c>
      <c r="AY129">
        <v>0</v>
      </c>
      <c r="AZ129">
        <v>0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CX129">
        <f>Y129*Source!I119</f>
        <v>13.649999999999999</v>
      </c>
      <c r="CY129">
        <f>AA129</f>
        <v>31.08</v>
      </c>
      <c r="CZ129">
        <f>AE129</f>
        <v>31.08</v>
      </c>
      <c r="DA129">
        <f>AI129</f>
        <v>1</v>
      </c>
      <c r="DB129">
        <f>ROUND(ROUND(AT129*CZ129,2),2)</f>
        <v>606.06</v>
      </c>
      <c r="DC129">
        <f>ROUND(ROUND(AT129*AG129,2),2)</f>
        <v>0</v>
      </c>
    </row>
    <row r="130" spans="1:107" ht="12.75">
      <c r="A130">
        <f>ROW(Source!A119)</f>
        <v>119</v>
      </c>
      <c r="B130">
        <v>55110074</v>
      </c>
      <c r="C130">
        <v>55100261</v>
      </c>
      <c r="D130">
        <v>53674604</v>
      </c>
      <c r="E130">
        <v>1</v>
      </c>
      <c r="F130">
        <v>1</v>
      </c>
      <c r="G130">
        <v>1</v>
      </c>
      <c r="H130">
        <v>3</v>
      </c>
      <c r="I130" t="s">
        <v>208</v>
      </c>
      <c r="J130" t="s">
        <v>210</v>
      </c>
      <c r="K130" t="s">
        <v>209</v>
      </c>
      <c r="L130">
        <v>1348</v>
      </c>
      <c r="N130">
        <v>1009</v>
      </c>
      <c r="O130" t="s">
        <v>125</v>
      </c>
      <c r="P130" t="s">
        <v>125</v>
      </c>
      <c r="Q130">
        <v>1000</v>
      </c>
      <c r="W130">
        <v>1</v>
      </c>
      <c r="X130">
        <v>-1989106859</v>
      </c>
      <c r="Y130">
        <v>-0.085</v>
      </c>
      <c r="AA130">
        <v>9830</v>
      </c>
      <c r="AB130">
        <v>0</v>
      </c>
      <c r="AC130">
        <v>0</v>
      </c>
      <c r="AD130">
        <v>0</v>
      </c>
      <c r="AE130">
        <v>9830</v>
      </c>
      <c r="AF130">
        <v>0</v>
      </c>
      <c r="AG130">
        <v>0</v>
      </c>
      <c r="AH130">
        <v>0</v>
      </c>
      <c r="AI130">
        <v>1</v>
      </c>
      <c r="AJ130">
        <v>1</v>
      </c>
      <c r="AK130">
        <v>1</v>
      </c>
      <c r="AL130">
        <v>1</v>
      </c>
      <c r="AN130">
        <v>0</v>
      </c>
      <c r="AO130">
        <v>1</v>
      </c>
      <c r="AP130">
        <v>0</v>
      </c>
      <c r="AQ130">
        <v>0</v>
      </c>
      <c r="AR130">
        <v>0</v>
      </c>
      <c r="AT130">
        <v>-0.085</v>
      </c>
      <c r="AV130">
        <v>0</v>
      </c>
      <c r="AW130">
        <v>2</v>
      </c>
      <c r="AX130">
        <v>55100264</v>
      </c>
      <c r="AY130">
        <v>1</v>
      </c>
      <c r="AZ130">
        <v>6144</v>
      </c>
      <c r="BA130">
        <v>125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CX130">
        <f>Y130*Source!I119</f>
        <v>-0.0595</v>
      </c>
      <c r="CY130">
        <f>AA130</f>
        <v>9830</v>
      </c>
      <c r="CZ130">
        <f>AE130</f>
        <v>9830</v>
      </c>
      <c r="DA130">
        <f>AI130</f>
        <v>1</v>
      </c>
      <c r="DB130">
        <f>ROUND(ROUND(AT130*CZ130,2),2)</f>
        <v>-835.55</v>
      </c>
      <c r="DC130">
        <f>ROUND(ROUND(AT130*AG130,2),2)</f>
        <v>0</v>
      </c>
    </row>
    <row r="131" spans="1:107" ht="12.75">
      <c r="A131">
        <f>ROW(Source!A120)</f>
        <v>120</v>
      </c>
      <c r="B131">
        <v>55110083</v>
      </c>
      <c r="C131">
        <v>55100261</v>
      </c>
      <c r="D131">
        <v>53630095</v>
      </c>
      <c r="E131">
        <v>70</v>
      </c>
      <c r="F131">
        <v>1</v>
      </c>
      <c r="G131">
        <v>1</v>
      </c>
      <c r="H131">
        <v>1</v>
      </c>
      <c r="I131" t="s">
        <v>365</v>
      </c>
      <c r="K131" t="s">
        <v>366</v>
      </c>
      <c r="L131">
        <v>1191</v>
      </c>
      <c r="N131">
        <v>1013</v>
      </c>
      <c r="O131" t="s">
        <v>311</v>
      </c>
      <c r="P131" t="s">
        <v>311</v>
      </c>
      <c r="Q131">
        <v>1</v>
      </c>
      <c r="W131">
        <v>0</v>
      </c>
      <c r="X131">
        <v>-881424154</v>
      </c>
      <c r="Y131">
        <v>21.849999999999998</v>
      </c>
      <c r="AA131">
        <v>0</v>
      </c>
      <c r="AB131">
        <v>0</v>
      </c>
      <c r="AC131">
        <v>0</v>
      </c>
      <c r="AD131">
        <v>9.29</v>
      </c>
      <c r="AE131">
        <v>0</v>
      </c>
      <c r="AF131">
        <v>0</v>
      </c>
      <c r="AG131">
        <v>0</v>
      </c>
      <c r="AH131">
        <v>9.29</v>
      </c>
      <c r="AI131">
        <v>1</v>
      </c>
      <c r="AJ131">
        <v>1</v>
      </c>
      <c r="AK131">
        <v>1</v>
      </c>
      <c r="AL131">
        <v>1</v>
      </c>
      <c r="AN131">
        <v>0</v>
      </c>
      <c r="AO131">
        <v>1</v>
      </c>
      <c r="AP131">
        <v>1</v>
      </c>
      <c r="AQ131">
        <v>0</v>
      </c>
      <c r="AR131">
        <v>0</v>
      </c>
      <c r="AT131">
        <v>19</v>
      </c>
      <c r="AU131" t="s">
        <v>116</v>
      </c>
      <c r="AV131">
        <v>1</v>
      </c>
      <c r="AW131">
        <v>2</v>
      </c>
      <c r="AX131">
        <v>55100262</v>
      </c>
      <c r="AY131">
        <v>1</v>
      </c>
      <c r="AZ131">
        <v>0</v>
      </c>
      <c r="BA131">
        <v>126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CX131">
        <f>Y131*Source!I120</f>
        <v>15.294999999999998</v>
      </c>
      <c r="CY131">
        <f>AD131</f>
        <v>9.29</v>
      </c>
      <c r="CZ131">
        <f>AH131</f>
        <v>9.29</v>
      </c>
      <c r="DA131">
        <f>AL131</f>
        <v>1</v>
      </c>
      <c r="DB131">
        <f>ROUND((ROUND(AT131*CZ131,2)*ROUND(1.15,7)),2)</f>
        <v>202.99</v>
      </c>
      <c r="DC131">
        <f>ROUND((ROUND(AT131*AG131,2)*ROUND(1.15,7)),2)</f>
        <v>0</v>
      </c>
    </row>
    <row r="132" spans="1:107" ht="12.75">
      <c r="A132">
        <f>ROW(Source!A120)</f>
        <v>120</v>
      </c>
      <c r="B132">
        <v>55110083</v>
      </c>
      <c r="C132">
        <v>55100261</v>
      </c>
      <c r="D132">
        <v>53792222</v>
      </c>
      <c r="E132">
        <v>1</v>
      </c>
      <c r="F132">
        <v>1</v>
      </c>
      <c r="G132">
        <v>1</v>
      </c>
      <c r="H132">
        <v>2</v>
      </c>
      <c r="I132" t="s">
        <v>362</v>
      </c>
      <c r="J132" t="s">
        <v>363</v>
      </c>
      <c r="K132" t="s">
        <v>364</v>
      </c>
      <c r="L132">
        <v>1367</v>
      </c>
      <c r="N132">
        <v>1011</v>
      </c>
      <c r="O132" t="s">
        <v>315</v>
      </c>
      <c r="P132" t="s">
        <v>315</v>
      </c>
      <c r="Q132">
        <v>1</v>
      </c>
      <c r="W132">
        <v>0</v>
      </c>
      <c r="X132">
        <v>-1759410705</v>
      </c>
      <c r="Y132">
        <v>10.6875</v>
      </c>
      <c r="AA132">
        <v>0</v>
      </c>
      <c r="AB132">
        <v>247.26</v>
      </c>
      <c r="AC132">
        <v>0</v>
      </c>
      <c r="AD132">
        <v>0</v>
      </c>
      <c r="AE132">
        <v>0</v>
      </c>
      <c r="AF132">
        <v>53.87</v>
      </c>
      <c r="AG132">
        <v>0</v>
      </c>
      <c r="AH132">
        <v>0</v>
      </c>
      <c r="AI132">
        <v>1</v>
      </c>
      <c r="AJ132">
        <v>4.59</v>
      </c>
      <c r="AK132">
        <v>36.03</v>
      </c>
      <c r="AL132">
        <v>1</v>
      </c>
      <c r="AN132">
        <v>0</v>
      </c>
      <c r="AO132">
        <v>1</v>
      </c>
      <c r="AP132">
        <v>1</v>
      </c>
      <c r="AQ132">
        <v>0</v>
      </c>
      <c r="AR132">
        <v>0</v>
      </c>
      <c r="AT132">
        <v>8.55</v>
      </c>
      <c r="AU132" t="s">
        <v>115</v>
      </c>
      <c r="AV132">
        <v>0</v>
      </c>
      <c r="AW132">
        <v>2</v>
      </c>
      <c r="AX132">
        <v>55100263</v>
      </c>
      <c r="AY132">
        <v>1</v>
      </c>
      <c r="AZ132">
        <v>0</v>
      </c>
      <c r="BA132">
        <v>127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CX132">
        <f>Y132*Source!I120</f>
        <v>7.481249999999999</v>
      </c>
      <c r="CY132">
        <f>AB132</f>
        <v>247.26</v>
      </c>
      <c r="CZ132">
        <f>AF132</f>
        <v>53.87</v>
      </c>
      <c r="DA132">
        <f>AJ132</f>
        <v>4.59</v>
      </c>
      <c r="DB132">
        <f>ROUND((ROUND(AT132*CZ132,2)*ROUND(1.25,7)),2)</f>
        <v>575.74</v>
      </c>
      <c r="DC132">
        <f>ROUND((ROUND(AT132*AG132,2)*ROUND(1.25,7)),2)</f>
        <v>0</v>
      </c>
    </row>
    <row r="133" spans="1:107" ht="12.75">
      <c r="A133">
        <f>ROW(Source!A120)</f>
        <v>120</v>
      </c>
      <c r="B133">
        <v>55110083</v>
      </c>
      <c r="C133">
        <v>55100261</v>
      </c>
      <c r="D133">
        <v>53642783</v>
      </c>
      <c r="E133">
        <v>1</v>
      </c>
      <c r="F133">
        <v>1</v>
      </c>
      <c r="G133">
        <v>1</v>
      </c>
      <c r="H133">
        <v>3</v>
      </c>
      <c r="I133" t="s">
        <v>203</v>
      </c>
      <c r="J133" t="s">
        <v>206</v>
      </c>
      <c r="K133" t="s">
        <v>204</v>
      </c>
      <c r="L133">
        <v>1346</v>
      </c>
      <c r="N133">
        <v>1009</v>
      </c>
      <c r="O133" t="s">
        <v>205</v>
      </c>
      <c r="P133" t="s">
        <v>205</v>
      </c>
      <c r="Q133">
        <v>1</v>
      </c>
      <c r="W133">
        <v>0</v>
      </c>
      <c r="X133">
        <v>624972744</v>
      </c>
      <c r="Y133">
        <v>19.5</v>
      </c>
      <c r="AA133">
        <v>160.06</v>
      </c>
      <c r="AB133">
        <v>0</v>
      </c>
      <c r="AC133">
        <v>0</v>
      </c>
      <c r="AD133">
        <v>0</v>
      </c>
      <c r="AE133">
        <v>31.08</v>
      </c>
      <c r="AF133">
        <v>0</v>
      </c>
      <c r="AG133">
        <v>0</v>
      </c>
      <c r="AH133">
        <v>0</v>
      </c>
      <c r="AI133">
        <v>5.15</v>
      </c>
      <c r="AJ133">
        <v>1</v>
      </c>
      <c r="AK133">
        <v>1</v>
      </c>
      <c r="AL133">
        <v>1</v>
      </c>
      <c r="AN133">
        <v>0</v>
      </c>
      <c r="AO133">
        <v>0</v>
      </c>
      <c r="AP133">
        <v>0</v>
      </c>
      <c r="AQ133">
        <v>0</v>
      </c>
      <c r="AR133">
        <v>0</v>
      </c>
      <c r="AT133">
        <v>19.5</v>
      </c>
      <c r="AV133">
        <v>0</v>
      </c>
      <c r="AW133">
        <v>1</v>
      </c>
      <c r="AX133">
        <v>-1</v>
      </c>
      <c r="AY133">
        <v>0</v>
      </c>
      <c r="AZ133">
        <v>0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CX133">
        <f>Y133*Source!I120</f>
        <v>13.649999999999999</v>
      </c>
      <c r="CY133">
        <f>AA133</f>
        <v>160.06</v>
      </c>
      <c r="CZ133">
        <f>AE133</f>
        <v>31.08</v>
      </c>
      <c r="DA133">
        <f>AI133</f>
        <v>5.15</v>
      </c>
      <c r="DB133">
        <f aca="true" t="shared" si="2" ref="DB133:DB138">ROUND(ROUND(AT133*CZ133,2),2)</f>
        <v>606.06</v>
      </c>
      <c r="DC133">
        <f aca="true" t="shared" si="3" ref="DC133:DC138">ROUND(ROUND(AT133*AG133,2),2)</f>
        <v>0</v>
      </c>
    </row>
    <row r="134" spans="1:107" ht="12.75">
      <c r="A134">
        <f>ROW(Source!A120)</f>
        <v>120</v>
      </c>
      <c r="B134">
        <v>55110083</v>
      </c>
      <c r="C134">
        <v>55100261</v>
      </c>
      <c r="D134">
        <v>53674604</v>
      </c>
      <c r="E134">
        <v>1</v>
      </c>
      <c r="F134">
        <v>1</v>
      </c>
      <c r="G134">
        <v>1</v>
      </c>
      <c r="H134">
        <v>3</v>
      </c>
      <c r="I134" t="s">
        <v>208</v>
      </c>
      <c r="J134" t="s">
        <v>210</v>
      </c>
      <c r="K134" t="s">
        <v>209</v>
      </c>
      <c r="L134">
        <v>1348</v>
      </c>
      <c r="N134">
        <v>1009</v>
      </c>
      <c r="O134" t="s">
        <v>125</v>
      </c>
      <c r="P134" t="s">
        <v>125</v>
      </c>
      <c r="Q134">
        <v>1000</v>
      </c>
      <c r="W134">
        <v>1</v>
      </c>
      <c r="X134">
        <v>-1989106859</v>
      </c>
      <c r="Y134">
        <v>-0.085</v>
      </c>
      <c r="AA134">
        <v>86209.1</v>
      </c>
      <c r="AB134">
        <v>0</v>
      </c>
      <c r="AC134">
        <v>0</v>
      </c>
      <c r="AD134">
        <v>0</v>
      </c>
      <c r="AE134">
        <v>9830</v>
      </c>
      <c r="AF134">
        <v>0</v>
      </c>
      <c r="AG134">
        <v>0</v>
      </c>
      <c r="AH134">
        <v>0</v>
      </c>
      <c r="AI134">
        <v>8.77</v>
      </c>
      <c r="AJ134">
        <v>1</v>
      </c>
      <c r="AK134">
        <v>1</v>
      </c>
      <c r="AL134">
        <v>1</v>
      </c>
      <c r="AN134">
        <v>0</v>
      </c>
      <c r="AO134">
        <v>1</v>
      </c>
      <c r="AP134">
        <v>0</v>
      </c>
      <c r="AQ134">
        <v>0</v>
      </c>
      <c r="AR134">
        <v>0</v>
      </c>
      <c r="AT134">
        <v>-0.085</v>
      </c>
      <c r="AV134">
        <v>0</v>
      </c>
      <c r="AW134">
        <v>2</v>
      </c>
      <c r="AX134">
        <v>55100264</v>
      </c>
      <c r="AY134">
        <v>1</v>
      </c>
      <c r="AZ134">
        <v>6144</v>
      </c>
      <c r="BA134">
        <v>128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CX134">
        <f>Y134*Source!I120</f>
        <v>-0.0595</v>
      </c>
      <c r="CY134">
        <f>AA134</f>
        <v>86209.1</v>
      </c>
      <c r="CZ134">
        <f>AE134</f>
        <v>9830</v>
      </c>
      <c r="DA134">
        <f>AI134</f>
        <v>8.77</v>
      </c>
      <c r="DB134">
        <f t="shared" si="2"/>
        <v>-835.55</v>
      </c>
      <c r="DC134">
        <f t="shared" si="3"/>
        <v>0</v>
      </c>
    </row>
    <row r="135" spans="1:107" ht="12.75">
      <c r="A135">
        <f>ROW(Source!A160)</f>
        <v>160</v>
      </c>
      <c r="B135">
        <v>55110074</v>
      </c>
      <c r="C135">
        <v>55096181</v>
      </c>
      <c r="D135">
        <v>44800161</v>
      </c>
      <c r="E135">
        <v>54</v>
      </c>
      <c r="F135">
        <v>1</v>
      </c>
      <c r="G135">
        <v>1</v>
      </c>
      <c r="H135">
        <v>1</v>
      </c>
      <c r="I135" t="s">
        <v>367</v>
      </c>
      <c r="K135" t="s">
        <v>368</v>
      </c>
      <c r="L135">
        <v>1191</v>
      </c>
      <c r="N135">
        <v>1013</v>
      </c>
      <c r="O135" t="s">
        <v>311</v>
      </c>
      <c r="P135" t="s">
        <v>311</v>
      </c>
      <c r="Q135">
        <v>1</v>
      </c>
      <c r="W135">
        <v>0</v>
      </c>
      <c r="X135">
        <v>-576067263</v>
      </c>
      <c r="Y135">
        <v>1.03</v>
      </c>
      <c r="AA135">
        <v>0</v>
      </c>
      <c r="AB135">
        <v>0</v>
      </c>
      <c r="AC135">
        <v>0</v>
      </c>
      <c r="AD135">
        <v>7.19</v>
      </c>
      <c r="AE135">
        <v>0</v>
      </c>
      <c r="AF135">
        <v>0</v>
      </c>
      <c r="AG135">
        <v>0</v>
      </c>
      <c r="AH135">
        <v>7.19</v>
      </c>
      <c r="AI135">
        <v>1</v>
      </c>
      <c r="AJ135">
        <v>1</v>
      </c>
      <c r="AK135">
        <v>1</v>
      </c>
      <c r="AL135">
        <v>1</v>
      </c>
      <c r="AN135">
        <v>0</v>
      </c>
      <c r="AO135">
        <v>1</v>
      </c>
      <c r="AP135">
        <v>0</v>
      </c>
      <c r="AQ135">
        <v>0</v>
      </c>
      <c r="AR135">
        <v>0</v>
      </c>
      <c r="AT135">
        <v>1.03</v>
      </c>
      <c r="AV135">
        <v>1</v>
      </c>
      <c r="AW135">
        <v>2</v>
      </c>
      <c r="AX135">
        <v>55096184</v>
      </c>
      <c r="AY135">
        <v>1</v>
      </c>
      <c r="AZ135">
        <v>0</v>
      </c>
      <c r="BA135">
        <v>129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CX135">
        <f>Y135*Source!I160</f>
        <v>62.83</v>
      </c>
      <c r="CY135">
        <f>AD135</f>
        <v>7.19</v>
      </c>
      <c r="CZ135">
        <f>AH135</f>
        <v>7.19</v>
      </c>
      <c r="DA135">
        <f>AL135</f>
        <v>1</v>
      </c>
      <c r="DB135">
        <f t="shared" si="2"/>
        <v>7.41</v>
      </c>
      <c r="DC135">
        <f t="shared" si="3"/>
        <v>0</v>
      </c>
    </row>
    <row r="136" spans="1:107" ht="12.75">
      <c r="A136">
        <f>ROW(Source!A160)</f>
        <v>160</v>
      </c>
      <c r="B136">
        <v>55110074</v>
      </c>
      <c r="C136">
        <v>55096181</v>
      </c>
      <c r="D136">
        <v>44816375</v>
      </c>
      <c r="E136">
        <v>1</v>
      </c>
      <c r="F136">
        <v>1</v>
      </c>
      <c r="G136">
        <v>1</v>
      </c>
      <c r="H136">
        <v>3</v>
      </c>
      <c r="I136" t="s">
        <v>369</v>
      </c>
      <c r="J136" t="s">
        <v>370</v>
      </c>
      <c r="K136" t="s">
        <v>371</v>
      </c>
      <c r="L136">
        <v>1425</v>
      </c>
      <c r="N136">
        <v>1013</v>
      </c>
      <c r="O136" t="s">
        <v>372</v>
      </c>
      <c r="P136" t="s">
        <v>372</v>
      </c>
      <c r="Q136">
        <v>1</v>
      </c>
      <c r="W136">
        <v>0</v>
      </c>
      <c r="X136">
        <v>1143101474</v>
      </c>
      <c r="Y136">
        <v>0.2</v>
      </c>
      <c r="AA136">
        <v>82</v>
      </c>
      <c r="AB136">
        <v>0</v>
      </c>
      <c r="AC136">
        <v>0</v>
      </c>
      <c r="AD136">
        <v>0</v>
      </c>
      <c r="AE136">
        <v>82</v>
      </c>
      <c r="AF136">
        <v>0</v>
      </c>
      <c r="AG136">
        <v>0</v>
      </c>
      <c r="AH136">
        <v>0</v>
      </c>
      <c r="AI136">
        <v>1</v>
      </c>
      <c r="AJ136">
        <v>1</v>
      </c>
      <c r="AK136">
        <v>1</v>
      </c>
      <c r="AL136">
        <v>1</v>
      </c>
      <c r="AN136">
        <v>0</v>
      </c>
      <c r="AO136">
        <v>1</v>
      </c>
      <c r="AP136">
        <v>0</v>
      </c>
      <c r="AQ136">
        <v>0</v>
      </c>
      <c r="AR136">
        <v>0</v>
      </c>
      <c r="AT136">
        <v>0.2</v>
      </c>
      <c r="AV136">
        <v>0</v>
      </c>
      <c r="AW136">
        <v>2</v>
      </c>
      <c r="AX136">
        <v>55096185</v>
      </c>
      <c r="AY136">
        <v>1</v>
      </c>
      <c r="AZ136">
        <v>0</v>
      </c>
      <c r="BA136">
        <v>130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CX136">
        <f>Y136*Source!I160</f>
        <v>12.200000000000001</v>
      </c>
      <c r="CY136">
        <f>AA136</f>
        <v>82</v>
      </c>
      <c r="CZ136">
        <f>AE136</f>
        <v>82</v>
      </c>
      <c r="DA136">
        <f>AI136</f>
        <v>1</v>
      </c>
      <c r="DB136">
        <f t="shared" si="2"/>
        <v>16.4</v>
      </c>
      <c r="DC136">
        <f t="shared" si="3"/>
        <v>0</v>
      </c>
    </row>
    <row r="137" spans="1:107" ht="12.75">
      <c r="A137">
        <f>ROW(Source!A161)</f>
        <v>161</v>
      </c>
      <c r="B137">
        <v>55110083</v>
      </c>
      <c r="C137">
        <v>55096181</v>
      </c>
      <c r="D137">
        <v>44800161</v>
      </c>
      <c r="E137">
        <v>54</v>
      </c>
      <c r="F137">
        <v>1</v>
      </c>
      <c r="G137">
        <v>1</v>
      </c>
      <c r="H137">
        <v>1</v>
      </c>
      <c r="I137" t="s">
        <v>367</v>
      </c>
      <c r="K137" t="s">
        <v>368</v>
      </c>
      <c r="L137">
        <v>1191</v>
      </c>
      <c r="N137">
        <v>1013</v>
      </c>
      <c r="O137" t="s">
        <v>311</v>
      </c>
      <c r="P137" t="s">
        <v>311</v>
      </c>
      <c r="Q137">
        <v>1</v>
      </c>
      <c r="W137">
        <v>0</v>
      </c>
      <c r="X137">
        <v>-576067263</v>
      </c>
      <c r="Y137">
        <v>1.03</v>
      </c>
      <c r="AA137">
        <v>0</v>
      </c>
      <c r="AB137">
        <v>0</v>
      </c>
      <c r="AC137">
        <v>0</v>
      </c>
      <c r="AD137">
        <v>7.19</v>
      </c>
      <c r="AE137">
        <v>0</v>
      </c>
      <c r="AF137">
        <v>0</v>
      </c>
      <c r="AG137">
        <v>0</v>
      </c>
      <c r="AH137">
        <v>7.19</v>
      </c>
      <c r="AI137">
        <v>1</v>
      </c>
      <c r="AJ137">
        <v>1</v>
      </c>
      <c r="AK137">
        <v>1</v>
      </c>
      <c r="AL137">
        <v>1</v>
      </c>
      <c r="AN137">
        <v>0</v>
      </c>
      <c r="AO137">
        <v>1</v>
      </c>
      <c r="AP137">
        <v>0</v>
      </c>
      <c r="AQ137">
        <v>0</v>
      </c>
      <c r="AR137">
        <v>0</v>
      </c>
      <c r="AT137">
        <v>1.03</v>
      </c>
      <c r="AV137">
        <v>1</v>
      </c>
      <c r="AW137">
        <v>2</v>
      </c>
      <c r="AX137">
        <v>55096184</v>
      </c>
      <c r="AY137">
        <v>1</v>
      </c>
      <c r="AZ137">
        <v>0</v>
      </c>
      <c r="BA137">
        <v>131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CX137">
        <f>Y137*Source!I161</f>
        <v>62.83</v>
      </c>
      <c r="CY137">
        <f>AD137</f>
        <v>7.19</v>
      </c>
      <c r="CZ137">
        <f>AH137</f>
        <v>7.19</v>
      </c>
      <c r="DA137">
        <f>AL137</f>
        <v>1</v>
      </c>
      <c r="DB137">
        <f t="shared" si="2"/>
        <v>7.41</v>
      </c>
      <c r="DC137">
        <f t="shared" si="3"/>
        <v>0</v>
      </c>
    </row>
    <row r="138" spans="1:107" ht="12.75">
      <c r="A138">
        <f>ROW(Source!A161)</f>
        <v>161</v>
      </c>
      <c r="B138">
        <v>55110083</v>
      </c>
      <c r="C138">
        <v>55096181</v>
      </c>
      <c r="D138">
        <v>44816375</v>
      </c>
      <c r="E138">
        <v>1</v>
      </c>
      <c r="F138">
        <v>1</v>
      </c>
      <c r="G138">
        <v>1</v>
      </c>
      <c r="H138">
        <v>3</v>
      </c>
      <c r="I138" t="s">
        <v>369</v>
      </c>
      <c r="J138" t="s">
        <v>370</v>
      </c>
      <c r="K138" t="s">
        <v>371</v>
      </c>
      <c r="L138">
        <v>1425</v>
      </c>
      <c r="N138">
        <v>1013</v>
      </c>
      <c r="O138" t="s">
        <v>372</v>
      </c>
      <c r="P138" t="s">
        <v>372</v>
      </c>
      <c r="Q138">
        <v>1</v>
      </c>
      <c r="W138">
        <v>0</v>
      </c>
      <c r="X138">
        <v>1143101474</v>
      </c>
      <c r="Y138">
        <v>0.2</v>
      </c>
      <c r="AA138">
        <v>552.68</v>
      </c>
      <c r="AB138">
        <v>0</v>
      </c>
      <c r="AC138">
        <v>0</v>
      </c>
      <c r="AD138">
        <v>0</v>
      </c>
      <c r="AE138">
        <v>82</v>
      </c>
      <c r="AF138">
        <v>0</v>
      </c>
      <c r="AG138">
        <v>0</v>
      </c>
      <c r="AH138">
        <v>0</v>
      </c>
      <c r="AI138">
        <v>6.74</v>
      </c>
      <c r="AJ138">
        <v>1</v>
      </c>
      <c r="AK138">
        <v>1</v>
      </c>
      <c r="AL138">
        <v>1</v>
      </c>
      <c r="AN138">
        <v>0</v>
      </c>
      <c r="AO138">
        <v>1</v>
      </c>
      <c r="AP138">
        <v>0</v>
      </c>
      <c r="AQ138">
        <v>0</v>
      </c>
      <c r="AR138">
        <v>0</v>
      </c>
      <c r="AT138">
        <v>0.2</v>
      </c>
      <c r="AV138">
        <v>0</v>
      </c>
      <c r="AW138">
        <v>2</v>
      </c>
      <c r="AX138">
        <v>55096185</v>
      </c>
      <c r="AY138">
        <v>1</v>
      </c>
      <c r="AZ138">
        <v>0</v>
      </c>
      <c r="BA138">
        <v>132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  <c r="CX138">
        <f>Y138*Source!I161</f>
        <v>12.200000000000001</v>
      </c>
      <c r="CY138">
        <f>AA138</f>
        <v>552.68</v>
      </c>
      <c r="CZ138">
        <f>AE138</f>
        <v>82</v>
      </c>
      <c r="DA138">
        <f>AI138</f>
        <v>6.74</v>
      </c>
      <c r="DB138">
        <f t="shared" si="2"/>
        <v>16.4</v>
      </c>
      <c r="DC138">
        <f t="shared" si="3"/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R1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44" ht="12.75">
      <c r="A1">
        <f>ROW(Source!A28)</f>
        <v>28</v>
      </c>
      <c r="B1">
        <v>55100131</v>
      </c>
      <c r="C1">
        <v>55100128</v>
      </c>
      <c r="D1">
        <v>37822877</v>
      </c>
      <c r="E1">
        <v>70</v>
      </c>
      <c r="F1">
        <v>1</v>
      </c>
      <c r="G1">
        <v>1</v>
      </c>
      <c r="H1">
        <v>1</v>
      </c>
      <c r="I1" t="s">
        <v>309</v>
      </c>
      <c r="K1" t="s">
        <v>310</v>
      </c>
      <c r="L1">
        <v>1191</v>
      </c>
      <c r="N1">
        <v>1013</v>
      </c>
      <c r="O1" t="s">
        <v>311</v>
      </c>
      <c r="P1" t="s">
        <v>311</v>
      </c>
      <c r="Q1">
        <v>1</v>
      </c>
      <c r="X1">
        <v>8.58</v>
      </c>
      <c r="Y1">
        <v>0</v>
      </c>
      <c r="Z1">
        <v>0</v>
      </c>
      <c r="AA1">
        <v>0</v>
      </c>
      <c r="AB1">
        <v>7.8</v>
      </c>
      <c r="AC1">
        <v>0</v>
      </c>
      <c r="AD1">
        <v>1</v>
      </c>
      <c r="AE1">
        <v>1</v>
      </c>
      <c r="AG1">
        <v>8.58</v>
      </c>
      <c r="AH1">
        <v>2</v>
      </c>
      <c r="AI1">
        <v>55100129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ht="12.75">
      <c r="A2">
        <f>ROW(Source!A28)</f>
        <v>28</v>
      </c>
      <c r="B2">
        <v>55100132</v>
      </c>
      <c r="C2">
        <v>55100128</v>
      </c>
      <c r="D2">
        <v>53792127</v>
      </c>
      <c r="E2">
        <v>1</v>
      </c>
      <c r="F2">
        <v>1</v>
      </c>
      <c r="G2">
        <v>1</v>
      </c>
      <c r="H2">
        <v>2</v>
      </c>
      <c r="I2" t="s">
        <v>312</v>
      </c>
      <c r="J2" t="s">
        <v>313</v>
      </c>
      <c r="K2" t="s">
        <v>314</v>
      </c>
      <c r="L2">
        <v>1367</v>
      </c>
      <c r="N2">
        <v>1011</v>
      </c>
      <c r="O2" t="s">
        <v>315</v>
      </c>
      <c r="P2" t="s">
        <v>315</v>
      </c>
      <c r="Q2">
        <v>1</v>
      </c>
      <c r="X2">
        <v>1.88</v>
      </c>
      <c r="Y2">
        <v>0</v>
      </c>
      <c r="Z2">
        <v>6.66</v>
      </c>
      <c r="AA2">
        <v>0</v>
      </c>
      <c r="AB2">
        <v>0</v>
      </c>
      <c r="AC2">
        <v>0</v>
      </c>
      <c r="AD2">
        <v>1</v>
      </c>
      <c r="AE2">
        <v>0</v>
      </c>
      <c r="AG2">
        <v>1.88</v>
      </c>
      <c r="AH2">
        <v>2</v>
      </c>
      <c r="AI2">
        <v>55100130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ht="12.75">
      <c r="A3">
        <f>ROW(Source!A29)</f>
        <v>29</v>
      </c>
      <c r="B3">
        <v>55100131</v>
      </c>
      <c r="C3">
        <v>55100128</v>
      </c>
      <c r="D3">
        <v>37822877</v>
      </c>
      <c r="E3">
        <v>70</v>
      </c>
      <c r="F3">
        <v>1</v>
      </c>
      <c r="G3">
        <v>1</v>
      </c>
      <c r="H3">
        <v>1</v>
      </c>
      <c r="I3" t="s">
        <v>309</v>
      </c>
      <c r="K3" t="s">
        <v>310</v>
      </c>
      <c r="L3">
        <v>1191</v>
      </c>
      <c r="N3">
        <v>1013</v>
      </c>
      <c r="O3" t="s">
        <v>311</v>
      </c>
      <c r="P3" t="s">
        <v>311</v>
      </c>
      <c r="Q3">
        <v>1</v>
      </c>
      <c r="X3">
        <v>8.58</v>
      </c>
      <c r="Y3">
        <v>0</v>
      </c>
      <c r="Z3">
        <v>0</v>
      </c>
      <c r="AA3">
        <v>0</v>
      </c>
      <c r="AB3">
        <v>7.8</v>
      </c>
      <c r="AC3">
        <v>0</v>
      </c>
      <c r="AD3">
        <v>1</v>
      </c>
      <c r="AE3">
        <v>1</v>
      </c>
      <c r="AG3">
        <v>8.58</v>
      </c>
      <c r="AH3">
        <v>2</v>
      </c>
      <c r="AI3">
        <v>55100129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ht="12.75">
      <c r="A4">
        <f>ROW(Source!A29)</f>
        <v>29</v>
      </c>
      <c r="B4">
        <v>55100132</v>
      </c>
      <c r="C4">
        <v>55100128</v>
      </c>
      <c r="D4">
        <v>53792127</v>
      </c>
      <c r="E4">
        <v>1</v>
      </c>
      <c r="F4">
        <v>1</v>
      </c>
      <c r="G4">
        <v>1</v>
      </c>
      <c r="H4">
        <v>2</v>
      </c>
      <c r="I4" t="s">
        <v>312</v>
      </c>
      <c r="J4" t="s">
        <v>313</v>
      </c>
      <c r="K4" t="s">
        <v>314</v>
      </c>
      <c r="L4">
        <v>1367</v>
      </c>
      <c r="N4">
        <v>1011</v>
      </c>
      <c r="O4" t="s">
        <v>315</v>
      </c>
      <c r="P4" t="s">
        <v>315</v>
      </c>
      <c r="Q4">
        <v>1</v>
      </c>
      <c r="X4">
        <v>1.88</v>
      </c>
      <c r="Y4">
        <v>0</v>
      </c>
      <c r="Z4">
        <v>6.66</v>
      </c>
      <c r="AA4">
        <v>0</v>
      </c>
      <c r="AB4">
        <v>0</v>
      </c>
      <c r="AC4">
        <v>0</v>
      </c>
      <c r="AD4">
        <v>1</v>
      </c>
      <c r="AE4">
        <v>0</v>
      </c>
      <c r="AG4">
        <v>1.88</v>
      </c>
      <c r="AH4">
        <v>2</v>
      </c>
      <c r="AI4">
        <v>55100130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ht="12.75">
      <c r="A5">
        <f>ROW(Source!A30)</f>
        <v>30</v>
      </c>
      <c r="B5">
        <v>55096073</v>
      </c>
      <c r="C5">
        <v>55096070</v>
      </c>
      <c r="D5">
        <v>44800219</v>
      </c>
      <c r="E5">
        <v>54</v>
      </c>
      <c r="F5">
        <v>1</v>
      </c>
      <c r="G5">
        <v>1</v>
      </c>
      <c r="H5">
        <v>1</v>
      </c>
      <c r="I5" t="s">
        <v>309</v>
      </c>
      <c r="K5" t="s">
        <v>316</v>
      </c>
      <c r="L5">
        <v>1191</v>
      </c>
      <c r="N5">
        <v>1013</v>
      </c>
      <c r="O5" t="s">
        <v>311</v>
      </c>
      <c r="P5" t="s">
        <v>311</v>
      </c>
      <c r="Q5">
        <v>1</v>
      </c>
      <c r="X5">
        <v>14.38</v>
      </c>
      <c r="Y5">
        <v>0</v>
      </c>
      <c r="Z5">
        <v>0</v>
      </c>
      <c r="AA5">
        <v>0</v>
      </c>
      <c r="AB5">
        <v>7.8</v>
      </c>
      <c r="AC5">
        <v>0</v>
      </c>
      <c r="AD5">
        <v>1</v>
      </c>
      <c r="AE5">
        <v>1</v>
      </c>
      <c r="AG5">
        <v>14.38</v>
      </c>
      <c r="AH5">
        <v>2</v>
      </c>
      <c r="AI5">
        <v>55096071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ht="12.75">
      <c r="A6">
        <f>ROW(Source!A30)</f>
        <v>30</v>
      </c>
      <c r="B6">
        <v>55096074</v>
      </c>
      <c r="C6">
        <v>55096070</v>
      </c>
      <c r="D6">
        <v>44976395</v>
      </c>
      <c r="E6">
        <v>1</v>
      </c>
      <c r="F6">
        <v>1</v>
      </c>
      <c r="G6">
        <v>1</v>
      </c>
      <c r="H6">
        <v>2</v>
      </c>
      <c r="I6" t="s">
        <v>312</v>
      </c>
      <c r="J6" t="s">
        <v>313</v>
      </c>
      <c r="K6" t="s">
        <v>314</v>
      </c>
      <c r="L6">
        <v>1368</v>
      </c>
      <c r="N6">
        <v>1011</v>
      </c>
      <c r="O6" t="s">
        <v>317</v>
      </c>
      <c r="P6" t="s">
        <v>317</v>
      </c>
      <c r="Q6">
        <v>1</v>
      </c>
      <c r="X6">
        <v>6.22</v>
      </c>
      <c r="Y6">
        <v>0</v>
      </c>
      <c r="Z6">
        <v>6.66</v>
      </c>
      <c r="AA6">
        <v>0</v>
      </c>
      <c r="AB6">
        <v>0</v>
      </c>
      <c r="AC6">
        <v>0</v>
      </c>
      <c r="AD6">
        <v>1</v>
      </c>
      <c r="AE6">
        <v>0</v>
      </c>
      <c r="AG6">
        <v>6.22</v>
      </c>
      <c r="AH6">
        <v>2</v>
      </c>
      <c r="AI6">
        <v>55096072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ht="12.75">
      <c r="A7">
        <f>ROW(Source!A31)</f>
        <v>31</v>
      </c>
      <c r="B7">
        <v>55096073</v>
      </c>
      <c r="C7">
        <v>55096070</v>
      </c>
      <c r="D7">
        <v>44800219</v>
      </c>
      <c r="E7">
        <v>54</v>
      </c>
      <c r="F7">
        <v>1</v>
      </c>
      <c r="G7">
        <v>1</v>
      </c>
      <c r="H7">
        <v>1</v>
      </c>
      <c r="I7" t="s">
        <v>309</v>
      </c>
      <c r="K7" t="s">
        <v>316</v>
      </c>
      <c r="L7">
        <v>1191</v>
      </c>
      <c r="N7">
        <v>1013</v>
      </c>
      <c r="O7" t="s">
        <v>311</v>
      </c>
      <c r="P7" t="s">
        <v>311</v>
      </c>
      <c r="Q7">
        <v>1</v>
      </c>
      <c r="X7">
        <v>14.38</v>
      </c>
      <c r="Y7">
        <v>0</v>
      </c>
      <c r="Z7">
        <v>0</v>
      </c>
      <c r="AA7">
        <v>0</v>
      </c>
      <c r="AB7">
        <v>7.8</v>
      </c>
      <c r="AC7">
        <v>0</v>
      </c>
      <c r="AD7">
        <v>1</v>
      </c>
      <c r="AE7">
        <v>1</v>
      </c>
      <c r="AG7">
        <v>14.38</v>
      </c>
      <c r="AH7">
        <v>2</v>
      </c>
      <c r="AI7">
        <v>55096071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ht="12.75">
      <c r="A8">
        <f>ROW(Source!A31)</f>
        <v>31</v>
      </c>
      <c r="B8">
        <v>55096074</v>
      </c>
      <c r="C8">
        <v>55096070</v>
      </c>
      <c r="D8">
        <v>44976395</v>
      </c>
      <c r="E8">
        <v>1</v>
      </c>
      <c r="F8">
        <v>1</v>
      </c>
      <c r="G8">
        <v>1</v>
      </c>
      <c r="H8">
        <v>2</v>
      </c>
      <c r="I8" t="s">
        <v>312</v>
      </c>
      <c r="J8" t="s">
        <v>313</v>
      </c>
      <c r="K8" t="s">
        <v>314</v>
      </c>
      <c r="L8">
        <v>1368</v>
      </c>
      <c r="N8">
        <v>1011</v>
      </c>
      <c r="O8" t="s">
        <v>317</v>
      </c>
      <c r="P8" t="s">
        <v>317</v>
      </c>
      <c r="Q8">
        <v>1</v>
      </c>
      <c r="X8">
        <v>6.22</v>
      </c>
      <c r="Y8">
        <v>0</v>
      </c>
      <c r="Z8">
        <v>6.66</v>
      </c>
      <c r="AA8">
        <v>0</v>
      </c>
      <c r="AB8">
        <v>0</v>
      </c>
      <c r="AC8">
        <v>0</v>
      </c>
      <c r="AD8">
        <v>1</v>
      </c>
      <c r="AE8">
        <v>0</v>
      </c>
      <c r="AG8">
        <v>6.22</v>
      </c>
      <c r="AH8">
        <v>2</v>
      </c>
      <c r="AI8">
        <v>55096072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ht="12.75">
      <c r="A9">
        <f>ROW(Source!A32)</f>
        <v>32</v>
      </c>
      <c r="B9">
        <v>55096081</v>
      </c>
      <c r="C9">
        <v>55096075</v>
      </c>
      <c r="D9">
        <v>53630041</v>
      </c>
      <c r="E9">
        <v>70</v>
      </c>
      <c r="F9">
        <v>1</v>
      </c>
      <c r="G9">
        <v>1</v>
      </c>
      <c r="H9">
        <v>1</v>
      </c>
      <c r="I9" t="s">
        <v>318</v>
      </c>
      <c r="K9" t="s">
        <v>319</v>
      </c>
      <c r="L9">
        <v>1191</v>
      </c>
      <c r="N9">
        <v>1013</v>
      </c>
      <c r="O9" t="s">
        <v>311</v>
      </c>
      <c r="P9" t="s">
        <v>311</v>
      </c>
      <c r="Q9">
        <v>1</v>
      </c>
      <c r="X9">
        <v>35.6</v>
      </c>
      <c r="Y9">
        <v>0</v>
      </c>
      <c r="Z9">
        <v>0</v>
      </c>
      <c r="AA9">
        <v>0</v>
      </c>
      <c r="AB9">
        <v>7.94</v>
      </c>
      <c r="AC9">
        <v>0</v>
      </c>
      <c r="AD9">
        <v>1</v>
      </c>
      <c r="AE9">
        <v>1</v>
      </c>
      <c r="AF9" t="s">
        <v>45</v>
      </c>
      <c r="AG9">
        <v>28.480000000000004</v>
      </c>
      <c r="AH9">
        <v>2</v>
      </c>
      <c r="AI9">
        <v>55096076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ht="12.75">
      <c r="A10">
        <f>ROW(Source!A32)</f>
        <v>32</v>
      </c>
      <c r="B10">
        <v>55096082</v>
      </c>
      <c r="C10">
        <v>55096075</v>
      </c>
      <c r="D10">
        <v>53630257</v>
      </c>
      <c r="E10">
        <v>70</v>
      </c>
      <c r="F10">
        <v>1</v>
      </c>
      <c r="G10">
        <v>1</v>
      </c>
      <c r="H10">
        <v>1</v>
      </c>
      <c r="I10" t="s">
        <v>320</v>
      </c>
      <c r="K10" t="s">
        <v>321</v>
      </c>
      <c r="L10">
        <v>1191</v>
      </c>
      <c r="N10">
        <v>1013</v>
      </c>
      <c r="O10" t="s">
        <v>311</v>
      </c>
      <c r="P10" t="s">
        <v>311</v>
      </c>
      <c r="Q10">
        <v>1</v>
      </c>
      <c r="X10">
        <v>1.27</v>
      </c>
      <c r="Y10">
        <v>0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2</v>
      </c>
      <c r="AF10" t="s">
        <v>45</v>
      </c>
      <c r="AG10">
        <v>1.016</v>
      </c>
      <c r="AH10">
        <v>2</v>
      </c>
      <c r="AI10">
        <v>55096077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ht="12.75">
      <c r="A11">
        <f>ROW(Source!A32)</f>
        <v>32</v>
      </c>
      <c r="B11">
        <v>55096083</v>
      </c>
      <c r="C11">
        <v>55096075</v>
      </c>
      <c r="D11">
        <v>53792191</v>
      </c>
      <c r="E11">
        <v>1</v>
      </c>
      <c r="F11">
        <v>1</v>
      </c>
      <c r="G11">
        <v>1</v>
      </c>
      <c r="H11">
        <v>2</v>
      </c>
      <c r="I11" t="s">
        <v>322</v>
      </c>
      <c r="J11" t="s">
        <v>323</v>
      </c>
      <c r="K11" t="s">
        <v>324</v>
      </c>
      <c r="L11">
        <v>1367</v>
      </c>
      <c r="N11">
        <v>1011</v>
      </c>
      <c r="O11" t="s">
        <v>315</v>
      </c>
      <c r="P11" t="s">
        <v>315</v>
      </c>
      <c r="Q11">
        <v>1</v>
      </c>
      <c r="X11">
        <v>1.27</v>
      </c>
      <c r="Y11">
        <v>0</v>
      </c>
      <c r="Z11">
        <v>31.26</v>
      </c>
      <c r="AA11">
        <v>13.5</v>
      </c>
      <c r="AB11">
        <v>0</v>
      </c>
      <c r="AC11">
        <v>0</v>
      </c>
      <c r="AD11">
        <v>1</v>
      </c>
      <c r="AE11">
        <v>0</v>
      </c>
      <c r="AF11" t="s">
        <v>45</v>
      </c>
      <c r="AG11">
        <v>1.016</v>
      </c>
      <c r="AH11">
        <v>2</v>
      </c>
      <c r="AI11">
        <v>55096078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ht="12.75">
      <c r="A12">
        <f>ROW(Source!A32)</f>
        <v>32</v>
      </c>
      <c r="B12">
        <v>55096084</v>
      </c>
      <c r="C12">
        <v>55096075</v>
      </c>
      <c r="D12">
        <v>53792275</v>
      </c>
      <c r="E12">
        <v>1</v>
      </c>
      <c r="F12">
        <v>1</v>
      </c>
      <c r="G12">
        <v>1</v>
      </c>
      <c r="H12">
        <v>2</v>
      </c>
      <c r="I12" t="s">
        <v>325</v>
      </c>
      <c r="J12" t="s">
        <v>326</v>
      </c>
      <c r="K12" t="s">
        <v>327</v>
      </c>
      <c r="L12">
        <v>1367</v>
      </c>
      <c r="N12">
        <v>1011</v>
      </c>
      <c r="O12" t="s">
        <v>315</v>
      </c>
      <c r="P12" t="s">
        <v>315</v>
      </c>
      <c r="Q12">
        <v>1</v>
      </c>
      <c r="X12">
        <v>7.82</v>
      </c>
      <c r="Y12">
        <v>0</v>
      </c>
      <c r="Z12">
        <v>0.5</v>
      </c>
      <c r="AA12">
        <v>0</v>
      </c>
      <c r="AB12">
        <v>0</v>
      </c>
      <c r="AC12">
        <v>0</v>
      </c>
      <c r="AD12">
        <v>1</v>
      </c>
      <c r="AE12">
        <v>0</v>
      </c>
      <c r="AF12" t="s">
        <v>45</v>
      </c>
      <c r="AG12">
        <v>6.256</v>
      </c>
      <c r="AH12">
        <v>2</v>
      </c>
      <c r="AI12">
        <v>55096079</v>
      </c>
      <c r="AJ12">
        <v>12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ht="12.75">
      <c r="A13">
        <f>ROW(Source!A32)</f>
        <v>32</v>
      </c>
      <c r="B13">
        <v>55096085</v>
      </c>
      <c r="C13">
        <v>55096075</v>
      </c>
      <c r="D13">
        <v>53642555</v>
      </c>
      <c r="E13">
        <v>1</v>
      </c>
      <c r="F13">
        <v>1</v>
      </c>
      <c r="G13">
        <v>1</v>
      </c>
      <c r="H13">
        <v>3</v>
      </c>
      <c r="I13" t="s">
        <v>52</v>
      </c>
      <c r="J13" t="s">
        <v>55</v>
      </c>
      <c r="K13" t="s">
        <v>53</v>
      </c>
      <c r="L13">
        <v>1339</v>
      </c>
      <c r="N13">
        <v>1007</v>
      </c>
      <c r="O13" t="s">
        <v>54</v>
      </c>
      <c r="P13" t="s">
        <v>54</v>
      </c>
      <c r="Q13">
        <v>1</v>
      </c>
      <c r="X13">
        <v>3.5</v>
      </c>
      <c r="Y13">
        <v>2.44</v>
      </c>
      <c r="Z13">
        <v>0</v>
      </c>
      <c r="AA13">
        <v>0</v>
      </c>
      <c r="AB13">
        <v>0</v>
      </c>
      <c r="AC13">
        <v>0</v>
      </c>
      <c r="AD13">
        <v>1</v>
      </c>
      <c r="AE13">
        <v>0</v>
      </c>
      <c r="AF13" t="s">
        <v>44</v>
      </c>
      <c r="AG13">
        <v>0</v>
      </c>
      <c r="AH13">
        <v>2</v>
      </c>
      <c r="AI13">
        <v>55096080</v>
      </c>
      <c r="AJ13">
        <v>13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ht="12.75">
      <c r="A14">
        <f>ROW(Source!A32)</f>
        <v>32</v>
      </c>
      <c r="B14">
        <v>55096086</v>
      </c>
      <c r="C14">
        <v>55096075</v>
      </c>
      <c r="D14">
        <v>53631137</v>
      </c>
      <c r="E14">
        <v>70</v>
      </c>
      <c r="F14">
        <v>1</v>
      </c>
      <c r="G14">
        <v>1</v>
      </c>
      <c r="H14">
        <v>3</v>
      </c>
      <c r="I14" t="s">
        <v>373</v>
      </c>
      <c r="K14" t="s">
        <v>374</v>
      </c>
      <c r="L14">
        <v>1339</v>
      </c>
      <c r="N14">
        <v>1007</v>
      </c>
      <c r="O14" t="s">
        <v>54</v>
      </c>
      <c r="P14" t="s">
        <v>54</v>
      </c>
      <c r="Q14">
        <v>1</v>
      </c>
      <c r="X14">
        <v>2.04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 t="s">
        <v>44</v>
      </c>
      <c r="AG14">
        <v>0</v>
      </c>
      <c r="AH14">
        <v>3</v>
      </c>
      <c r="AI14">
        <v>-1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ht="12.75">
      <c r="A15">
        <f>ROW(Source!A33)</f>
        <v>33</v>
      </c>
      <c r="B15">
        <v>55096081</v>
      </c>
      <c r="C15">
        <v>55096075</v>
      </c>
      <c r="D15">
        <v>53630041</v>
      </c>
      <c r="E15">
        <v>70</v>
      </c>
      <c r="F15">
        <v>1</v>
      </c>
      <c r="G15">
        <v>1</v>
      </c>
      <c r="H15">
        <v>1</v>
      </c>
      <c r="I15" t="s">
        <v>318</v>
      </c>
      <c r="K15" t="s">
        <v>319</v>
      </c>
      <c r="L15">
        <v>1191</v>
      </c>
      <c r="N15">
        <v>1013</v>
      </c>
      <c r="O15" t="s">
        <v>311</v>
      </c>
      <c r="P15" t="s">
        <v>311</v>
      </c>
      <c r="Q15">
        <v>1</v>
      </c>
      <c r="X15">
        <v>35.6</v>
      </c>
      <c r="Y15">
        <v>0</v>
      </c>
      <c r="Z15">
        <v>0</v>
      </c>
      <c r="AA15">
        <v>0</v>
      </c>
      <c r="AB15">
        <v>7.94</v>
      </c>
      <c r="AC15">
        <v>0</v>
      </c>
      <c r="AD15">
        <v>1</v>
      </c>
      <c r="AE15">
        <v>1</v>
      </c>
      <c r="AF15" t="s">
        <v>45</v>
      </c>
      <c r="AG15">
        <v>28.480000000000004</v>
      </c>
      <c r="AH15">
        <v>2</v>
      </c>
      <c r="AI15">
        <v>55096076</v>
      </c>
      <c r="AJ15">
        <v>14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ht="12.75">
      <c r="A16">
        <f>ROW(Source!A33)</f>
        <v>33</v>
      </c>
      <c r="B16">
        <v>55096082</v>
      </c>
      <c r="C16">
        <v>55096075</v>
      </c>
      <c r="D16">
        <v>53630257</v>
      </c>
      <c r="E16">
        <v>70</v>
      </c>
      <c r="F16">
        <v>1</v>
      </c>
      <c r="G16">
        <v>1</v>
      </c>
      <c r="H16">
        <v>1</v>
      </c>
      <c r="I16" t="s">
        <v>320</v>
      </c>
      <c r="K16" t="s">
        <v>321</v>
      </c>
      <c r="L16">
        <v>1191</v>
      </c>
      <c r="N16">
        <v>1013</v>
      </c>
      <c r="O16" t="s">
        <v>311</v>
      </c>
      <c r="P16" t="s">
        <v>311</v>
      </c>
      <c r="Q16">
        <v>1</v>
      </c>
      <c r="X16">
        <v>1.27</v>
      </c>
      <c r="Y16">
        <v>0</v>
      </c>
      <c r="Z16">
        <v>0</v>
      </c>
      <c r="AA16">
        <v>0</v>
      </c>
      <c r="AB16">
        <v>0</v>
      </c>
      <c r="AC16">
        <v>0</v>
      </c>
      <c r="AD16">
        <v>1</v>
      </c>
      <c r="AE16">
        <v>2</v>
      </c>
      <c r="AF16" t="s">
        <v>45</v>
      </c>
      <c r="AG16">
        <v>1.016</v>
      </c>
      <c r="AH16">
        <v>2</v>
      </c>
      <c r="AI16">
        <v>55096077</v>
      </c>
      <c r="AJ16">
        <v>15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ht="12.75">
      <c r="A17">
        <f>ROW(Source!A33)</f>
        <v>33</v>
      </c>
      <c r="B17">
        <v>55096083</v>
      </c>
      <c r="C17">
        <v>55096075</v>
      </c>
      <c r="D17">
        <v>53792191</v>
      </c>
      <c r="E17">
        <v>1</v>
      </c>
      <c r="F17">
        <v>1</v>
      </c>
      <c r="G17">
        <v>1</v>
      </c>
      <c r="H17">
        <v>2</v>
      </c>
      <c r="I17" t="s">
        <v>322</v>
      </c>
      <c r="J17" t="s">
        <v>323</v>
      </c>
      <c r="K17" t="s">
        <v>324</v>
      </c>
      <c r="L17">
        <v>1367</v>
      </c>
      <c r="N17">
        <v>1011</v>
      </c>
      <c r="O17" t="s">
        <v>315</v>
      </c>
      <c r="P17" t="s">
        <v>315</v>
      </c>
      <c r="Q17">
        <v>1</v>
      </c>
      <c r="X17">
        <v>1.27</v>
      </c>
      <c r="Y17">
        <v>0</v>
      </c>
      <c r="Z17">
        <v>31.26</v>
      </c>
      <c r="AA17">
        <v>13.5</v>
      </c>
      <c r="AB17">
        <v>0</v>
      </c>
      <c r="AC17">
        <v>0</v>
      </c>
      <c r="AD17">
        <v>1</v>
      </c>
      <c r="AE17">
        <v>0</v>
      </c>
      <c r="AF17" t="s">
        <v>45</v>
      </c>
      <c r="AG17">
        <v>1.016</v>
      </c>
      <c r="AH17">
        <v>2</v>
      </c>
      <c r="AI17">
        <v>55096078</v>
      </c>
      <c r="AJ17">
        <v>16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ht="12.75">
      <c r="A18">
        <f>ROW(Source!A33)</f>
        <v>33</v>
      </c>
      <c r="B18">
        <v>55096084</v>
      </c>
      <c r="C18">
        <v>55096075</v>
      </c>
      <c r="D18">
        <v>53792275</v>
      </c>
      <c r="E18">
        <v>1</v>
      </c>
      <c r="F18">
        <v>1</v>
      </c>
      <c r="G18">
        <v>1</v>
      </c>
      <c r="H18">
        <v>2</v>
      </c>
      <c r="I18" t="s">
        <v>325</v>
      </c>
      <c r="J18" t="s">
        <v>326</v>
      </c>
      <c r="K18" t="s">
        <v>327</v>
      </c>
      <c r="L18">
        <v>1367</v>
      </c>
      <c r="N18">
        <v>1011</v>
      </c>
      <c r="O18" t="s">
        <v>315</v>
      </c>
      <c r="P18" t="s">
        <v>315</v>
      </c>
      <c r="Q18">
        <v>1</v>
      </c>
      <c r="X18">
        <v>7.82</v>
      </c>
      <c r="Y18">
        <v>0</v>
      </c>
      <c r="Z18">
        <v>0.5</v>
      </c>
      <c r="AA18">
        <v>0</v>
      </c>
      <c r="AB18">
        <v>0</v>
      </c>
      <c r="AC18">
        <v>0</v>
      </c>
      <c r="AD18">
        <v>1</v>
      </c>
      <c r="AE18">
        <v>0</v>
      </c>
      <c r="AF18" t="s">
        <v>45</v>
      </c>
      <c r="AG18">
        <v>6.256</v>
      </c>
      <c r="AH18">
        <v>2</v>
      </c>
      <c r="AI18">
        <v>55096079</v>
      </c>
      <c r="AJ18">
        <v>17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ht="12.75">
      <c r="A19">
        <f>ROW(Source!A33)</f>
        <v>33</v>
      </c>
      <c r="B19">
        <v>55096085</v>
      </c>
      <c r="C19">
        <v>55096075</v>
      </c>
      <c r="D19">
        <v>53642555</v>
      </c>
      <c r="E19">
        <v>1</v>
      </c>
      <c r="F19">
        <v>1</v>
      </c>
      <c r="G19">
        <v>1</v>
      </c>
      <c r="H19">
        <v>3</v>
      </c>
      <c r="I19" t="s">
        <v>52</v>
      </c>
      <c r="J19" t="s">
        <v>55</v>
      </c>
      <c r="K19" t="s">
        <v>53</v>
      </c>
      <c r="L19">
        <v>1339</v>
      </c>
      <c r="N19">
        <v>1007</v>
      </c>
      <c r="O19" t="s">
        <v>54</v>
      </c>
      <c r="P19" t="s">
        <v>54</v>
      </c>
      <c r="Q19">
        <v>1</v>
      </c>
      <c r="X19">
        <v>3.5</v>
      </c>
      <c r="Y19">
        <v>2.44</v>
      </c>
      <c r="Z19">
        <v>0</v>
      </c>
      <c r="AA19">
        <v>0</v>
      </c>
      <c r="AB19">
        <v>0</v>
      </c>
      <c r="AC19">
        <v>0</v>
      </c>
      <c r="AD19">
        <v>1</v>
      </c>
      <c r="AE19">
        <v>0</v>
      </c>
      <c r="AF19" t="s">
        <v>44</v>
      </c>
      <c r="AG19">
        <v>0</v>
      </c>
      <c r="AH19">
        <v>2</v>
      </c>
      <c r="AI19">
        <v>55096080</v>
      </c>
      <c r="AJ19">
        <v>18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ht="12.75">
      <c r="A20">
        <f>ROW(Source!A33)</f>
        <v>33</v>
      </c>
      <c r="B20">
        <v>55096086</v>
      </c>
      <c r="C20">
        <v>55096075</v>
      </c>
      <c r="D20">
        <v>53631137</v>
      </c>
      <c r="E20">
        <v>70</v>
      </c>
      <c r="F20">
        <v>1</v>
      </c>
      <c r="G20">
        <v>1</v>
      </c>
      <c r="H20">
        <v>3</v>
      </c>
      <c r="I20" t="s">
        <v>373</v>
      </c>
      <c r="K20" t="s">
        <v>374</v>
      </c>
      <c r="L20">
        <v>1339</v>
      </c>
      <c r="N20">
        <v>1007</v>
      </c>
      <c r="O20" t="s">
        <v>54</v>
      </c>
      <c r="P20" t="s">
        <v>54</v>
      </c>
      <c r="Q20">
        <v>1</v>
      </c>
      <c r="X20">
        <v>2.04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 t="s">
        <v>44</v>
      </c>
      <c r="AG20">
        <v>0</v>
      </c>
      <c r="AH20">
        <v>3</v>
      </c>
      <c r="AI20">
        <v>-1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ht="12.75">
      <c r="A21">
        <f>ROW(Source!A71)</f>
        <v>71</v>
      </c>
      <c r="B21">
        <v>55096096</v>
      </c>
      <c r="C21">
        <v>55096087</v>
      </c>
      <c r="D21">
        <v>49459389</v>
      </c>
      <c r="E21">
        <v>58</v>
      </c>
      <c r="F21">
        <v>1</v>
      </c>
      <c r="G21">
        <v>1</v>
      </c>
      <c r="H21">
        <v>1</v>
      </c>
      <c r="I21" t="s">
        <v>328</v>
      </c>
      <c r="K21" t="s">
        <v>329</v>
      </c>
      <c r="L21">
        <v>1191</v>
      </c>
      <c r="N21">
        <v>1013</v>
      </c>
      <c r="O21" t="s">
        <v>311</v>
      </c>
      <c r="P21" t="s">
        <v>311</v>
      </c>
      <c r="Q21">
        <v>1</v>
      </c>
      <c r="X21">
        <v>24.3</v>
      </c>
      <c r="Y21">
        <v>0</v>
      </c>
      <c r="Z21">
        <v>0</v>
      </c>
      <c r="AA21">
        <v>0</v>
      </c>
      <c r="AB21">
        <v>8.64</v>
      </c>
      <c r="AC21">
        <v>0</v>
      </c>
      <c r="AD21">
        <v>1</v>
      </c>
      <c r="AE21">
        <v>1</v>
      </c>
      <c r="AF21" t="s">
        <v>116</v>
      </c>
      <c r="AG21">
        <v>27.945</v>
      </c>
      <c r="AH21">
        <v>2</v>
      </c>
      <c r="AI21">
        <v>55096088</v>
      </c>
      <c r="AJ21">
        <v>19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ht="12.75">
      <c r="A22">
        <f>ROW(Source!A71)</f>
        <v>71</v>
      </c>
      <c r="B22">
        <v>55096097</v>
      </c>
      <c r="C22">
        <v>55096087</v>
      </c>
      <c r="D22">
        <v>49459566</v>
      </c>
      <c r="E22">
        <v>58</v>
      </c>
      <c r="F22">
        <v>1</v>
      </c>
      <c r="G22">
        <v>1</v>
      </c>
      <c r="H22">
        <v>1</v>
      </c>
      <c r="I22" t="s">
        <v>330</v>
      </c>
      <c r="K22" t="s">
        <v>321</v>
      </c>
      <c r="L22">
        <v>1191</v>
      </c>
      <c r="N22">
        <v>1013</v>
      </c>
      <c r="O22" t="s">
        <v>311</v>
      </c>
      <c r="P22" t="s">
        <v>311</v>
      </c>
      <c r="Q22">
        <v>1</v>
      </c>
      <c r="X22">
        <v>1.94</v>
      </c>
      <c r="Y22">
        <v>0</v>
      </c>
      <c r="Z22">
        <v>0</v>
      </c>
      <c r="AA22">
        <v>0</v>
      </c>
      <c r="AB22">
        <v>0</v>
      </c>
      <c r="AC22">
        <v>0</v>
      </c>
      <c r="AD22">
        <v>1</v>
      </c>
      <c r="AE22">
        <v>2</v>
      </c>
      <c r="AF22" t="s">
        <v>115</v>
      </c>
      <c r="AG22">
        <v>2.425</v>
      </c>
      <c r="AH22">
        <v>2</v>
      </c>
      <c r="AI22">
        <v>55096089</v>
      </c>
      <c r="AJ22">
        <v>20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ht="12.75">
      <c r="A23">
        <f>ROW(Source!A71)</f>
        <v>71</v>
      </c>
      <c r="B23">
        <v>55096098</v>
      </c>
      <c r="C23">
        <v>55096087</v>
      </c>
      <c r="D23">
        <v>49620286</v>
      </c>
      <c r="E23">
        <v>1</v>
      </c>
      <c r="F23">
        <v>1</v>
      </c>
      <c r="G23">
        <v>1</v>
      </c>
      <c r="H23">
        <v>2</v>
      </c>
      <c r="I23" t="s">
        <v>331</v>
      </c>
      <c r="J23" t="s">
        <v>332</v>
      </c>
      <c r="K23" t="s">
        <v>333</v>
      </c>
      <c r="L23">
        <v>1368</v>
      </c>
      <c r="N23">
        <v>1011</v>
      </c>
      <c r="O23" t="s">
        <v>317</v>
      </c>
      <c r="P23" t="s">
        <v>317</v>
      </c>
      <c r="Q23">
        <v>1</v>
      </c>
      <c r="X23">
        <v>0.68</v>
      </c>
      <c r="Y23">
        <v>0</v>
      </c>
      <c r="Z23">
        <v>86.4</v>
      </c>
      <c r="AA23">
        <v>13.5</v>
      </c>
      <c r="AB23">
        <v>0</v>
      </c>
      <c r="AC23">
        <v>0</v>
      </c>
      <c r="AD23">
        <v>1</v>
      </c>
      <c r="AE23">
        <v>0</v>
      </c>
      <c r="AF23" t="s">
        <v>115</v>
      </c>
      <c r="AG23">
        <v>0.8500000000000001</v>
      </c>
      <c r="AH23">
        <v>2</v>
      </c>
      <c r="AI23">
        <v>55096090</v>
      </c>
      <c r="AJ23">
        <v>21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ht="12.75">
      <c r="A24">
        <f>ROW(Source!A71)</f>
        <v>71</v>
      </c>
      <c r="B24">
        <v>55096099</v>
      </c>
      <c r="C24">
        <v>55096087</v>
      </c>
      <c r="D24">
        <v>49620499</v>
      </c>
      <c r="E24">
        <v>1</v>
      </c>
      <c r="F24">
        <v>1</v>
      </c>
      <c r="G24">
        <v>1</v>
      </c>
      <c r="H24">
        <v>2</v>
      </c>
      <c r="I24" t="s">
        <v>334</v>
      </c>
      <c r="J24" t="s">
        <v>335</v>
      </c>
      <c r="K24" t="s">
        <v>336</v>
      </c>
      <c r="L24">
        <v>1368</v>
      </c>
      <c r="N24">
        <v>1011</v>
      </c>
      <c r="O24" t="s">
        <v>317</v>
      </c>
      <c r="P24" t="s">
        <v>317</v>
      </c>
      <c r="Q24">
        <v>1</v>
      </c>
      <c r="X24">
        <v>1.26</v>
      </c>
      <c r="Y24">
        <v>0</v>
      </c>
      <c r="Z24">
        <v>89.99</v>
      </c>
      <c r="AA24">
        <v>10.06</v>
      </c>
      <c r="AB24">
        <v>0</v>
      </c>
      <c r="AC24">
        <v>0</v>
      </c>
      <c r="AD24">
        <v>1</v>
      </c>
      <c r="AE24">
        <v>0</v>
      </c>
      <c r="AF24" t="s">
        <v>115</v>
      </c>
      <c r="AG24">
        <v>1.575</v>
      </c>
      <c r="AH24">
        <v>2</v>
      </c>
      <c r="AI24">
        <v>55096091</v>
      </c>
      <c r="AJ24">
        <v>22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ht="12.75">
      <c r="A25">
        <f>ROW(Source!A71)</f>
        <v>71</v>
      </c>
      <c r="B25">
        <v>55096100</v>
      </c>
      <c r="C25">
        <v>55096087</v>
      </c>
      <c r="D25">
        <v>49620642</v>
      </c>
      <c r="E25">
        <v>1</v>
      </c>
      <c r="F25">
        <v>1</v>
      </c>
      <c r="G25">
        <v>1</v>
      </c>
      <c r="H25">
        <v>2</v>
      </c>
      <c r="I25" t="s">
        <v>337</v>
      </c>
      <c r="J25" t="s">
        <v>338</v>
      </c>
      <c r="K25" t="s">
        <v>339</v>
      </c>
      <c r="L25">
        <v>1368</v>
      </c>
      <c r="N25">
        <v>1011</v>
      </c>
      <c r="O25" t="s">
        <v>317</v>
      </c>
      <c r="P25" t="s">
        <v>317</v>
      </c>
      <c r="Q25">
        <v>1</v>
      </c>
      <c r="X25">
        <v>2.29</v>
      </c>
      <c r="Y25">
        <v>0</v>
      </c>
      <c r="Z25">
        <v>7.77</v>
      </c>
      <c r="AA25">
        <v>0</v>
      </c>
      <c r="AB25">
        <v>0</v>
      </c>
      <c r="AC25">
        <v>0</v>
      </c>
      <c r="AD25">
        <v>1</v>
      </c>
      <c r="AE25">
        <v>0</v>
      </c>
      <c r="AF25" t="s">
        <v>115</v>
      </c>
      <c r="AG25">
        <v>2.8625</v>
      </c>
      <c r="AH25">
        <v>2</v>
      </c>
      <c r="AI25">
        <v>55096092</v>
      </c>
      <c r="AJ25">
        <v>23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ht="12.75">
      <c r="A26">
        <f>ROW(Source!A71)</f>
        <v>71</v>
      </c>
      <c r="B26">
        <v>55096101</v>
      </c>
      <c r="C26">
        <v>55096087</v>
      </c>
      <c r="D26">
        <v>49471536</v>
      </c>
      <c r="E26">
        <v>1</v>
      </c>
      <c r="F26">
        <v>1</v>
      </c>
      <c r="G26">
        <v>1</v>
      </c>
      <c r="H26">
        <v>3</v>
      </c>
      <c r="I26" t="s">
        <v>52</v>
      </c>
      <c r="J26" t="s">
        <v>55</v>
      </c>
      <c r="K26" t="s">
        <v>53</v>
      </c>
      <c r="L26">
        <v>1339</v>
      </c>
      <c r="N26">
        <v>1007</v>
      </c>
      <c r="O26" t="s">
        <v>54</v>
      </c>
      <c r="P26" t="s">
        <v>54</v>
      </c>
      <c r="Q26">
        <v>1</v>
      </c>
      <c r="X26">
        <v>3.85</v>
      </c>
      <c r="Y26">
        <v>2.44</v>
      </c>
      <c r="Z26">
        <v>0</v>
      </c>
      <c r="AA26">
        <v>0</v>
      </c>
      <c r="AB26">
        <v>0</v>
      </c>
      <c r="AC26">
        <v>0</v>
      </c>
      <c r="AD26">
        <v>1</v>
      </c>
      <c r="AE26">
        <v>0</v>
      </c>
      <c r="AG26">
        <v>3.85</v>
      </c>
      <c r="AH26">
        <v>2</v>
      </c>
      <c r="AI26">
        <v>55096093</v>
      </c>
      <c r="AJ26">
        <v>24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ht="12.75">
      <c r="A27">
        <f>ROW(Source!A71)</f>
        <v>71</v>
      </c>
      <c r="B27">
        <v>55096102</v>
      </c>
      <c r="C27">
        <v>55096087</v>
      </c>
      <c r="D27">
        <v>49460378</v>
      </c>
      <c r="E27">
        <v>58</v>
      </c>
      <c r="F27">
        <v>1</v>
      </c>
      <c r="G27">
        <v>1</v>
      </c>
      <c r="H27">
        <v>3</v>
      </c>
      <c r="I27" t="s">
        <v>373</v>
      </c>
      <c r="K27" t="s">
        <v>374</v>
      </c>
      <c r="L27">
        <v>1339</v>
      </c>
      <c r="N27">
        <v>1007</v>
      </c>
      <c r="O27" t="s">
        <v>54</v>
      </c>
      <c r="P27" t="s">
        <v>54</v>
      </c>
      <c r="Q27">
        <v>1</v>
      </c>
      <c r="X27">
        <v>1.53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G27">
        <v>1.53</v>
      </c>
      <c r="AH27">
        <v>3</v>
      </c>
      <c r="AI27">
        <v>-1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ht="12.75">
      <c r="A28">
        <f>ROW(Source!A71)</f>
        <v>71</v>
      </c>
      <c r="B28">
        <v>55096103</v>
      </c>
      <c r="C28">
        <v>55096087</v>
      </c>
      <c r="D28">
        <v>49497472</v>
      </c>
      <c r="E28">
        <v>1</v>
      </c>
      <c r="F28">
        <v>1</v>
      </c>
      <c r="G28">
        <v>1</v>
      </c>
      <c r="H28">
        <v>3</v>
      </c>
      <c r="I28" t="s">
        <v>340</v>
      </c>
      <c r="J28" t="s">
        <v>341</v>
      </c>
      <c r="K28" t="s">
        <v>342</v>
      </c>
      <c r="L28">
        <v>1327</v>
      </c>
      <c r="N28">
        <v>1005</v>
      </c>
      <c r="O28" t="s">
        <v>173</v>
      </c>
      <c r="P28" t="s">
        <v>173</v>
      </c>
      <c r="Q28">
        <v>1</v>
      </c>
      <c r="X28">
        <v>4.4</v>
      </c>
      <c r="Y28">
        <v>6.2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0</v>
      </c>
      <c r="AG28">
        <v>4.4</v>
      </c>
      <c r="AH28">
        <v>2</v>
      </c>
      <c r="AI28">
        <v>55096094</v>
      </c>
      <c r="AJ28">
        <v>26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ht="12.75">
      <c r="A29">
        <f>ROW(Source!A72)</f>
        <v>72</v>
      </c>
      <c r="B29">
        <v>55096096</v>
      </c>
      <c r="C29">
        <v>55096087</v>
      </c>
      <c r="D29">
        <v>49459389</v>
      </c>
      <c r="E29">
        <v>58</v>
      </c>
      <c r="F29">
        <v>1</v>
      </c>
      <c r="G29">
        <v>1</v>
      </c>
      <c r="H29">
        <v>1</v>
      </c>
      <c r="I29" t="s">
        <v>328</v>
      </c>
      <c r="K29" t="s">
        <v>329</v>
      </c>
      <c r="L29">
        <v>1191</v>
      </c>
      <c r="N29">
        <v>1013</v>
      </c>
      <c r="O29" t="s">
        <v>311</v>
      </c>
      <c r="P29" t="s">
        <v>311</v>
      </c>
      <c r="Q29">
        <v>1</v>
      </c>
      <c r="X29">
        <v>24.3</v>
      </c>
      <c r="Y29">
        <v>0</v>
      </c>
      <c r="Z29">
        <v>0</v>
      </c>
      <c r="AA29">
        <v>0</v>
      </c>
      <c r="AB29">
        <v>8.64</v>
      </c>
      <c r="AC29">
        <v>0</v>
      </c>
      <c r="AD29">
        <v>1</v>
      </c>
      <c r="AE29">
        <v>1</v>
      </c>
      <c r="AF29" t="s">
        <v>116</v>
      </c>
      <c r="AG29">
        <v>27.945</v>
      </c>
      <c r="AH29">
        <v>2</v>
      </c>
      <c r="AI29">
        <v>55096088</v>
      </c>
      <c r="AJ29">
        <v>27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ht="12.75">
      <c r="A30">
        <f>ROW(Source!A72)</f>
        <v>72</v>
      </c>
      <c r="B30">
        <v>55096097</v>
      </c>
      <c r="C30">
        <v>55096087</v>
      </c>
      <c r="D30">
        <v>49459566</v>
      </c>
      <c r="E30">
        <v>58</v>
      </c>
      <c r="F30">
        <v>1</v>
      </c>
      <c r="G30">
        <v>1</v>
      </c>
      <c r="H30">
        <v>1</v>
      </c>
      <c r="I30" t="s">
        <v>330</v>
      </c>
      <c r="K30" t="s">
        <v>321</v>
      </c>
      <c r="L30">
        <v>1191</v>
      </c>
      <c r="N30">
        <v>1013</v>
      </c>
      <c r="O30" t="s">
        <v>311</v>
      </c>
      <c r="P30" t="s">
        <v>311</v>
      </c>
      <c r="Q30">
        <v>1</v>
      </c>
      <c r="X30">
        <v>1.94</v>
      </c>
      <c r="Y30">
        <v>0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2</v>
      </c>
      <c r="AF30" t="s">
        <v>115</v>
      </c>
      <c r="AG30">
        <v>2.425</v>
      </c>
      <c r="AH30">
        <v>2</v>
      </c>
      <c r="AI30">
        <v>55096089</v>
      </c>
      <c r="AJ30">
        <v>28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ht="12.75">
      <c r="A31">
        <f>ROW(Source!A72)</f>
        <v>72</v>
      </c>
      <c r="B31">
        <v>55096098</v>
      </c>
      <c r="C31">
        <v>55096087</v>
      </c>
      <c r="D31">
        <v>49620286</v>
      </c>
      <c r="E31">
        <v>1</v>
      </c>
      <c r="F31">
        <v>1</v>
      </c>
      <c r="G31">
        <v>1</v>
      </c>
      <c r="H31">
        <v>2</v>
      </c>
      <c r="I31" t="s">
        <v>331</v>
      </c>
      <c r="J31" t="s">
        <v>332</v>
      </c>
      <c r="K31" t="s">
        <v>333</v>
      </c>
      <c r="L31">
        <v>1368</v>
      </c>
      <c r="N31">
        <v>1011</v>
      </c>
      <c r="O31" t="s">
        <v>317</v>
      </c>
      <c r="P31" t="s">
        <v>317</v>
      </c>
      <c r="Q31">
        <v>1</v>
      </c>
      <c r="X31">
        <v>0.68</v>
      </c>
      <c r="Y31">
        <v>0</v>
      </c>
      <c r="Z31">
        <v>86.4</v>
      </c>
      <c r="AA31">
        <v>13.5</v>
      </c>
      <c r="AB31">
        <v>0</v>
      </c>
      <c r="AC31">
        <v>0</v>
      </c>
      <c r="AD31">
        <v>1</v>
      </c>
      <c r="AE31">
        <v>0</v>
      </c>
      <c r="AF31" t="s">
        <v>115</v>
      </c>
      <c r="AG31">
        <v>0.8500000000000001</v>
      </c>
      <c r="AH31">
        <v>2</v>
      </c>
      <c r="AI31">
        <v>55096090</v>
      </c>
      <c r="AJ31">
        <v>29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ht="12.75">
      <c r="A32">
        <f>ROW(Source!A72)</f>
        <v>72</v>
      </c>
      <c r="B32">
        <v>55096099</v>
      </c>
      <c r="C32">
        <v>55096087</v>
      </c>
      <c r="D32">
        <v>49620499</v>
      </c>
      <c r="E32">
        <v>1</v>
      </c>
      <c r="F32">
        <v>1</v>
      </c>
      <c r="G32">
        <v>1</v>
      </c>
      <c r="H32">
        <v>2</v>
      </c>
      <c r="I32" t="s">
        <v>334</v>
      </c>
      <c r="J32" t="s">
        <v>335</v>
      </c>
      <c r="K32" t="s">
        <v>336</v>
      </c>
      <c r="L32">
        <v>1368</v>
      </c>
      <c r="N32">
        <v>1011</v>
      </c>
      <c r="O32" t="s">
        <v>317</v>
      </c>
      <c r="P32" t="s">
        <v>317</v>
      </c>
      <c r="Q32">
        <v>1</v>
      </c>
      <c r="X32">
        <v>1.26</v>
      </c>
      <c r="Y32">
        <v>0</v>
      </c>
      <c r="Z32">
        <v>89.99</v>
      </c>
      <c r="AA32">
        <v>10.06</v>
      </c>
      <c r="AB32">
        <v>0</v>
      </c>
      <c r="AC32">
        <v>0</v>
      </c>
      <c r="AD32">
        <v>1</v>
      </c>
      <c r="AE32">
        <v>0</v>
      </c>
      <c r="AF32" t="s">
        <v>115</v>
      </c>
      <c r="AG32">
        <v>1.575</v>
      </c>
      <c r="AH32">
        <v>2</v>
      </c>
      <c r="AI32">
        <v>55096091</v>
      </c>
      <c r="AJ32">
        <v>30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ht="12.75">
      <c r="A33">
        <f>ROW(Source!A72)</f>
        <v>72</v>
      </c>
      <c r="B33">
        <v>55096100</v>
      </c>
      <c r="C33">
        <v>55096087</v>
      </c>
      <c r="D33">
        <v>49620642</v>
      </c>
      <c r="E33">
        <v>1</v>
      </c>
      <c r="F33">
        <v>1</v>
      </c>
      <c r="G33">
        <v>1</v>
      </c>
      <c r="H33">
        <v>2</v>
      </c>
      <c r="I33" t="s">
        <v>337</v>
      </c>
      <c r="J33" t="s">
        <v>338</v>
      </c>
      <c r="K33" t="s">
        <v>339</v>
      </c>
      <c r="L33">
        <v>1368</v>
      </c>
      <c r="N33">
        <v>1011</v>
      </c>
      <c r="O33" t="s">
        <v>317</v>
      </c>
      <c r="P33" t="s">
        <v>317</v>
      </c>
      <c r="Q33">
        <v>1</v>
      </c>
      <c r="X33">
        <v>2.29</v>
      </c>
      <c r="Y33">
        <v>0</v>
      </c>
      <c r="Z33">
        <v>7.77</v>
      </c>
      <c r="AA33">
        <v>0</v>
      </c>
      <c r="AB33">
        <v>0</v>
      </c>
      <c r="AC33">
        <v>0</v>
      </c>
      <c r="AD33">
        <v>1</v>
      </c>
      <c r="AE33">
        <v>0</v>
      </c>
      <c r="AF33" t="s">
        <v>115</v>
      </c>
      <c r="AG33">
        <v>2.8625</v>
      </c>
      <c r="AH33">
        <v>2</v>
      </c>
      <c r="AI33">
        <v>55096092</v>
      </c>
      <c r="AJ33">
        <v>31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ht="12.75">
      <c r="A34">
        <f>ROW(Source!A72)</f>
        <v>72</v>
      </c>
      <c r="B34">
        <v>55096101</v>
      </c>
      <c r="C34">
        <v>55096087</v>
      </c>
      <c r="D34">
        <v>49471536</v>
      </c>
      <c r="E34">
        <v>1</v>
      </c>
      <c r="F34">
        <v>1</v>
      </c>
      <c r="G34">
        <v>1</v>
      </c>
      <c r="H34">
        <v>3</v>
      </c>
      <c r="I34" t="s">
        <v>52</v>
      </c>
      <c r="J34" t="s">
        <v>55</v>
      </c>
      <c r="K34" t="s">
        <v>53</v>
      </c>
      <c r="L34">
        <v>1339</v>
      </c>
      <c r="N34">
        <v>1007</v>
      </c>
      <c r="O34" t="s">
        <v>54</v>
      </c>
      <c r="P34" t="s">
        <v>54</v>
      </c>
      <c r="Q34">
        <v>1</v>
      </c>
      <c r="X34">
        <v>3.85</v>
      </c>
      <c r="Y34">
        <v>2.44</v>
      </c>
      <c r="Z34">
        <v>0</v>
      </c>
      <c r="AA34">
        <v>0</v>
      </c>
      <c r="AB34">
        <v>0</v>
      </c>
      <c r="AC34">
        <v>0</v>
      </c>
      <c r="AD34">
        <v>1</v>
      </c>
      <c r="AE34">
        <v>0</v>
      </c>
      <c r="AG34">
        <v>3.85</v>
      </c>
      <c r="AH34">
        <v>2</v>
      </c>
      <c r="AI34">
        <v>55096093</v>
      </c>
      <c r="AJ34">
        <v>32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ht="12.75">
      <c r="A35">
        <f>ROW(Source!A72)</f>
        <v>72</v>
      </c>
      <c r="B35">
        <v>55096102</v>
      </c>
      <c r="C35">
        <v>55096087</v>
      </c>
      <c r="D35">
        <v>49460378</v>
      </c>
      <c r="E35">
        <v>58</v>
      </c>
      <c r="F35">
        <v>1</v>
      </c>
      <c r="G35">
        <v>1</v>
      </c>
      <c r="H35">
        <v>3</v>
      </c>
      <c r="I35" t="s">
        <v>373</v>
      </c>
      <c r="K35" t="s">
        <v>374</v>
      </c>
      <c r="L35">
        <v>1339</v>
      </c>
      <c r="N35">
        <v>1007</v>
      </c>
      <c r="O35" t="s">
        <v>54</v>
      </c>
      <c r="P35" t="s">
        <v>54</v>
      </c>
      <c r="Q35">
        <v>1</v>
      </c>
      <c r="X35">
        <v>1.53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G35">
        <v>1.53</v>
      </c>
      <c r="AH35">
        <v>3</v>
      </c>
      <c r="AI35">
        <v>-1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ht="12.75">
      <c r="A36">
        <f>ROW(Source!A72)</f>
        <v>72</v>
      </c>
      <c r="B36">
        <v>55096103</v>
      </c>
      <c r="C36">
        <v>55096087</v>
      </c>
      <c r="D36">
        <v>49497472</v>
      </c>
      <c r="E36">
        <v>1</v>
      </c>
      <c r="F36">
        <v>1</v>
      </c>
      <c r="G36">
        <v>1</v>
      </c>
      <c r="H36">
        <v>3</v>
      </c>
      <c r="I36" t="s">
        <v>340</v>
      </c>
      <c r="J36" t="s">
        <v>341</v>
      </c>
      <c r="K36" t="s">
        <v>342</v>
      </c>
      <c r="L36">
        <v>1327</v>
      </c>
      <c r="N36">
        <v>1005</v>
      </c>
      <c r="O36" t="s">
        <v>173</v>
      </c>
      <c r="P36" t="s">
        <v>173</v>
      </c>
      <c r="Q36">
        <v>1</v>
      </c>
      <c r="X36">
        <v>4.4</v>
      </c>
      <c r="Y36">
        <v>6.2</v>
      </c>
      <c r="Z36">
        <v>0</v>
      </c>
      <c r="AA36">
        <v>0</v>
      </c>
      <c r="AB36">
        <v>0</v>
      </c>
      <c r="AC36">
        <v>0</v>
      </c>
      <c r="AD36">
        <v>1</v>
      </c>
      <c r="AE36">
        <v>0</v>
      </c>
      <c r="AG36">
        <v>4.4</v>
      </c>
      <c r="AH36">
        <v>2</v>
      </c>
      <c r="AI36">
        <v>55096094</v>
      </c>
      <c r="AJ36">
        <v>34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ht="12.75">
      <c r="A37">
        <f>ROW(Source!A75)</f>
        <v>75</v>
      </c>
      <c r="B37">
        <v>55096111</v>
      </c>
      <c r="C37">
        <v>55096105</v>
      </c>
      <c r="D37">
        <v>49459389</v>
      </c>
      <c r="E37">
        <v>58</v>
      </c>
      <c r="F37">
        <v>1</v>
      </c>
      <c r="G37">
        <v>1</v>
      </c>
      <c r="H37">
        <v>1</v>
      </c>
      <c r="I37" t="s">
        <v>328</v>
      </c>
      <c r="K37" t="s">
        <v>329</v>
      </c>
      <c r="L37">
        <v>1191</v>
      </c>
      <c r="N37">
        <v>1013</v>
      </c>
      <c r="O37" t="s">
        <v>311</v>
      </c>
      <c r="P37" t="s">
        <v>311</v>
      </c>
      <c r="Q37">
        <v>1</v>
      </c>
      <c r="X37">
        <v>1</v>
      </c>
      <c r="Y37">
        <v>0</v>
      </c>
      <c r="Z37">
        <v>0</v>
      </c>
      <c r="AA37">
        <v>0</v>
      </c>
      <c r="AB37">
        <v>8.64</v>
      </c>
      <c r="AC37">
        <v>0</v>
      </c>
      <c r="AD37">
        <v>1</v>
      </c>
      <c r="AE37">
        <v>1</v>
      </c>
      <c r="AF37" t="s">
        <v>133</v>
      </c>
      <c r="AG37">
        <v>5.75</v>
      </c>
      <c r="AH37">
        <v>2</v>
      </c>
      <c r="AI37">
        <v>55096106</v>
      </c>
      <c r="AJ37">
        <v>35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ht="12.75">
      <c r="A38">
        <f>ROW(Source!A75)</f>
        <v>75</v>
      </c>
      <c r="B38">
        <v>55096112</v>
      </c>
      <c r="C38">
        <v>55096105</v>
      </c>
      <c r="D38">
        <v>49459566</v>
      </c>
      <c r="E38">
        <v>58</v>
      </c>
      <c r="F38">
        <v>1</v>
      </c>
      <c r="G38">
        <v>1</v>
      </c>
      <c r="H38">
        <v>1</v>
      </c>
      <c r="I38" t="s">
        <v>330</v>
      </c>
      <c r="K38" t="s">
        <v>321</v>
      </c>
      <c r="L38">
        <v>1191</v>
      </c>
      <c r="N38">
        <v>1013</v>
      </c>
      <c r="O38" t="s">
        <v>311</v>
      </c>
      <c r="P38" t="s">
        <v>311</v>
      </c>
      <c r="Q38">
        <v>1</v>
      </c>
      <c r="X38">
        <v>0.03</v>
      </c>
      <c r="Y38">
        <v>0</v>
      </c>
      <c r="Z38">
        <v>0</v>
      </c>
      <c r="AA38">
        <v>0</v>
      </c>
      <c r="AB38">
        <v>0</v>
      </c>
      <c r="AC38">
        <v>0</v>
      </c>
      <c r="AD38">
        <v>1</v>
      </c>
      <c r="AE38">
        <v>2</v>
      </c>
      <c r="AF38" t="s">
        <v>132</v>
      </c>
      <c r="AG38">
        <v>0.1875</v>
      </c>
      <c r="AH38">
        <v>2</v>
      </c>
      <c r="AI38">
        <v>55096107</v>
      </c>
      <c r="AJ38">
        <v>36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ht="12.75">
      <c r="A39">
        <f>ROW(Source!A75)</f>
        <v>75</v>
      </c>
      <c r="B39">
        <v>55096113</v>
      </c>
      <c r="C39">
        <v>55096105</v>
      </c>
      <c r="D39">
        <v>49620286</v>
      </c>
      <c r="E39">
        <v>1</v>
      </c>
      <c r="F39">
        <v>1</v>
      </c>
      <c r="G39">
        <v>1</v>
      </c>
      <c r="H39">
        <v>2</v>
      </c>
      <c r="I39" t="s">
        <v>331</v>
      </c>
      <c r="J39" t="s">
        <v>332</v>
      </c>
      <c r="K39" t="s">
        <v>333</v>
      </c>
      <c r="L39">
        <v>1368</v>
      </c>
      <c r="N39">
        <v>1011</v>
      </c>
      <c r="O39" t="s">
        <v>317</v>
      </c>
      <c r="P39" t="s">
        <v>317</v>
      </c>
      <c r="Q39">
        <v>1</v>
      </c>
      <c r="X39">
        <v>0.01</v>
      </c>
      <c r="Y39">
        <v>0</v>
      </c>
      <c r="Z39">
        <v>86.4</v>
      </c>
      <c r="AA39">
        <v>13.5</v>
      </c>
      <c r="AB39">
        <v>0</v>
      </c>
      <c r="AC39">
        <v>0</v>
      </c>
      <c r="AD39">
        <v>1</v>
      </c>
      <c r="AE39">
        <v>0</v>
      </c>
      <c r="AF39" t="s">
        <v>132</v>
      </c>
      <c r="AG39">
        <v>0.0625</v>
      </c>
      <c r="AH39">
        <v>2</v>
      </c>
      <c r="AI39">
        <v>55096108</v>
      </c>
      <c r="AJ39">
        <v>37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ht="12.75">
      <c r="A40">
        <f>ROW(Source!A75)</f>
        <v>75</v>
      </c>
      <c r="B40">
        <v>55096114</v>
      </c>
      <c r="C40">
        <v>55096105</v>
      </c>
      <c r="D40">
        <v>49620499</v>
      </c>
      <c r="E40">
        <v>1</v>
      </c>
      <c r="F40">
        <v>1</v>
      </c>
      <c r="G40">
        <v>1</v>
      </c>
      <c r="H40">
        <v>2</v>
      </c>
      <c r="I40" t="s">
        <v>334</v>
      </c>
      <c r="J40" t="s">
        <v>335</v>
      </c>
      <c r="K40" t="s">
        <v>336</v>
      </c>
      <c r="L40">
        <v>1368</v>
      </c>
      <c r="N40">
        <v>1011</v>
      </c>
      <c r="O40" t="s">
        <v>317</v>
      </c>
      <c r="P40" t="s">
        <v>317</v>
      </c>
      <c r="Q40">
        <v>1</v>
      </c>
      <c r="X40">
        <v>0.02</v>
      </c>
      <c r="Y40">
        <v>0</v>
      </c>
      <c r="Z40">
        <v>89.99</v>
      </c>
      <c r="AA40">
        <v>10.06</v>
      </c>
      <c r="AB40">
        <v>0</v>
      </c>
      <c r="AC40">
        <v>0</v>
      </c>
      <c r="AD40">
        <v>1</v>
      </c>
      <c r="AE40">
        <v>0</v>
      </c>
      <c r="AF40" t="s">
        <v>132</v>
      </c>
      <c r="AG40">
        <v>0.125</v>
      </c>
      <c r="AH40">
        <v>2</v>
      </c>
      <c r="AI40">
        <v>55096109</v>
      </c>
      <c r="AJ40">
        <v>38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ht="12.75">
      <c r="A41">
        <f>ROW(Source!A75)</f>
        <v>75</v>
      </c>
      <c r="B41">
        <v>55096115</v>
      </c>
      <c r="C41">
        <v>55096105</v>
      </c>
      <c r="D41">
        <v>49460378</v>
      </c>
      <c r="E41">
        <v>58</v>
      </c>
      <c r="F41">
        <v>1</v>
      </c>
      <c r="G41">
        <v>1</v>
      </c>
      <c r="H41">
        <v>3</v>
      </c>
      <c r="I41" t="s">
        <v>373</v>
      </c>
      <c r="K41" t="s">
        <v>374</v>
      </c>
      <c r="L41">
        <v>1339</v>
      </c>
      <c r="N41">
        <v>1007</v>
      </c>
      <c r="O41" t="s">
        <v>54</v>
      </c>
      <c r="P41" t="s">
        <v>54</v>
      </c>
      <c r="Q41">
        <v>1</v>
      </c>
      <c r="X41">
        <v>0.102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 t="s">
        <v>131</v>
      </c>
      <c r="AG41">
        <v>0.51</v>
      </c>
      <c r="AH41">
        <v>3</v>
      </c>
      <c r="AI41">
        <v>-1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ht="12.75">
      <c r="A42">
        <f>ROW(Source!A76)</f>
        <v>76</v>
      </c>
      <c r="B42">
        <v>55096111</v>
      </c>
      <c r="C42">
        <v>55096105</v>
      </c>
      <c r="D42">
        <v>49459389</v>
      </c>
      <c r="E42">
        <v>58</v>
      </c>
      <c r="F42">
        <v>1</v>
      </c>
      <c r="G42">
        <v>1</v>
      </c>
      <c r="H42">
        <v>1</v>
      </c>
      <c r="I42" t="s">
        <v>328</v>
      </c>
      <c r="K42" t="s">
        <v>329</v>
      </c>
      <c r="L42">
        <v>1191</v>
      </c>
      <c r="N42">
        <v>1013</v>
      </c>
      <c r="O42" t="s">
        <v>311</v>
      </c>
      <c r="P42" t="s">
        <v>311</v>
      </c>
      <c r="Q42">
        <v>1</v>
      </c>
      <c r="X42">
        <v>1</v>
      </c>
      <c r="Y42">
        <v>0</v>
      </c>
      <c r="Z42">
        <v>0</v>
      </c>
      <c r="AA42">
        <v>0</v>
      </c>
      <c r="AB42">
        <v>8.64</v>
      </c>
      <c r="AC42">
        <v>0</v>
      </c>
      <c r="AD42">
        <v>1</v>
      </c>
      <c r="AE42">
        <v>1</v>
      </c>
      <c r="AF42" t="s">
        <v>133</v>
      </c>
      <c r="AG42">
        <v>5.75</v>
      </c>
      <c r="AH42">
        <v>2</v>
      </c>
      <c r="AI42">
        <v>55096106</v>
      </c>
      <c r="AJ42">
        <v>40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ht="12.75">
      <c r="A43">
        <f>ROW(Source!A76)</f>
        <v>76</v>
      </c>
      <c r="B43">
        <v>55096112</v>
      </c>
      <c r="C43">
        <v>55096105</v>
      </c>
      <c r="D43">
        <v>49459566</v>
      </c>
      <c r="E43">
        <v>58</v>
      </c>
      <c r="F43">
        <v>1</v>
      </c>
      <c r="G43">
        <v>1</v>
      </c>
      <c r="H43">
        <v>1</v>
      </c>
      <c r="I43" t="s">
        <v>330</v>
      </c>
      <c r="K43" t="s">
        <v>321</v>
      </c>
      <c r="L43">
        <v>1191</v>
      </c>
      <c r="N43">
        <v>1013</v>
      </c>
      <c r="O43" t="s">
        <v>311</v>
      </c>
      <c r="P43" t="s">
        <v>311</v>
      </c>
      <c r="Q43">
        <v>1</v>
      </c>
      <c r="X43">
        <v>0.03</v>
      </c>
      <c r="Y43">
        <v>0</v>
      </c>
      <c r="Z43">
        <v>0</v>
      </c>
      <c r="AA43">
        <v>0</v>
      </c>
      <c r="AB43">
        <v>0</v>
      </c>
      <c r="AC43">
        <v>0</v>
      </c>
      <c r="AD43">
        <v>1</v>
      </c>
      <c r="AE43">
        <v>2</v>
      </c>
      <c r="AF43" t="s">
        <v>132</v>
      </c>
      <c r="AG43">
        <v>0.1875</v>
      </c>
      <c r="AH43">
        <v>2</v>
      </c>
      <c r="AI43">
        <v>55096107</v>
      </c>
      <c r="AJ43">
        <v>41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ht="12.75">
      <c r="A44">
        <f>ROW(Source!A76)</f>
        <v>76</v>
      </c>
      <c r="B44">
        <v>55096113</v>
      </c>
      <c r="C44">
        <v>55096105</v>
      </c>
      <c r="D44">
        <v>49620286</v>
      </c>
      <c r="E44">
        <v>1</v>
      </c>
      <c r="F44">
        <v>1</v>
      </c>
      <c r="G44">
        <v>1</v>
      </c>
      <c r="H44">
        <v>2</v>
      </c>
      <c r="I44" t="s">
        <v>331</v>
      </c>
      <c r="J44" t="s">
        <v>332</v>
      </c>
      <c r="K44" t="s">
        <v>333</v>
      </c>
      <c r="L44">
        <v>1368</v>
      </c>
      <c r="N44">
        <v>1011</v>
      </c>
      <c r="O44" t="s">
        <v>317</v>
      </c>
      <c r="P44" t="s">
        <v>317</v>
      </c>
      <c r="Q44">
        <v>1</v>
      </c>
      <c r="X44">
        <v>0.01</v>
      </c>
      <c r="Y44">
        <v>0</v>
      </c>
      <c r="Z44">
        <v>86.4</v>
      </c>
      <c r="AA44">
        <v>13.5</v>
      </c>
      <c r="AB44">
        <v>0</v>
      </c>
      <c r="AC44">
        <v>0</v>
      </c>
      <c r="AD44">
        <v>1</v>
      </c>
      <c r="AE44">
        <v>0</v>
      </c>
      <c r="AF44" t="s">
        <v>132</v>
      </c>
      <c r="AG44">
        <v>0.0625</v>
      </c>
      <c r="AH44">
        <v>2</v>
      </c>
      <c r="AI44">
        <v>55096108</v>
      </c>
      <c r="AJ44">
        <v>42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ht="12.75">
      <c r="A45">
        <f>ROW(Source!A76)</f>
        <v>76</v>
      </c>
      <c r="B45">
        <v>55096114</v>
      </c>
      <c r="C45">
        <v>55096105</v>
      </c>
      <c r="D45">
        <v>49620499</v>
      </c>
      <c r="E45">
        <v>1</v>
      </c>
      <c r="F45">
        <v>1</v>
      </c>
      <c r="G45">
        <v>1</v>
      </c>
      <c r="H45">
        <v>2</v>
      </c>
      <c r="I45" t="s">
        <v>334</v>
      </c>
      <c r="J45" t="s">
        <v>335</v>
      </c>
      <c r="K45" t="s">
        <v>336</v>
      </c>
      <c r="L45">
        <v>1368</v>
      </c>
      <c r="N45">
        <v>1011</v>
      </c>
      <c r="O45" t="s">
        <v>317</v>
      </c>
      <c r="P45" t="s">
        <v>317</v>
      </c>
      <c r="Q45">
        <v>1</v>
      </c>
      <c r="X45">
        <v>0.02</v>
      </c>
      <c r="Y45">
        <v>0</v>
      </c>
      <c r="Z45">
        <v>89.99</v>
      </c>
      <c r="AA45">
        <v>10.06</v>
      </c>
      <c r="AB45">
        <v>0</v>
      </c>
      <c r="AC45">
        <v>0</v>
      </c>
      <c r="AD45">
        <v>1</v>
      </c>
      <c r="AE45">
        <v>0</v>
      </c>
      <c r="AF45" t="s">
        <v>132</v>
      </c>
      <c r="AG45">
        <v>0.125</v>
      </c>
      <c r="AH45">
        <v>2</v>
      </c>
      <c r="AI45">
        <v>55096109</v>
      </c>
      <c r="AJ45">
        <v>43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ht="12.75">
      <c r="A46">
        <f>ROW(Source!A76)</f>
        <v>76</v>
      </c>
      <c r="B46">
        <v>55096115</v>
      </c>
      <c r="C46">
        <v>55096105</v>
      </c>
      <c r="D46">
        <v>49460378</v>
      </c>
      <c r="E46">
        <v>58</v>
      </c>
      <c r="F46">
        <v>1</v>
      </c>
      <c r="G46">
        <v>1</v>
      </c>
      <c r="H46">
        <v>3</v>
      </c>
      <c r="I46" t="s">
        <v>373</v>
      </c>
      <c r="K46" t="s">
        <v>374</v>
      </c>
      <c r="L46">
        <v>1339</v>
      </c>
      <c r="N46">
        <v>1007</v>
      </c>
      <c r="O46" t="s">
        <v>54</v>
      </c>
      <c r="P46" t="s">
        <v>54</v>
      </c>
      <c r="Q46">
        <v>1</v>
      </c>
      <c r="X46">
        <v>0.102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 t="s">
        <v>131</v>
      </c>
      <c r="AG46">
        <v>0.51</v>
      </c>
      <c r="AH46">
        <v>3</v>
      </c>
      <c r="AI46">
        <v>-1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ht="12.75">
      <c r="A47">
        <f>ROW(Source!A79)</f>
        <v>79</v>
      </c>
      <c r="B47">
        <v>55096123</v>
      </c>
      <c r="C47">
        <v>55096117</v>
      </c>
      <c r="D47">
        <v>49459391</v>
      </c>
      <c r="E47">
        <v>58</v>
      </c>
      <c r="F47">
        <v>1</v>
      </c>
      <c r="G47">
        <v>1</v>
      </c>
      <c r="H47">
        <v>1</v>
      </c>
      <c r="I47" t="s">
        <v>343</v>
      </c>
      <c r="K47" t="s">
        <v>344</v>
      </c>
      <c r="L47">
        <v>1191</v>
      </c>
      <c r="N47">
        <v>1013</v>
      </c>
      <c r="O47" t="s">
        <v>311</v>
      </c>
      <c r="P47" t="s">
        <v>311</v>
      </c>
      <c r="Q47">
        <v>1</v>
      </c>
      <c r="X47">
        <v>2.8</v>
      </c>
      <c r="Y47">
        <v>0</v>
      </c>
      <c r="Z47">
        <v>0</v>
      </c>
      <c r="AA47">
        <v>0</v>
      </c>
      <c r="AB47">
        <v>8.74</v>
      </c>
      <c r="AC47">
        <v>0</v>
      </c>
      <c r="AD47">
        <v>1</v>
      </c>
      <c r="AE47">
        <v>1</v>
      </c>
      <c r="AF47" t="s">
        <v>116</v>
      </c>
      <c r="AG47">
        <v>3.2199999999999998</v>
      </c>
      <c r="AH47">
        <v>2</v>
      </c>
      <c r="AI47">
        <v>55096118</v>
      </c>
      <c r="AJ47">
        <v>45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ht="12.75">
      <c r="A48">
        <f>ROW(Source!A79)</f>
        <v>79</v>
      </c>
      <c r="B48">
        <v>55096124</v>
      </c>
      <c r="C48">
        <v>55096117</v>
      </c>
      <c r="D48">
        <v>49459566</v>
      </c>
      <c r="E48">
        <v>58</v>
      </c>
      <c r="F48">
        <v>1</v>
      </c>
      <c r="G48">
        <v>1</v>
      </c>
      <c r="H48">
        <v>1</v>
      </c>
      <c r="I48" t="s">
        <v>330</v>
      </c>
      <c r="K48" t="s">
        <v>321</v>
      </c>
      <c r="L48">
        <v>1191</v>
      </c>
      <c r="N48">
        <v>1013</v>
      </c>
      <c r="O48" t="s">
        <v>311</v>
      </c>
      <c r="P48" t="s">
        <v>311</v>
      </c>
      <c r="Q48">
        <v>1</v>
      </c>
      <c r="X48">
        <v>0.04</v>
      </c>
      <c r="Y48">
        <v>0</v>
      </c>
      <c r="Z48">
        <v>0</v>
      </c>
      <c r="AA48">
        <v>0</v>
      </c>
      <c r="AB48">
        <v>0</v>
      </c>
      <c r="AC48">
        <v>0</v>
      </c>
      <c r="AD48">
        <v>1</v>
      </c>
      <c r="AE48">
        <v>2</v>
      </c>
      <c r="AF48" t="s">
        <v>115</v>
      </c>
      <c r="AG48">
        <v>0.05</v>
      </c>
      <c r="AH48">
        <v>2</v>
      </c>
      <c r="AI48">
        <v>55096119</v>
      </c>
      <c r="AJ48">
        <v>46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ht="12.75">
      <c r="A49">
        <f>ROW(Source!A79)</f>
        <v>79</v>
      </c>
      <c r="B49">
        <v>55096125</v>
      </c>
      <c r="C49">
        <v>55096117</v>
      </c>
      <c r="D49">
        <v>49621268</v>
      </c>
      <c r="E49">
        <v>1</v>
      </c>
      <c r="F49">
        <v>1</v>
      </c>
      <c r="G49">
        <v>1</v>
      </c>
      <c r="H49">
        <v>2</v>
      </c>
      <c r="I49" t="s">
        <v>345</v>
      </c>
      <c r="J49" t="s">
        <v>346</v>
      </c>
      <c r="K49" t="s">
        <v>347</v>
      </c>
      <c r="L49">
        <v>1368</v>
      </c>
      <c r="N49">
        <v>1011</v>
      </c>
      <c r="O49" t="s">
        <v>317</v>
      </c>
      <c r="P49" t="s">
        <v>317</v>
      </c>
      <c r="Q49">
        <v>1</v>
      </c>
      <c r="X49">
        <v>0.04</v>
      </c>
      <c r="Y49">
        <v>0</v>
      </c>
      <c r="Z49">
        <v>65.71</v>
      </c>
      <c r="AA49">
        <v>11.6</v>
      </c>
      <c r="AB49">
        <v>0</v>
      </c>
      <c r="AC49">
        <v>0</v>
      </c>
      <c r="AD49">
        <v>1</v>
      </c>
      <c r="AE49">
        <v>0</v>
      </c>
      <c r="AF49" t="s">
        <v>115</v>
      </c>
      <c r="AG49">
        <v>0.05</v>
      </c>
      <c r="AH49">
        <v>2</v>
      </c>
      <c r="AI49">
        <v>55096120</v>
      </c>
      <c r="AJ49">
        <v>47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ht="12.75">
      <c r="A50">
        <f>ROW(Source!A79)</f>
        <v>79</v>
      </c>
      <c r="B50">
        <v>55096126</v>
      </c>
      <c r="C50">
        <v>55096117</v>
      </c>
      <c r="D50">
        <v>49469859</v>
      </c>
      <c r="E50">
        <v>1</v>
      </c>
      <c r="F50">
        <v>1</v>
      </c>
      <c r="G50">
        <v>1</v>
      </c>
      <c r="H50">
        <v>3</v>
      </c>
      <c r="I50" t="s">
        <v>143</v>
      </c>
      <c r="J50" t="s">
        <v>145</v>
      </c>
      <c r="K50" t="s">
        <v>144</v>
      </c>
      <c r="L50">
        <v>1348</v>
      </c>
      <c r="N50">
        <v>1009</v>
      </c>
      <c r="O50" t="s">
        <v>125</v>
      </c>
      <c r="P50" t="s">
        <v>125</v>
      </c>
      <c r="Q50">
        <v>1000</v>
      </c>
      <c r="X50">
        <v>0.045</v>
      </c>
      <c r="Y50">
        <v>2000</v>
      </c>
      <c r="Z50">
        <v>0</v>
      </c>
      <c r="AA50">
        <v>0</v>
      </c>
      <c r="AB50">
        <v>0</v>
      </c>
      <c r="AC50">
        <v>0</v>
      </c>
      <c r="AD50">
        <v>1</v>
      </c>
      <c r="AE50">
        <v>0</v>
      </c>
      <c r="AG50">
        <v>0.045</v>
      </c>
      <c r="AH50">
        <v>2</v>
      </c>
      <c r="AI50">
        <v>55096121</v>
      </c>
      <c r="AJ50">
        <v>49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ht="12.75">
      <c r="A51">
        <f>ROW(Source!A80)</f>
        <v>80</v>
      </c>
      <c r="B51">
        <v>55096123</v>
      </c>
      <c r="C51">
        <v>55096117</v>
      </c>
      <c r="D51">
        <v>49459391</v>
      </c>
      <c r="E51">
        <v>58</v>
      </c>
      <c r="F51">
        <v>1</v>
      </c>
      <c r="G51">
        <v>1</v>
      </c>
      <c r="H51">
        <v>1</v>
      </c>
      <c r="I51" t="s">
        <v>343</v>
      </c>
      <c r="K51" t="s">
        <v>344</v>
      </c>
      <c r="L51">
        <v>1191</v>
      </c>
      <c r="N51">
        <v>1013</v>
      </c>
      <c r="O51" t="s">
        <v>311</v>
      </c>
      <c r="P51" t="s">
        <v>311</v>
      </c>
      <c r="Q51">
        <v>1</v>
      </c>
      <c r="X51">
        <v>2.8</v>
      </c>
      <c r="Y51">
        <v>0</v>
      </c>
      <c r="Z51">
        <v>0</v>
      </c>
      <c r="AA51">
        <v>0</v>
      </c>
      <c r="AB51">
        <v>8.74</v>
      </c>
      <c r="AC51">
        <v>0</v>
      </c>
      <c r="AD51">
        <v>1</v>
      </c>
      <c r="AE51">
        <v>1</v>
      </c>
      <c r="AF51" t="s">
        <v>116</v>
      </c>
      <c r="AG51">
        <v>3.2199999999999998</v>
      </c>
      <c r="AH51">
        <v>2</v>
      </c>
      <c r="AI51">
        <v>55096118</v>
      </c>
      <c r="AJ51">
        <v>50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ht="12.75">
      <c r="A52">
        <f>ROW(Source!A80)</f>
        <v>80</v>
      </c>
      <c r="B52">
        <v>55096124</v>
      </c>
      <c r="C52">
        <v>55096117</v>
      </c>
      <c r="D52">
        <v>49459566</v>
      </c>
      <c r="E52">
        <v>58</v>
      </c>
      <c r="F52">
        <v>1</v>
      </c>
      <c r="G52">
        <v>1</v>
      </c>
      <c r="H52">
        <v>1</v>
      </c>
      <c r="I52" t="s">
        <v>330</v>
      </c>
      <c r="K52" t="s">
        <v>321</v>
      </c>
      <c r="L52">
        <v>1191</v>
      </c>
      <c r="N52">
        <v>1013</v>
      </c>
      <c r="O52" t="s">
        <v>311</v>
      </c>
      <c r="P52" t="s">
        <v>311</v>
      </c>
      <c r="Q52">
        <v>1</v>
      </c>
      <c r="X52">
        <v>0.04</v>
      </c>
      <c r="Y52">
        <v>0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2</v>
      </c>
      <c r="AF52" t="s">
        <v>115</v>
      </c>
      <c r="AG52">
        <v>0.05</v>
      </c>
      <c r="AH52">
        <v>2</v>
      </c>
      <c r="AI52">
        <v>55096119</v>
      </c>
      <c r="AJ52">
        <v>51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ht="12.75">
      <c r="A53">
        <f>ROW(Source!A80)</f>
        <v>80</v>
      </c>
      <c r="B53">
        <v>55096125</v>
      </c>
      <c r="C53">
        <v>55096117</v>
      </c>
      <c r="D53">
        <v>49621268</v>
      </c>
      <c r="E53">
        <v>1</v>
      </c>
      <c r="F53">
        <v>1</v>
      </c>
      <c r="G53">
        <v>1</v>
      </c>
      <c r="H53">
        <v>2</v>
      </c>
      <c r="I53" t="s">
        <v>345</v>
      </c>
      <c r="J53" t="s">
        <v>346</v>
      </c>
      <c r="K53" t="s">
        <v>347</v>
      </c>
      <c r="L53">
        <v>1368</v>
      </c>
      <c r="N53">
        <v>1011</v>
      </c>
      <c r="O53" t="s">
        <v>317</v>
      </c>
      <c r="P53" t="s">
        <v>317</v>
      </c>
      <c r="Q53">
        <v>1</v>
      </c>
      <c r="X53">
        <v>0.04</v>
      </c>
      <c r="Y53">
        <v>0</v>
      </c>
      <c r="Z53">
        <v>65.71</v>
      </c>
      <c r="AA53">
        <v>11.6</v>
      </c>
      <c r="AB53">
        <v>0</v>
      </c>
      <c r="AC53">
        <v>0</v>
      </c>
      <c r="AD53">
        <v>1</v>
      </c>
      <c r="AE53">
        <v>0</v>
      </c>
      <c r="AF53" t="s">
        <v>115</v>
      </c>
      <c r="AG53">
        <v>0.05</v>
      </c>
      <c r="AH53">
        <v>2</v>
      </c>
      <c r="AI53">
        <v>55096120</v>
      </c>
      <c r="AJ53">
        <v>52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ht="12.75">
      <c r="A54">
        <f>ROW(Source!A80)</f>
        <v>80</v>
      </c>
      <c r="B54">
        <v>55096126</v>
      </c>
      <c r="C54">
        <v>55096117</v>
      </c>
      <c r="D54">
        <v>49469859</v>
      </c>
      <c r="E54">
        <v>1</v>
      </c>
      <c r="F54">
        <v>1</v>
      </c>
      <c r="G54">
        <v>1</v>
      </c>
      <c r="H54">
        <v>3</v>
      </c>
      <c r="I54" t="s">
        <v>143</v>
      </c>
      <c r="J54" t="s">
        <v>145</v>
      </c>
      <c r="K54" t="s">
        <v>144</v>
      </c>
      <c r="L54">
        <v>1348</v>
      </c>
      <c r="N54">
        <v>1009</v>
      </c>
      <c r="O54" t="s">
        <v>125</v>
      </c>
      <c r="P54" t="s">
        <v>125</v>
      </c>
      <c r="Q54">
        <v>1000</v>
      </c>
      <c r="X54">
        <v>0.045</v>
      </c>
      <c r="Y54">
        <v>2000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0</v>
      </c>
      <c r="AG54">
        <v>0.045</v>
      </c>
      <c r="AH54">
        <v>2</v>
      </c>
      <c r="AI54">
        <v>55096121</v>
      </c>
      <c r="AJ54">
        <v>54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ht="12.75">
      <c r="A55">
        <f>ROW(Source!A85)</f>
        <v>85</v>
      </c>
      <c r="B55">
        <v>55100134</v>
      </c>
      <c r="C55">
        <v>55100133</v>
      </c>
      <c r="D55">
        <v>53630067</v>
      </c>
      <c r="E55">
        <v>70</v>
      </c>
      <c r="F55">
        <v>1</v>
      </c>
      <c r="G55">
        <v>1</v>
      </c>
      <c r="H55">
        <v>1</v>
      </c>
      <c r="I55" t="s">
        <v>348</v>
      </c>
      <c r="K55" t="s">
        <v>349</v>
      </c>
      <c r="L55">
        <v>1191</v>
      </c>
      <c r="N55">
        <v>1013</v>
      </c>
      <c r="O55" t="s">
        <v>311</v>
      </c>
      <c r="P55" t="s">
        <v>311</v>
      </c>
      <c r="Q55">
        <v>1</v>
      </c>
      <c r="X55">
        <v>97.2</v>
      </c>
      <c r="Y55">
        <v>0</v>
      </c>
      <c r="Z55">
        <v>0</v>
      </c>
      <c r="AA55">
        <v>0</v>
      </c>
      <c r="AB55">
        <v>8.53</v>
      </c>
      <c r="AC55">
        <v>0</v>
      </c>
      <c r="AD55">
        <v>1</v>
      </c>
      <c r="AE55">
        <v>1</v>
      </c>
      <c r="AF55" t="s">
        <v>116</v>
      </c>
      <c r="AG55">
        <v>111.78</v>
      </c>
      <c r="AH55">
        <v>2</v>
      </c>
      <c r="AI55">
        <v>55100134</v>
      </c>
      <c r="AJ55">
        <v>55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ht="12.75">
      <c r="A56">
        <f>ROW(Source!A85)</f>
        <v>85</v>
      </c>
      <c r="B56">
        <v>55100135</v>
      </c>
      <c r="C56">
        <v>55100133</v>
      </c>
      <c r="D56">
        <v>53630257</v>
      </c>
      <c r="E56">
        <v>70</v>
      </c>
      <c r="F56">
        <v>1</v>
      </c>
      <c r="G56">
        <v>1</v>
      </c>
      <c r="H56">
        <v>1</v>
      </c>
      <c r="I56" t="s">
        <v>320</v>
      </c>
      <c r="K56" t="s">
        <v>321</v>
      </c>
      <c r="L56">
        <v>1191</v>
      </c>
      <c r="N56">
        <v>1013</v>
      </c>
      <c r="O56" t="s">
        <v>311</v>
      </c>
      <c r="P56" t="s">
        <v>311</v>
      </c>
      <c r="Q56">
        <v>1</v>
      </c>
      <c r="X56">
        <v>0.27</v>
      </c>
      <c r="Y56">
        <v>0</v>
      </c>
      <c r="Z56">
        <v>0</v>
      </c>
      <c r="AA56">
        <v>0</v>
      </c>
      <c r="AB56">
        <v>0</v>
      </c>
      <c r="AC56">
        <v>0</v>
      </c>
      <c r="AD56">
        <v>1</v>
      </c>
      <c r="AE56">
        <v>2</v>
      </c>
      <c r="AF56" t="s">
        <v>115</v>
      </c>
      <c r="AG56">
        <v>0.3375</v>
      </c>
      <c r="AH56">
        <v>2</v>
      </c>
      <c r="AI56">
        <v>55100135</v>
      </c>
      <c r="AJ56">
        <v>56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ht="12.75">
      <c r="A57">
        <f>ROW(Source!A85)</f>
        <v>85</v>
      </c>
      <c r="B57">
        <v>55100136</v>
      </c>
      <c r="C57">
        <v>55100133</v>
      </c>
      <c r="D57">
        <v>53791939</v>
      </c>
      <c r="E57">
        <v>1</v>
      </c>
      <c r="F57">
        <v>1</v>
      </c>
      <c r="G57">
        <v>1</v>
      </c>
      <c r="H57">
        <v>2</v>
      </c>
      <c r="I57" t="s">
        <v>331</v>
      </c>
      <c r="J57" t="s">
        <v>332</v>
      </c>
      <c r="K57" t="s">
        <v>333</v>
      </c>
      <c r="L57">
        <v>1367</v>
      </c>
      <c r="N57">
        <v>1011</v>
      </c>
      <c r="O57" t="s">
        <v>315</v>
      </c>
      <c r="P57" t="s">
        <v>315</v>
      </c>
      <c r="Q57">
        <v>1</v>
      </c>
      <c r="X57">
        <v>0.2</v>
      </c>
      <c r="Y57">
        <v>0</v>
      </c>
      <c r="Z57">
        <v>86.4</v>
      </c>
      <c r="AA57">
        <v>13.5</v>
      </c>
      <c r="AB57">
        <v>0</v>
      </c>
      <c r="AC57">
        <v>0</v>
      </c>
      <c r="AD57">
        <v>1</v>
      </c>
      <c r="AE57">
        <v>0</v>
      </c>
      <c r="AF57" t="s">
        <v>115</v>
      </c>
      <c r="AG57">
        <v>0.25</v>
      </c>
      <c r="AH57">
        <v>2</v>
      </c>
      <c r="AI57">
        <v>55100136</v>
      </c>
      <c r="AJ57">
        <v>57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ht="12.75">
      <c r="A58">
        <f>ROW(Source!A85)</f>
        <v>85</v>
      </c>
      <c r="B58">
        <v>55100137</v>
      </c>
      <c r="C58">
        <v>55100133</v>
      </c>
      <c r="D58">
        <v>53792927</v>
      </c>
      <c r="E58">
        <v>1</v>
      </c>
      <c r="F58">
        <v>1</v>
      </c>
      <c r="G58">
        <v>1</v>
      </c>
      <c r="H58">
        <v>2</v>
      </c>
      <c r="I58" t="s">
        <v>345</v>
      </c>
      <c r="J58" t="s">
        <v>346</v>
      </c>
      <c r="K58" t="s">
        <v>347</v>
      </c>
      <c r="L58">
        <v>1367</v>
      </c>
      <c r="N58">
        <v>1011</v>
      </c>
      <c r="O58" t="s">
        <v>315</v>
      </c>
      <c r="P58" t="s">
        <v>315</v>
      </c>
      <c r="Q58">
        <v>1</v>
      </c>
      <c r="X58">
        <v>0.07</v>
      </c>
      <c r="Y58">
        <v>0</v>
      </c>
      <c r="Z58">
        <v>65.71</v>
      </c>
      <c r="AA58">
        <v>11.6</v>
      </c>
      <c r="AB58">
        <v>0</v>
      </c>
      <c r="AC58">
        <v>0</v>
      </c>
      <c r="AD58">
        <v>1</v>
      </c>
      <c r="AE58">
        <v>0</v>
      </c>
      <c r="AF58" t="s">
        <v>115</v>
      </c>
      <c r="AG58">
        <v>0.08750000000000001</v>
      </c>
      <c r="AH58">
        <v>2</v>
      </c>
      <c r="AI58">
        <v>55100137</v>
      </c>
      <c r="AJ58">
        <v>58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ht="12.75">
      <c r="A59">
        <f>ROW(Source!A85)</f>
        <v>85</v>
      </c>
      <c r="B59">
        <v>55100138</v>
      </c>
      <c r="C59">
        <v>55100133</v>
      </c>
      <c r="D59">
        <v>53644957</v>
      </c>
      <c r="E59">
        <v>1</v>
      </c>
      <c r="F59">
        <v>1</v>
      </c>
      <c r="G59">
        <v>1</v>
      </c>
      <c r="H59">
        <v>3</v>
      </c>
      <c r="I59" t="s">
        <v>155</v>
      </c>
      <c r="J59" t="s">
        <v>157</v>
      </c>
      <c r="K59" t="s">
        <v>156</v>
      </c>
      <c r="L59">
        <v>1348</v>
      </c>
      <c r="N59">
        <v>1009</v>
      </c>
      <c r="O59" t="s">
        <v>125</v>
      </c>
      <c r="P59" t="s">
        <v>125</v>
      </c>
      <c r="Q59">
        <v>1000</v>
      </c>
      <c r="X59">
        <v>0.004</v>
      </c>
      <c r="Y59">
        <v>8475</v>
      </c>
      <c r="Z59">
        <v>0</v>
      </c>
      <c r="AA59">
        <v>0</v>
      </c>
      <c r="AB59">
        <v>0</v>
      </c>
      <c r="AC59">
        <v>0</v>
      </c>
      <c r="AD59">
        <v>1</v>
      </c>
      <c r="AE59">
        <v>0</v>
      </c>
      <c r="AG59">
        <v>0.004</v>
      </c>
      <c r="AH59">
        <v>2</v>
      </c>
      <c r="AI59">
        <v>55100138</v>
      </c>
      <c r="AJ59">
        <v>59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ht="12.75">
      <c r="A60">
        <f>ROW(Source!A85)</f>
        <v>85</v>
      </c>
      <c r="B60">
        <v>55100139</v>
      </c>
      <c r="C60">
        <v>55100133</v>
      </c>
      <c r="D60">
        <v>53662057</v>
      </c>
      <c r="E60">
        <v>1</v>
      </c>
      <c r="F60">
        <v>1</v>
      </c>
      <c r="G60">
        <v>1</v>
      </c>
      <c r="H60">
        <v>3</v>
      </c>
      <c r="I60" t="s">
        <v>159</v>
      </c>
      <c r="J60" t="s">
        <v>161</v>
      </c>
      <c r="K60" t="s">
        <v>160</v>
      </c>
      <c r="L60">
        <v>1348</v>
      </c>
      <c r="N60">
        <v>1009</v>
      </c>
      <c r="O60" t="s">
        <v>125</v>
      </c>
      <c r="P60" t="s">
        <v>125</v>
      </c>
      <c r="Q60">
        <v>1000</v>
      </c>
      <c r="X60">
        <v>0.012</v>
      </c>
      <c r="Y60">
        <v>8190</v>
      </c>
      <c r="Z60">
        <v>0</v>
      </c>
      <c r="AA60">
        <v>0</v>
      </c>
      <c r="AB60">
        <v>0</v>
      </c>
      <c r="AC60">
        <v>0</v>
      </c>
      <c r="AD60">
        <v>1</v>
      </c>
      <c r="AE60">
        <v>0</v>
      </c>
      <c r="AG60">
        <v>0.012</v>
      </c>
      <c r="AH60">
        <v>2</v>
      </c>
      <c r="AI60">
        <v>55100139</v>
      </c>
      <c r="AJ60">
        <v>60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ht="12.75">
      <c r="A61">
        <f>ROW(Source!A85)</f>
        <v>85</v>
      </c>
      <c r="B61">
        <v>55100140</v>
      </c>
      <c r="C61">
        <v>55100133</v>
      </c>
      <c r="D61">
        <v>53662302</v>
      </c>
      <c r="E61">
        <v>1</v>
      </c>
      <c r="F61">
        <v>1</v>
      </c>
      <c r="G61">
        <v>1</v>
      </c>
      <c r="H61">
        <v>3</v>
      </c>
      <c r="I61" t="s">
        <v>163</v>
      </c>
      <c r="J61" t="s">
        <v>165</v>
      </c>
      <c r="K61" t="s">
        <v>164</v>
      </c>
      <c r="L61">
        <v>1348</v>
      </c>
      <c r="N61">
        <v>1009</v>
      </c>
      <c r="O61" t="s">
        <v>125</v>
      </c>
      <c r="P61" t="s">
        <v>125</v>
      </c>
      <c r="Q61">
        <v>1000</v>
      </c>
      <c r="X61">
        <v>0.57</v>
      </c>
      <c r="Y61">
        <v>11200</v>
      </c>
      <c r="Z61">
        <v>0</v>
      </c>
      <c r="AA61">
        <v>0</v>
      </c>
      <c r="AB61">
        <v>0</v>
      </c>
      <c r="AC61">
        <v>0</v>
      </c>
      <c r="AD61">
        <v>1</v>
      </c>
      <c r="AE61">
        <v>0</v>
      </c>
      <c r="AG61">
        <v>0.57</v>
      </c>
      <c r="AH61">
        <v>2</v>
      </c>
      <c r="AI61">
        <v>55100140</v>
      </c>
      <c r="AJ61">
        <v>61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ht="12.75">
      <c r="A62">
        <f>ROW(Source!A86)</f>
        <v>86</v>
      </c>
      <c r="B62">
        <v>55100134</v>
      </c>
      <c r="C62">
        <v>55100133</v>
      </c>
      <c r="D62">
        <v>53630067</v>
      </c>
      <c r="E62">
        <v>70</v>
      </c>
      <c r="F62">
        <v>1</v>
      </c>
      <c r="G62">
        <v>1</v>
      </c>
      <c r="H62">
        <v>1</v>
      </c>
      <c r="I62" t="s">
        <v>348</v>
      </c>
      <c r="K62" t="s">
        <v>349</v>
      </c>
      <c r="L62">
        <v>1191</v>
      </c>
      <c r="N62">
        <v>1013</v>
      </c>
      <c r="O62" t="s">
        <v>311</v>
      </c>
      <c r="P62" t="s">
        <v>311</v>
      </c>
      <c r="Q62">
        <v>1</v>
      </c>
      <c r="X62">
        <v>97.2</v>
      </c>
      <c r="Y62">
        <v>0</v>
      </c>
      <c r="Z62">
        <v>0</v>
      </c>
      <c r="AA62">
        <v>0</v>
      </c>
      <c r="AB62">
        <v>8.53</v>
      </c>
      <c r="AC62">
        <v>0</v>
      </c>
      <c r="AD62">
        <v>1</v>
      </c>
      <c r="AE62">
        <v>1</v>
      </c>
      <c r="AF62" t="s">
        <v>116</v>
      </c>
      <c r="AG62">
        <v>111.78</v>
      </c>
      <c r="AH62">
        <v>2</v>
      </c>
      <c r="AI62">
        <v>55100134</v>
      </c>
      <c r="AJ62">
        <v>62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ht="12.75">
      <c r="A63">
        <f>ROW(Source!A86)</f>
        <v>86</v>
      </c>
      <c r="B63">
        <v>55100135</v>
      </c>
      <c r="C63">
        <v>55100133</v>
      </c>
      <c r="D63">
        <v>53630257</v>
      </c>
      <c r="E63">
        <v>70</v>
      </c>
      <c r="F63">
        <v>1</v>
      </c>
      <c r="G63">
        <v>1</v>
      </c>
      <c r="H63">
        <v>1</v>
      </c>
      <c r="I63" t="s">
        <v>320</v>
      </c>
      <c r="K63" t="s">
        <v>321</v>
      </c>
      <c r="L63">
        <v>1191</v>
      </c>
      <c r="N63">
        <v>1013</v>
      </c>
      <c r="O63" t="s">
        <v>311</v>
      </c>
      <c r="P63" t="s">
        <v>311</v>
      </c>
      <c r="Q63">
        <v>1</v>
      </c>
      <c r="X63">
        <v>0.27</v>
      </c>
      <c r="Y63">
        <v>0</v>
      </c>
      <c r="Z63">
        <v>0</v>
      </c>
      <c r="AA63">
        <v>0</v>
      </c>
      <c r="AB63">
        <v>0</v>
      </c>
      <c r="AC63">
        <v>0</v>
      </c>
      <c r="AD63">
        <v>1</v>
      </c>
      <c r="AE63">
        <v>2</v>
      </c>
      <c r="AF63" t="s">
        <v>115</v>
      </c>
      <c r="AG63">
        <v>0.3375</v>
      </c>
      <c r="AH63">
        <v>2</v>
      </c>
      <c r="AI63">
        <v>55100135</v>
      </c>
      <c r="AJ63">
        <v>63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ht="12.75">
      <c r="A64">
        <f>ROW(Source!A86)</f>
        <v>86</v>
      </c>
      <c r="B64">
        <v>55100136</v>
      </c>
      <c r="C64">
        <v>55100133</v>
      </c>
      <c r="D64">
        <v>53791939</v>
      </c>
      <c r="E64">
        <v>1</v>
      </c>
      <c r="F64">
        <v>1</v>
      </c>
      <c r="G64">
        <v>1</v>
      </c>
      <c r="H64">
        <v>2</v>
      </c>
      <c r="I64" t="s">
        <v>331</v>
      </c>
      <c r="J64" t="s">
        <v>332</v>
      </c>
      <c r="K64" t="s">
        <v>333</v>
      </c>
      <c r="L64">
        <v>1367</v>
      </c>
      <c r="N64">
        <v>1011</v>
      </c>
      <c r="O64" t="s">
        <v>315</v>
      </c>
      <c r="P64" t="s">
        <v>315</v>
      </c>
      <c r="Q64">
        <v>1</v>
      </c>
      <c r="X64">
        <v>0.2</v>
      </c>
      <c r="Y64">
        <v>0</v>
      </c>
      <c r="Z64">
        <v>86.4</v>
      </c>
      <c r="AA64">
        <v>13.5</v>
      </c>
      <c r="AB64">
        <v>0</v>
      </c>
      <c r="AC64">
        <v>0</v>
      </c>
      <c r="AD64">
        <v>1</v>
      </c>
      <c r="AE64">
        <v>0</v>
      </c>
      <c r="AF64" t="s">
        <v>115</v>
      </c>
      <c r="AG64">
        <v>0.25</v>
      </c>
      <c r="AH64">
        <v>2</v>
      </c>
      <c r="AI64">
        <v>55100136</v>
      </c>
      <c r="AJ64">
        <v>64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ht="12.75">
      <c r="A65">
        <f>ROW(Source!A86)</f>
        <v>86</v>
      </c>
      <c r="B65">
        <v>55100137</v>
      </c>
      <c r="C65">
        <v>55100133</v>
      </c>
      <c r="D65">
        <v>53792927</v>
      </c>
      <c r="E65">
        <v>1</v>
      </c>
      <c r="F65">
        <v>1</v>
      </c>
      <c r="G65">
        <v>1</v>
      </c>
      <c r="H65">
        <v>2</v>
      </c>
      <c r="I65" t="s">
        <v>345</v>
      </c>
      <c r="J65" t="s">
        <v>346</v>
      </c>
      <c r="K65" t="s">
        <v>347</v>
      </c>
      <c r="L65">
        <v>1367</v>
      </c>
      <c r="N65">
        <v>1011</v>
      </c>
      <c r="O65" t="s">
        <v>315</v>
      </c>
      <c r="P65" t="s">
        <v>315</v>
      </c>
      <c r="Q65">
        <v>1</v>
      </c>
      <c r="X65">
        <v>0.07</v>
      </c>
      <c r="Y65">
        <v>0</v>
      </c>
      <c r="Z65">
        <v>65.71</v>
      </c>
      <c r="AA65">
        <v>11.6</v>
      </c>
      <c r="AB65">
        <v>0</v>
      </c>
      <c r="AC65">
        <v>0</v>
      </c>
      <c r="AD65">
        <v>1</v>
      </c>
      <c r="AE65">
        <v>0</v>
      </c>
      <c r="AF65" t="s">
        <v>115</v>
      </c>
      <c r="AG65">
        <v>0.08750000000000001</v>
      </c>
      <c r="AH65">
        <v>2</v>
      </c>
      <c r="AI65">
        <v>55100137</v>
      </c>
      <c r="AJ65">
        <v>65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ht="12.75">
      <c r="A66">
        <f>ROW(Source!A86)</f>
        <v>86</v>
      </c>
      <c r="B66">
        <v>55100138</v>
      </c>
      <c r="C66">
        <v>55100133</v>
      </c>
      <c r="D66">
        <v>53644957</v>
      </c>
      <c r="E66">
        <v>1</v>
      </c>
      <c r="F66">
        <v>1</v>
      </c>
      <c r="G66">
        <v>1</v>
      </c>
      <c r="H66">
        <v>3</v>
      </c>
      <c r="I66" t="s">
        <v>155</v>
      </c>
      <c r="J66" t="s">
        <v>157</v>
      </c>
      <c r="K66" t="s">
        <v>156</v>
      </c>
      <c r="L66">
        <v>1348</v>
      </c>
      <c r="N66">
        <v>1009</v>
      </c>
      <c r="O66" t="s">
        <v>125</v>
      </c>
      <c r="P66" t="s">
        <v>125</v>
      </c>
      <c r="Q66">
        <v>1000</v>
      </c>
      <c r="X66">
        <v>0.004</v>
      </c>
      <c r="Y66">
        <v>8475</v>
      </c>
      <c r="Z66">
        <v>0</v>
      </c>
      <c r="AA66">
        <v>0</v>
      </c>
      <c r="AB66">
        <v>0</v>
      </c>
      <c r="AC66">
        <v>0</v>
      </c>
      <c r="AD66">
        <v>1</v>
      </c>
      <c r="AE66">
        <v>0</v>
      </c>
      <c r="AG66">
        <v>0.004</v>
      </c>
      <c r="AH66">
        <v>2</v>
      </c>
      <c r="AI66">
        <v>55100138</v>
      </c>
      <c r="AJ66">
        <v>66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ht="12.75">
      <c r="A67">
        <f>ROW(Source!A86)</f>
        <v>86</v>
      </c>
      <c r="B67">
        <v>55100139</v>
      </c>
      <c r="C67">
        <v>55100133</v>
      </c>
      <c r="D67">
        <v>53662057</v>
      </c>
      <c r="E67">
        <v>1</v>
      </c>
      <c r="F67">
        <v>1</v>
      </c>
      <c r="G67">
        <v>1</v>
      </c>
      <c r="H67">
        <v>3</v>
      </c>
      <c r="I67" t="s">
        <v>159</v>
      </c>
      <c r="J67" t="s">
        <v>161</v>
      </c>
      <c r="K67" t="s">
        <v>160</v>
      </c>
      <c r="L67">
        <v>1348</v>
      </c>
      <c r="N67">
        <v>1009</v>
      </c>
      <c r="O67" t="s">
        <v>125</v>
      </c>
      <c r="P67" t="s">
        <v>125</v>
      </c>
      <c r="Q67">
        <v>1000</v>
      </c>
      <c r="X67">
        <v>0.012</v>
      </c>
      <c r="Y67">
        <v>8190</v>
      </c>
      <c r="Z67">
        <v>0</v>
      </c>
      <c r="AA67">
        <v>0</v>
      </c>
      <c r="AB67">
        <v>0</v>
      </c>
      <c r="AC67">
        <v>0</v>
      </c>
      <c r="AD67">
        <v>1</v>
      </c>
      <c r="AE67">
        <v>0</v>
      </c>
      <c r="AG67">
        <v>0.012</v>
      </c>
      <c r="AH67">
        <v>2</v>
      </c>
      <c r="AI67">
        <v>55100139</v>
      </c>
      <c r="AJ67">
        <v>67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ht="12.75">
      <c r="A68">
        <f>ROW(Source!A86)</f>
        <v>86</v>
      </c>
      <c r="B68">
        <v>55100140</v>
      </c>
      <c r="C68">
        <v>55100133</v>
      </c>
      <c r="D68">
        <v>53662302</v>
      </c>
      <c r="E68">
        <v>1</v>
      </c>
      <c r="F68">
        <v>1</v>
      </c>
      <c r="G68">
        <v>1</v>
      </c>
      <c r="H68">
        <v>3</v>
      </c>
      <c r="I68" t="s">
        <v>163</v>
      </c>
      <c r="J68" t="s">
        <v>165</v>
      </c>
      <c r="K68" t="s">
        <v>164</v>
      </c>
      <c r="L68">
        <v>1348</v>
      </c>
      <c r="N68">
        <v>1009</v>
      </c>
      <c r="O68" t="s">
        <v>125</v>
      </c>
      <c r="P68" t="s">
        <v>125</v>
      </c>
      <c r="Q68">
        <v>1000</v>
      </c>
      <c r="X68">
        <v>0.57</v>
      </c>
      <c r="Y68">
        <v>11200</v>
      </c>
      <c r="Z68">
        <v>0</v>
      </c>
      <c r="AA68">
        <v>0</v>
      </c>
      <c r="AB68">
        <v>0</v>
      </c>
      <c r="AC68">
        <v>0</v>
      </c>
      <c r="AD68">
        <v>1</v>
      </c>
      <c r="AE68">
        <v>0</v>
      </c>
      <c r="AG68">
        <v>0.57</v>
      </c>
      <c r="AH68">
        <v>2</v>
      </c>
      <c r="AI68">
        <v>55100140</v>
      </c>
      <c r="AJ68">
        <v>68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ht="12.75">
      <c r="A69">
        <f>ROW(Source!A93)</f>
        <v>93</v>
      </c>
      <c r="B69">
        <v>55096507</v>
      </c>
      <c r="C69">
        <v>55096506</v>
      </c>
      <c r="D69">
        <v>49459419</v>
      </c>
      <c r="E69">
        <v>58</v>
      </c>
      <c r="F69">
        <v>1</v>
      </c>
      <c r="G69">
        <v>1</v>
      </c>
      <c r="H69">
        <v>1</v>
      </c>
      <c r="I69" t="s">
        <v>350</v>
      </c>
      <c r="K69" t="s">
        <v>351</v>
      </c>
      <c r="L69">
        <v>1191</v>
      </c>
      <c r="N69">
        <v>1013</v>
      </c>
      <c r="O69" t="s">
        <v>311</v>
      </c>
      <c r="P69" t="s">
        <v>311</v>
      </c>
      <c r="Q69">
        <v>1</v>
      </c>
      <c r="X69">
        <v>14.36</v>
      </c>
      <c r="Y69">
        <v>0</v>
      </c>
      <c r="Z69">
        <v>0</v>
      </c>
      <c r="AA69">
        <v>0</v>
      </c>
      <c r="AB69">
        <v>9.4</v>
      </c>
      <c r="AC69">
        <v>0</v>
      </c>
      <c r="AD69">
        <v>1</v>
      </c>
      <c r="AE69">
        <v>1</v>
      </c>
      <c r="AF69" t="s">
        <v>116</v>
      </c>
      <c r="AG69">
        <v>16.514</v>
      </c>
      <c r="AH69">
        <v>2</v>
      </c>
      <c r="AI69">
        <v>55096507</v>
      </c>
      <c r="AJ69">
        <v>69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ht="12.75">
      <c r="A70">
        <f>ROW(Source!A93)</f>
        <v>93</v>
      </c>
      <c r="B70">
        <v>55096508</v>
      </c>
      <c r="C70">
        <v>55096506</v>
      </c>
      <c r="D70">
        <v>49459566</v>
      </c>
      <c r="E70">
        <v>58</v>
      </c>
      <c r="F70">
        <v>1</v>
      </c>
      <c r="G70">
        <v>1</v>
      </c>
      <c r="H70">
        <v>1</v>
      </c>
      <c r="I70" t="s">
        <v>330</v>
      </c>
      <c r="K70" t="s">
        <v>321</v>
      </c>
      <c r="L70">
        <v>1191</v>
      </c>
      <c r="N70">
        <v>1013</v>
      </c>
      <c r="O70" t="s">
        <v>311</v>
      </c>
      <c r="P70" t="s">
        <v>311</v>
      </c>
      <c r="Q70">
        <v>1</v>
      </c>
      <c r="X70">
        <v>0.29</v>
      </c>
      <c r="Y70">
        <v>0</v>
      </c>
      <c r="Z70">
        <v>0</v>
      </c>
      <c r="AA70">
        <v>0</v>
      </c>
      <c r="AB70">
        <v>0</v>
      </c>
      <c r="AC70">
        <v>0</v>
      </c>
      <c r="AD70">
        <v>1</v>
      </c>
      <c r="AE70">
        <v>2</v>
      </c>
      <c r="AF70" t="s">
        <v>115</v>
      </c>
      <c r="AG70">
        <v>0.3625</v>
      </c>
      <c r="AH70">
        <v>2</v>
      </c>
      <c r="AI70">
        <v>55096508</v>
      </c>
      <c r="AJ70">
        <v>70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ht="12.75">
      <c r="A71">
        <f>ROW(Source!A93)</f>
        <v>93</v>
      </c>
      <c r="B71">
        <v>55096509</v>
      </c>
      <c r="C71">
        <v>55096506</v>
      </c>
      <c r="D71">
        <v>49620286</v>
      </c>
      <c r="E71">
        <v>1</v>
      </c>
      <c r="F71">
        <v>1</v>
      </c>
      <c r="G71">
        <v>1</v>
      </c>
      <c r="H71">
        <v>2</v>
      </c>
      <c r="I71" t="s">
        <v>331</v>
      </c>
      <c r="J71" t="s">
        <v>332</v>
      </c>
      <c r="K71" t="s">
        <v>333</v>
      </c>
      <c r="L71">
        <v>1368</v>
      </c>
      <c r="N71">
        <v>1011</v>
      </c>
      <c r="O71" t="s">
        <v>317</v>
      </c>
      <c r="P71" t="s">
        <v>317</v>
      </c>
      <c r="Q71">
        <v>1</v>
      </c>
      <c r="X71">
        <v>0.15</v>
      </c>
      <c r="Y71">
        <v>0</v>
      </c>
      <c r="Z71">
        <v>86.4</v>
      </c>
      <c r="AA71">
        <v>13.5</v>
      </c>
      <c r="AB71">
        <v>0</v>
      </c>
      <c r="AC71">
        <v>0</v>
      </c>
      <c r="AD71">
        <v>1</v>
      </c>
      <c r="AE71">
        <v>0</v>
      </c>
      <c r="AF71" t="s">
        <v>115</v>
      </c>
      <c r="AG71">
        <v>0.1875</v>
      </c>
      <c r="AH71">
        <v>2</v>
      </c>
      <c r="AI71">
        <v>55096509</v>
      </c>
      <c r="AJ71">
        <v>71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ht="12.75">
      <c r="A72">
        <f>ROW(Source!A93)</f>
        <v>93</v>
      </c>
      <c r="B72">
        <v>55096510</v>
      </c>
      <c r="C72">
        <v>55096506</v>
      </c>
      <c r="D72">
        <v>49620344</v>
      </c>
      <c r="E72">
        <v>1</v>
      </c>
      <c r="F72">
        <v>1</v>
      </c>
      <c r="G72">
        <v>1</v>
      </c>
      <c r="H72">
        <v>2</v>
      </c>
      <c r="I72" t="s">
        <v>352</v>
      </c>
      <c r="J72" t="s">
        <v>353</v>
      </c>
      <c r="K72" t="s">
        <v>354</v>
      </c>
      <c r="L72">
        <v>1368</v>
      </c>
      <c r="N72">
        <v>1011</v>
      </c>
      <c r="O72" t="s">
        <v>317</v>
      </c>
      <c r="P72" t="s">
        <v>317</v>
      </c>
      <c r="Q72">
        <v>1</v>
      </c>
      <c r="X72">
        <v>0.05</v>
      </c>
      <c r="Y72">
        <v>0</v>
      </c>
      <c r="Z72">
        <v>115.4</v>
      </c>
      <c r="AA72">
        <v>13.5</v>
      </c>
      <c r="AB72">
        <v>0</v>
      </c>
      <c r="AC72">
        <v>0</v>
      </c>
      <c r="AD72">
        <v>1</v>
      </c>
      <c r="AE72">
        <v>0</v>
      </c>
      <c r="AF72" t="s">
        <v>115</v>
      </c>
      <c r="AG72">
        <v>0.0625</v>
      </c>
      <c r="AH72">
        <v>2</v>
      </c>
      <c r="AI72">
        <v>55096510</v>
      </c>
      <c r="AJ72">
        <v>72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ht="12.75">
      <c r="A73">
        <f>ROW(Source!A93)</f>
        <v>93</v>
      </c>
      <c r="B73">
        <v>55096511</v>
      </c>
      <c r="C73">
        <v>55096506</v>
      </c>
      <c r="D73">
        <v>49621268</v>
      </c>
      <c r="E73">
        <v>1</v>
      </c>
      <c r="F73">
        <v>1</v>
      </c>
      <c r="G73">
        <v>1</v>
      </c>
      <c r="H73">
        <v>2</v>
      </c>
      <c r="I73" t="s">
        <v>345</v>
      </c>
      <c r="J73" t="s">
        <v>346</v>
      </c>
      <c r="K73" t="s">
        <v>347</v>
      </c>
      <c r="L73">
        <v>1368</v>
      </c>
      <c r="N73">
        <v>1011</v>
      </c>
      <c r="O73" t="s">
        <v>317</v>
      </c>
      <c r="P73" t="s">
        <v>317</v>
      </c>
      <c r="Q73">
        <v>1</v>
      </c>
      <c r="X73">
        <v>0.09</v>
      </c>
      <c r="Y73">
        <v>0</v>
      </c>
      <c r="Z73">
        <v>65.71</v>
      </c>
      <c r="AA73">
        <v>11.6</v>
      </c>
      <c r="AB73">
        <v>0</v>
      </c>
      <c r="AC73">
        <v>0</v>
      </c>
      <c r="AD73">
        <v>1</v>
      </c>
      <c r="AE73">
        <v>0</v>
      </c>
      <c r="AF73" t="s">
        <v>115</v>
      </c>
      <c r="AG73">
        <v>0.11249999999999999</v>
      </c>
      <c r="AH73">
        <v>2</v>
      </c>
      <c r="AI73">
        <v>55096511</v>
      </c>
      <c r="AJ73">
        <v>73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ht="12.75">
      <c r="A74">
        <f>ROW(Source!A93)</f>
        <v>93</v>
      </c>
      <c r="B74">
        <v>55096512</v>
      </c>
      <c r="C74">
        <v>55096506</v>
      </c>
      <c r="D74">
        <v>49470012</v>
      </c>
      <c r="E74">
        <v>1</v>
      </c>
      <c r="F74">
        <v>1</v>
      </c>
      <c r="G74">
        <v>1</v>
      </c>
      <c r="H74">
        <v>3</v>
      </c>
      <c r="I74" t="s">
        <v>355</v>
      </c>
      <c r="J74" t="s">
        <v>356</v>
      </c>
      <c r="K74" t="s">
        <v>357</v>
      </c>
      <c r="L74">
        <v>1346</v>
      </c>
      <c r="N74">
        <v>1009</v>
      </c>
      <c r="O74" t="s">
        <v>205</v>
      </c>
      <c r="P74" t="s">
        <v>205</v>
      </c>
      <c r="Q74">
        <v>1</v>
      </c>
      <c r="X74">
        <v>29.94</v>
      </c>
      <c r="Y74">
        <v>6.09</v>
      </c>
      <c r="Z74">
        <v>0</v>
      </c>
      <c r="AA74">
        <v>0</v>
      </c>
      <c r="AB74">
        <v>0</v>
      </c>
      <c r="AC74">
        <v>0</v>
      </c>
      <c r="AD74">
        <v>1</v>
      </c>
      <c r="AE74">
        <v>0</v>
      </c>
      <c r="AG74">
        <v>29.94</v>
      </c>
      <c r="AH74">
        <v>2</v>
      </c>
      <c r="AI74">
        <v>55096512</v>
      </c>
      <c r="AJ74">
        <v>74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ht="12.75">
      <c r="A75">
        <f>ROW(Source!A93)</f>
        <v>93</v>
      </c>
      <c r="B75">
        <v>55096513</v>
      </c>
      <c r="C75">
        <v>55096506</v>
      </c>
      <c r="D75">
        <v>49461982</v>
      </c>
      <c r="E75">
        <v>58</v>
      </c>
      <c r="F75">
        <v>1</v>
      </c>
      <c r="G75">
        <v>1</v>
      </c>
      <c r="H75">
        <v>3</v>
      </c>
      <c r="I75" t="s">
        <v>375</v>
      </c>
      <c r="K75" t="s">
        <v>376</v>
      </c>
      <c r="L75">
        <v>1327</v>
      </c>
      <c r="N75">
        <v>1005</v>
      </c>
      <c r="O75" t="s">
        <v>173</v>
      </c>
      <c r="P75" t="s">
        <v>173</v>
      </c>
      <c r="Q75">
        <v>1</v>
      </c>
      <c r="X75">
        <v>114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G75">
        <v>114</v>
      </c>
      <c r="AH75">
        <v>3</v>
      </c>
      <c r="AI75">
        <v>-1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ht="12.75">
      <c r="A76">
        <f>ROW(Source!A93)</f>
        <v>93</v>
      </c>
      <c r="B76">
        <v>55096514</v>
      </c>
      <c r="C76">
        <v>55096506</v>
      </c>
      <c r="D76">
        <v>49461981</v>
      </c>
      <c r="E76">
        <v>58</v>
      </c>
      <c r="F76">
        <v>1</v>
      </c>
      <c r="G76">
        <v>1</v>
      </c>
      <c r="H76">
        <v>3</v>
      </c>
      <c r="I76" t="s">
        <v>375</v>
      </c>
      <c r="K76" t="s">
        <v>377</v>
      </c>
      <c r="L76">
        <v>1327</v>
      </c>
      <c r="N76">
        <v>1005</v>
      </c>
      <c r="O76" t="s">
        <v>173</v>
      </c>
      <c r="P76" t="s">
        <v>173</v>
      </c>
      <c r="Q76">
        <v>1</v>
      </c>
      <c r="X76">
        <v>116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G76">
        <v>116</v>
      </c>
      <c r="AH76">
        <v>3</v>
      </c>
      <c r="AI76">
        <v>-1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ht="12.75">
      <c r="A77">
        <f>ROW(Source!A94)</f>
        <v>94</v>
      </c>
      <c r="B77">
        <v>55096507</v>
      </c>
      <c r="C77">
        <v>55096506</v>
      </c>
      <c r="D77">
        <v>49459419</v>
      </c>
      <c r="E77">
        <v>58</v>
      </c>
      <c r="F77">
        <v>1</v>
      </c>
      <c r="G77">
        <v>1</v>
      </c>
      <c r="H77">
        <v>1</v>
      </c>
      <c r="I77" t="s">
        <v>350</v>
      </c>
      <c r="K77" t="s">
        <v>351</v>
      </c>
      <c r="L77">
        <v>1191</v>
      </c>
      <c r="N77">
        <v>1013</v>
      </c>
      <c r="O77" t="s">
        <v>311</v>
      </c>
      <c r="P77" t="s">
        <v>311</v>
      </c>
      <c r="Q77">
        <v>1</v>
      </c>
      <c r="X77">
        <v>14.36</v>
      </c>
      <c r="Y77">
        <v>0</v>
      </c>
      <c r="Z77">
        <v>0</v>
      </c>
      <c r="AA77">
        <v>0</v>
      </c>
      <c r="AB77">
        <v>9.4</v>
      </c>
      <c r="AC77">
        <v>0</v>
      </c>
      <c r="AD77">
        <v>1</v>
      </c>
      <c r="AE77">
        <v>1</v>
      </c>
      <c r="AF77" t="s">
        <v>116</v>
      </c>
      <c r="AG77">
        <v>16.514</v>
      </c>
      <c r="AH77">
        <v>2</v>
      </c>
      <c r="AI77">
        <v>55096507</v>
      </c>
      <c r="AJ77">
        <v>77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ht="12.75">
      <c r="A78">
        <f>ROW(Source!A94)</f>
        <v>94</v>
      </c>
      <c r="B78">
        <v>55096508</v>
      </c>
      <c r="C78">
        <v>55096506</v>
      </c>
      <c r="D78">
        <v>49459566</v>
      </c>
      <c r="E78">
        <v>58</v>
      </c>
      <c r="F78">
        <v>1</v>
      </c>
      <c r="G78">
        <v>1</v>
      </c>
      <c r="H78">
        <v>1</v>
      </c>
      <c r="I78" t="s">
        <v>330</v>
      </c>
      <c r="K78" t="s">
        <v>321</v>
      </c>
      <c r="L78">
        <v>1191</v>
      </c>
      <c r="N78">
        <v>1013</v>
      </c>
      <c r="O78" t="s">
        <v>311</v>
      </c>
      <c r="P78" t="s">
        <v>311</v>
      </c>
      <c r="Q78">
        <v>1</v>
      </c>
      <c r="X78">
        <v>0.29</v>
      </c>
      <c r="Y78">
        <v>0</v>
      </c>
      <c r="Z78">
        <v>0</v>
      </c>
      <c r="AA78">
        <v>0</v>
      </c>
      <c r="AB78">
        <v>0</v>
      </c>
      <c r="AC78">
        <v>0</v>
      </c>
      <c r="AD78">
        <v>1</v>
      </c>
      <c r="AE78">
        <v>2</v>
      </c>
      <c r="AF78" t="s">
        <v>115</v>
      </c>
      <c r="AG78">
        <v>0.3625</v>
      </c>
      <c r="AH78">
        <v>2</v>
      </c>
      <c r="AI78">
        <v>55096508</v>
      </c>
      <c r="AJ78">
        <v>78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ht="12.75">
      <c r="A79">
        <f>ROW(Source!A94)</f>
        <v>94</v>
      </c>
      <c r="B79">
        <v>55096509</v>
      </c>
      <c r="C79">
        <v>55096506</v>
      </c>
      <c r="D79">
        <v>49620286</v>
      </c>
      <c r="E79">
        <v>1</v>
      </c>
      <c r="F79">
        <v>1</v>
      </c>
      <c r="G79">
        <v>1</v>
      </c>
      <c r="H79">
        <v>2</v>
      </c>
      <c r="I79" t="s">
        <v>331</v>
      </c>
      <c r="J79" t="s">
        <v>332</v>
      </c>
      <c r="K79" t="s">
        <v>333</v>
      </c>
      <c r="L79">
        <v>1368</v>
      </c>
      <c r="N79">
        <v>1011</v>
      </c>
      <c r="O79" t="s">
        <v>317</v>
      </c>
      <c r="P79" t="s">
        <v>317</v>
      </c>
      <c r="Q79">
        <v>1</v>
      </c>
      <c r="X79">
        <v>0.15</v>
      </c>
      <c r="Y79">
        <v>0</v>
      </c>
      <c r="Z79">
        <v>86.4</v>
      </c>
      <c r="AA79">
        <v>13.5</v>
      </c>
      <c r="AB79">
        <v>0</v>
      </c>
      <c r="AC79">
        <v>0</v>
      </c>
      <c r="AD79">
        <v>1</v>
      </c>
      <c r="AE79">
        <v>0</v>
      </c>
      <c r="AF79" t="s">
        <v>115</v>
      </c>
      <c r="AG79">
        <v>0.1875</v>
      </c>
      <c r="AH79">
        <v>2</v>
      </c>
      <c r="AI79">
        <v>55096509</v>
      </c>
      <c r="AJ79">
        <v>79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ht="12.75">
      <c r="A80">
        <f>ROW(Source!A94)</f>
        <v>94</v>
      </c>
      <c r="B80">
        <v>55096510</v>
      </c>
      <c r="C80">
        <v>55096506</v>
      </c>
      <c r="D80">
        <v>49620344</v>
      </c>
      <c r="E80">
        <v>1</v>
      </c>
      <c r="F80">
        <v>1</v>
      </c>
      <c r="G80">
        <v>1</v>
      </c>
      <c r="H80">
        <v>2</v>
      </c>
      <c r="I80" t="s">
        <v>352</v>
      </c>
      <c r="J80" t="s">
        <v>353</v>
      </c>
      <c r="K80" t="s">
        <v>354</v>
      </c>
      <c r="L80">
        <v>1368</v>
      </c>
      <c r="N80">
        <v>1011</v>
      </c>
      <c r="O80" t="s">
        <v>317</v>
      </c>
      <c r="P80" t="s">
        <v>317</v>
      </c>
      <c r="Q80">
        <v>1</v>
      </c>
      <c r="X80">
        <v>0.05</v>
      </c>
      <c r="Y80">
        <v>0</v>
      </c>
      <c r="Z80">
        <v>115.4</v>
      </c>
      <c r="AA80">
        <v>13.5</v>
      </c>
      <c r="AB80">
        <v>0</v>
      </c>
      <c r="AC80">
        <v>0</v>
      </c>
      <c r="AD80">
        <v>1</v>
      </c>
      <c r="AE80">
        <v>0</v>
      </c>
      <c r="AF80" t="s">
        <v>115</v>
      </c>
      <c r="AG80">
        <v>0.0625</v>
      </c>
      <c r="AH80">
        <v>2</v>
      </c>
      <c r="AI80">
        <v>55096510</v>
      </c>
      <c r="AJ80">
        <v>80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ht="12.75">
      <c r="A81">
        <f>ROW(Source!A94)</f>
        <v>94</v>
      </c>
      <c r="B81">
        <v>55096511</v>
      </c>
      <c r="C81">
        <v>55096506</v>
      </c>
      <c r="D81">
        <v>49621268</v>
      </c>
      <c r="E81">
        <v>1</v>
      </c>
      <c r="F81">
        <v>1</v>
      </c>
      <c r="G81">
        <v>1</v>
      </c>
      <c r="H81">
        <v>2</v>
      </c>
      <c r="I81" t="s">
        <v>345</v>
      </c>
      <c r="J81" t="s">
        <v>346</v>
      </c>
      <c r="K81" t="s">
        <v>347</v>
      </c>
      <c r="L81">
        <v>1368</v>
      </c>
      <c r="N81">
        <v>1011</v>
      </c>
      <c r="O81" t="s">
        <v>317</v>
      </c>
      <c r="P81" t="s">
        <v>317</v>
      </c>
      <c r="Q81">
        <v>1</v>
      </c>
      <c r="X81">
        <v>0.09</v>
      </c>
      <c r="Y81">
        <v>0</v>
      </c>
      <c r="Z81">
        <v>65.71</v>
      </c>
      <c r="AA81">
        <v>11.6</v>
      </c>
      <c r="AB81">
        <v>0</v>
      </c>
      <c r="AC81">
        <v>0</v>
      </c>
      <c r="AD81">
        <v>1</v>
      </c>
      <c r="AE81">
        <v>0</v>
      </c>
      <c r="AF81" t="s">
        <v>115</v>
      </c>
      <c r="AG81">
        <v>0.11249999999999999</v>
      </c>
      <c r="AH81">
        <v>2</v>
      </c>
      <c r="AI81">
        <v>55096511</v>
      </c>
      <c r="AJ81">
        <v>81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ht="12.75">
      <c r="A82">
        <f>ROW(Source!A94)</f>
        <v>94</v>
      </c>
      <c r="B82">
        <v>55096512</v>
      </c>
      <c r="C82">
        <v>55096506</v>
      </c>
      <c r="D82">
        <v>49470012</v>
      </c>
      <c r="E82">
        <v>1</v>
      </c>
      <c r="F82">
        <v>1</v>
      </c>
      <c r="G82">
        <v>1</v>
      </c>
      <c r="H82">
        <v>3</v>
      </c>
      <c r="I82" t="s">
        <v>355</v>
      </c>
      <c r="J82" t="s">
        <v>356</v>
      </c>
      <c r="K82" t="s">
        <v>357</v>
      </c>
      <c r="L82">
        <v>1346</v>
      </c>
      <c r="N82">
        <v>1009</v>
      </c>
      <c r="O82" t="s">
        <v>205</v>
      </c>
      <c r="P82" t="s">
        <v>205</v>
      </c>
      <c r="Q82">
        <v>1</v>
      </c>
      <c r="X82">
        <v>29.94</v>
      </c>
      <c r="Y82">
        <v>6.09</v>
      </c>
      <c r="Z82">
        <v>0</v>
      </c>
      <c r="AA82">
        <v>0</v>
      </c>
      <c r="AB82">
        <v>0</v>
      </c>
      <c r="AC82">
        <v>0</v>
      </c>
      <c r="AD82">
        <v>1</v>
      </c>
      <c r="AE82">
        <v>0</v>
      </c>
      <c r="AG82">
        <v>29.94</v>
      </c>
      <c r="AH82">
        <v>2</v>
      </c>
      <c r="AI82">
        <v>55096512</v>
      </c>
      <c r="AJ82">
        <v>82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ht="12.75">
      <c r="A83">
        <f>ROW(Source!A94)</f>
        <v>94</v>
      </c>
      <c r="B83">
        <v>55096513</v>
      </c>
      <c r="C83">
        <v>55096506</v>
      </c>
      <c r="D83">
        <v>49461982</v>
      </c>
      <c r="E83">
        <v>58</v>
      </c>
      <c r="F83">
        <v>1</v>
      </c>
      <c r="G83">
        <v>1</v>
      </c>
      <c r="H83">
        <v>3</v>
      </c>
      <c r="I83" t="s">
        <v>375</v>
      </c>
      <c r="K83" t="s">
        <v>376</v>
      </c>
      <c r="L83">
        <v>1327</v>
      </c>
      <c r="N83">
        <v>1005</v>
      </c>
      <c r="O83" t="s">
        <v>173</v>
      </c>
      <c r="P83" t="s">
        <v>173</v>
      </c>
      <c r="Q83">
        <v>1</v>
      </c>
      <c r="X83">
        <v>114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G83">
        <v>114</v>
      </c>
      <c r="AH83">
        <v>3</v>
      </c>
      <c r="AI83">
        <v>-1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ht="12.75">
      <c r="A84">
        <f>ROW(Source!A94)</f>
        <v>94</v>
      </c>
      <c r="B84">
        <v>55096514</v>
      </c>
      <c r="C84">
        <v>55096506</v>
      </c>
      <c r="D84">
        <v>49461981</v>
      </c>
      <c r="E84">
        <v>58</v>
      </c>
      <c r="F84">
        <v>1</v>
      </c>
      <c r="G84">
        <v>1</v>
      </c>
      <c r="H84">
        <v>3</v>
      </c>
      <c r="I84" t="s">
        <v>375</v>
      </c>
      <c r="K84" t="s">
        <v>377</v>
      </c>
      <c r="L84">
        <v>1327</v>
      </c>
      <c r="N84">
        <v>1005</v>
      </c>
      <c r="O84" t="s">
        <v>173</v>
      </c>
      <c r="P84" t="s">
        <v>173</v>
      </c>
      <c r="Q84">
        <v>1</v>
      </c>
      <c r="X84">
        <v>116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G84">
        <v>116</v>
      </c>
      <c r="AH84">
        <v>3</v>
      </c>
      <c r="AI84">
        <v>-1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 ht="12.75">
      <c r="A85">
        <f>ROW(Source!A99)</f>
        <v>99</v>
      </c>
      <c r="B85">
        <v>55096522</v>
      </c>
      <c r="C85">
        <v>55096521</v>
      </c>
      <c r="D85">
        <v>49459419</v>
      </c>
      <c r="E85">
        <v>58</v>
      </c>
      <c r="F85">
        <v>1</v>
      </c>
      <c r="G85">
        <v>1</v>
      </c>
      <c r="H85">
        <v>1</v>
      </c>
      <c r="I85" t="s">
        <v>350</v>
      </c>
      <c r="K85" t="s">
        <v>351</v>
      </c>
      <c r="L85">
        <v>1191</v>
      </c>
      <c r="N85">
        <v>1013</v>
      </c>
      <c r="O85" t="s">
        <v>311</v>
      </c>
      <c r="P85" t="s">
        <v>311</v>
      </c>
      <c r="Q85">
        <v>1</v>
      </c>
      <c r="X85">
        <v>14.36</v>
      </c>
      <c r="Y85">
        <v>0</v>
      </c>
      <c r="Z85">
        <v>0</v>
      </c>
      <c r="AA85">
        <v>0</v>
      </c>
      <c r="AB85">
        <v>9.4</v>
      </c>
      <c r="AC85">
        <v>0</v>
      </c>
      <c r="AD85">
        <v>1</v>
      </c>
      <c r="AE85">
        <v>1</v>
      </c>
      <c r="AF85" t="s">
        <v>116</v>
      </c>
      <c r="AG85">
        <v>16.514</v>
      </c>
      <c r="AH85">
        <v>2</v>
      </c>
      <c r="AI85">
        <v>55096522</v>
      </c>
      <c r="AJ85">
        <v>85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 ht="12.75">
      <c r="A86">
        <f>ROW(Source!A99)</f>
        <v>99</v>
      </c>
      <c r="B86">
        <v>55096523</v>
      </c>
      <c r="C86">
        <v>55096521</v>
      </c>
      <c r="D86">
        <v>49459566</v>
      </c>
      <c r="E86">
        <v>58</v>
      </c>
      <c r="F86">
        <v>1</v>
      </c>
      <c r="G86">
        <v>1</v>
      </c>
      <c r="H86">
        <v>1</v>
      </c>
      <c r="I86" t="s">
        <v>330</v>
      </c>
      <c r="K86" t="s">
        <v>321</v>
      </c>
      <c r="L86">
        <v>1191</v>
      </c>
      <c r="N86">
        <v>1013</v>
      </c>
      <c r="O86" t="s">
        <v>311</v>
      </c>
      <c r="P86" t="s">
        <v>311</v>
      </c>
      <c r="Q86">
        <v>1</v>
      </c>
      <c r="X86">
        <v>0.29</v>
      </c>
      <c r="Y86">
        <v>0</v>
      </c>
      <c r="Z86">
        <v>0</v>
      </c>
      <c r="AA86">
        <v>0</v>
      </c>
      <c r="AB86">
        <v>0</v>
      </c>
      <c r="AC86">
        <v>0</v>
      </c>
      <c r="AD86">
        <v>1</v>
      </c>
      <c r="AE86">
        <v>2</v>
      </c>
      <c r="AF86" t="s">
        <v>115</v>
      </c>
      <c r="AG86">
        <v>0.3625</v>
      </c>
      <c r="AH86">
        <v>2</v>
      </c>
      <c r="AI86">
        <v>55096523</v>
      </c>
      <c r="AJ86">
        <v>86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 ht="12.75">
      <c r="A87">
        <f>ROW(Source!A99)</f>
        <v>99</v>
      </c>
      <c r="B87">
        <v>55096524</v>
      </c>
      <c r="C87">
        <v>55096521</v>
      </c>
      <c r="D87">
        <v>49620286</v>
      </c>
      <c r="E87">
        <v>1</v>
      </c>
      <c r="F87">
        <v>1</v>
      </c>
      <c r="G87">
        <v>1</v>
      </c>
      <c r="H87">
        <v>2</v>
      </c>
      <c r="I87" t="s">
        <v>331</v>
      </c>
      <c r="J87" t="s">
        <v>332</v>
      </c>
      <c r="K87" t="s">
        <v>333</v>
      </c>
      <c r="L87">
        <v>1368</v>
      </c>
      <c r="N87">
        <v>1011</v>
      </c>
      <c r="O87" t="s">
        <v>317</v>
      </c>
      <c r="P87" t="s">
        <v>317</v>
      </c>
      <c r="Q87">
        <v>1</v>
      </c>
      <c r="X87">
        <v>0.15</v>
      </c>
      <c r="Y87">
        <v>0</v>
      </c>
      <c r="Z87">
        <v>86.4</v>
      </c>
      <c r="AA87">
        <v>13.5</v>
      </c>
      <c r="AB87">
        <v>0</v>
      </c>
      <c r="AC87">
        <v>0</v>
      </c>
      <c r="AD87">
        <v>1</v>
      </c>
      <c r="AE87">
        <v>0</v>
      </c>
      <c r="AF87" t="s">
        <v>115</v>
      </c>
      <c r="AG87">
        <v>0.1875</v>
      </c>
      <c r="AH87">
        <v>2</v>
      </c>
      <c r="AI87">
        <v>55096524</v>
      </c>
      <c r="AJ87">
        <v>87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ht="12.75">
      <c r="A88">
        <f>ROW(Source!A99)</f>
        <v>99</v>
      </c>
      <c r="B88">
        <v>55096525</v>
      </c>
      <c r="C88">
        <v>55096521</v>
      </c>
      <c r="D88">
        <v>49620344</v>
      </c>
      <c r="E88">
        <v>1</v>
      </c>
      <c r="F88">
        <v>1</v>
      </c>
      <c r="G88">
        <v>1</v>
      </c>
      <c r="H88">
        <v>2</v>
      </c>
      <c r="I88" t="s">
        <v>352</v>
      </c>
      <c r="J88" t="s">
        <v>353</v>
      </c>
      <c r="K88" t="s">
        <v>354</v>
      </c>
      <c r="L88">
        <v>1368</v>
      </c>
      <c r="N88">
        <v>1011</v>
      </c>
      <c r="O88" t="s">
        <v>317</v>
      </c>
      <c r="P88" t="s">
        <v>317</v>
      </c>
      <c r="Q88">
        <v>1</v>
      </c>
      <c r="X88">
        <v>0.05</v>
      </c>
      <c r="Y88">
        <v>0</v>
      </c>
      <c r="Z88">
        <v>115.4</v>
      </c>
      <c r="AA88">
        <v>13.5</v>
      </c>
      <c r="AB88">
        <v>0</v>
      </c>
      <c r="AC88">
        <v>0</v>
      </c>
      <c r="AD88">
        <v>1</v>
      </c>
      <c r="AE88">
        <v>0</v>
      </c>
      <c r="AF88" t="s">
        <v>115</v>
      </c>
      <c r="AG88">
        <v>0.0625</v>
      </c>
      <c r="AH88">
        <v>2</v>
      </c>
      <c r="AI88">
        <v>55096525</v>
      </c>
      <c r="AJ88">
        <v>88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ht="12.75">
      <c r="A89">
        <f>ROW(Source!A99)</f>
        <v>99</v>
      </c>
      <c r="B89">
        <v>55096526</v>
      </c>
      <c r="C89">
        <v>55096521</v>
      </c>
      <c r="D89">
        <v>49621268</v>
      </c>
      <c r="E89">
        <v>1</v>
      </c>
      <c r="F89">
        <v>1</v>
      </c>
      <c r="G89">
        <v>1</v>
      </c>
      <c r="H89">
        <v>2</v>
      </c>
      <c r="I89" t="s">
        <v>345</v>
      </c>
      <c r="J89" t="s">
        <v>346</v>
      </c>
      <c r="K89" t="s">
        <v>347</v>
      </c>
      <c r="L89">
        <v>1368</v>
      </c>
      <c r="N89">
        <v>1011</v>
      </c>
      <c r="O89" t="s">
        <v>317</v>
      </c>
      <c r="P89" t="s">
        <v>317</v>
      </c>
      <c r="Q89">
        <v>1</v>
      </c>
      <c r="X89">
        <v>0.09</v>
      </c>
      <c r="Y89">
        <v>0</v>
      </c>
      <c r="Z89">
        <v>65.71</v>
      </c>
      <c r="AA89">
        <v>11.6</v>
      </c>
      <c r="AB89">
        <v>0</v>
      </c>
      <c r="AC89">
        <v>0</v>
      </c>
      <c r="AD89">
        <v>1</v>
      </c>
      <c r="AE89">
        <v>0</v>
      </c>
      <c r="AF89" t="s">
        <v>115</v>
      </c>
      <c r="AG89">
        <v>0.11249999999999999</v>
      </c>
      <c r="AH89">
        <v>2</v>
      </c>
      <c r="AI89">
        <v>55096526</v>
      </c>
      <c r="AJ89">
        <v>89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ht="12.75">
      <c r="A90">
        <f>ROW(Source!A99)</f>
        <v>99</v>
      </c>
      <c r="B90">
        <v>55096527</v>
      </c>
      <c r="C90">
        <v>55096521</v>
      </c>
      <c r="D90">
        <v>49470012</v>
      </c>
      <c r="E90">
        <v>1</v>
      </c>
      <c r="F90">
        <v>1</v>
      </c>
      <c r="G90">
        <v>1</v>
      </c>
      <c r="H90">
        <v>3</v>
      </c>
      <c r="I90" t="s">
        <v>355</v>
      </c>
      <c r="J90" t="s">
        <v>356</v>
      </c>
      <c r="K90" t="s">
        <v>357</v>
      </c>
      <c r="L90">
        <v>1346</v>
      </c>
      <c r="N90">
        <v>1009</v>
      </c>
      <c r="O90" t="s">
        <v>205</v>
      </c>
      <c r="P90" t="s">
        <v>205</v>
      </c>
      <c r="Q90">
        <v>1</v>
      </c>
      <c r="X90">
        <v>29.94</v>
      </c>
      <c r="Y90">
        <v>6.09</v>
      </c>
      <c r="Z90">
        <v>0</v>
      </c>
      <c r="AA90">
        <v>0</v>
      </c>
      <c r="AB90">
        <v>0</v>
      </c>
      <c r="AC90">
        <v>0</v>
      </c>
      <c r="AD90">
        <v>1</v>
      </c>
      <c r="AE90">
        <v>0</v>
      </c>
      <c r="AG90">
        <v>29.94</v>
      </c>
      <c r="AH90">
        <v>2</v>
      </c>
      <c r="AI90">
        <v>55096527</v>
      </c>
      <c r="AJ90">
        <v>90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ht="12.75">
      <c r="A91">
        <f>ROW(Source!A99)</f>
        <v>99</v>
      </c>
      <c r="B91">
        <v>55096528</v>
      </c>
      <c r="C91">
        <v>55096521</v>
      </c>
      <c r="D91">
        <v>49461982</v>
      </c>
      <c r="E91">
        <v>58</v>
      </c>
      <c r="F91">
        <v>1</v>
      </c>
      <c r="G91">
        <v>1</v>
      </c>
      <c r="H91">
        <v>3</v>
      </c>
      <c r="I91" t="s">
        <v>375</v>
      </c>
      <c r="K91" t="s">
        <v>376</v>
      </c>
      <c r="L91">
        <v>1327</v>
      </c>
      <c r="N91">
        <v>1005</v>
      </c>
      <c r="O91" t="s">
        <v>173</v>
      </c>
      <c r="P91" t="s">
        <v>173</v>
      </c>
      <c r="Q91">
        <v>1</v>
      </c>
      <c r="X91">
        <v>114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G91">
        <v>114</v>
      </c>
      <c r="AH91">
        <v>3</v>
      </c>
      <c r="AI91">
        <v>-1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ht="12.75">
      <c r="A92">
        <f>ROW(Source!A99)</f>
        <v>99</v>
      </c>
      <c r="B92">
        <v>55096529</v>
      </c>
      <c r="C92">
        <v>55096521</v>
      </c>
      <c r="D92">
        <v>49461981</v>
      </c>
      <c r="E92">
        <v>58</v>
      </c>
      <c r="F92">
        <v>1</v>
      </c>
      <c r="G92">
        <v>1</v>
      </c>
      <c r="H92">
        <v>3</v>
      </c>
      <c r="I92" t="s">
        <v>375</v>
      </c>
      <c r="K92" t="s">
        <v>377</v>
      </c>
      <c r="L92">
        <v>1327</v>
      </c>
      <c r="N92">
        <v>1005</v>
      </c>
      <c r="O92" t="s">
        <v>173</v>
      </c>
      <c r="P92" t="s">
        <v>173</v>
      </c>
      <c r="Q92">
        <v>1</v>
      </c>
      <c r="X92">
        <v>116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G92">
        <v>116</v>
      </c>
      <c r="AH92">
        <v>3</v>
      </c>
      <c r="AI92">
        <v>-1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</row>
    <row r="93" spans="1:44" ht="12.75">
      <c r="A93">
        <f>ROW(Source!A100)</f>
        <v>100</v>
      </c>
      <c r="B93">
        <v>55096522</v>
      </c>
      <c r="C93">
        <v>55096521</v>
      </c>
      <c r="D93">
        <v>49459419</v>
      </c>
      <c r="E93">
        <v>58</v>
      </c>
      <c r="F93">
        <v>1</v>
      </c>
      <c r="G93">
        <v>1</v>
      </c>
      <c r="H93">
        <v>1</v>
      </c>
      <c r="I93" t="s">
        <v>350</v>
      </c>
      <c r="K93" t="s">
        <v>351</v>
      </c>
      <c r="L93">
        <v>1191</v>
      </c>
      <c r="N93">
        <v>1013</v>
      </c>
      <c r="O93" t="s">
        <v>311</v>
      </c>
      <c r="P93" t="s">
        <v>311</v>
      </c>
      <c r="Q93">
        <v>1</v>
      </c>
      <c r="X93">
        <v>14.36</v>
      </c>
      <c r="Y93">
        <v>0</v>
      </c>
      <c r="Z93">
        <v>0</v>
      </c>
      <c r="AA93">
        <v>0</v>
      </c>
      <c r="AB93">
        <v>9.4</v>
      </c>
      <c r="AC93">
        <v>0</v>
      </c>
      <c r="AD93">
        <v>1</v>
      </c>
      <c r="AE93">
        <v>1</v>
      </c>
      <c r="AF93" t="s">
        <v>116</v>
      </c>
      <c r="AG93">
        <v>16.514</v>
      </c>
      <c r="AH93">
        <v>2</v>
      </c>
      <c r="AI93">
        <v>55096522</v>
      </c>
      <c r="AJ93">
        <v>93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4" ht="12.75">
      <c r="A94">
        <f>ROW(Source!A100)</f>
        <v>100</v>
      </c>
      <c r="B94">
        <v>55096523</v>
      </c>
      <c r="C94">
        <v>55096521</v>
      </c>
      <c r="D94">
        <v>49459566</v>
      </c>
      <c r="E94">
        <v>58</v>
      </c>
      <c r="F94">
        <v>1</v>
      </c>
      <c r="G94">
        <v>1</v>
      </c>
      <c r="H94">
        <v>1</v>
      </c>
      <c r="I94" t="s">
        <v>330</v>
      </c>
      <c r="K94" t="s">
        <v>321</v>
      </c>
      <c r="L94">
        <v>1191</v>
      </c>
      <c r="N94">
        <v>1013</v>
      </c>
      <c r="O94" t="s">
        <v>311</v>
      </c>
      <c r="P94" t="s">
        <v>311</v>
      </c>
      <c r="Q94">
        <v>1</v>
      </c>
      <c r="X94">
        <v>0.29</v>
      </c>
      <c r="Y94">
        <v>0</v>
      </c>
      <c r="Z94">
        <v>0</v>
      </c>
      <c r="AA94">
        <v>0</v>
      </c>
      <c r="AB94">
        <v>0</v>
      </c>
      <c r="AC94">
        <v>0</v>
      </c>
      <c r="AD94">
        <v>1</v>
      </c>
      <c r="AE94">
        <v>2</v>
      </c>
      <c r="AF94" t="s">
        <v>115</v>
      </c>
      <c r="AG94">
        <v>0.3625</v>
      </c>
      <c r="AH94">
        <v>2</v>
      </c>
      <c r="AI94">
        <v>55096523</v>
      </c>
      <c r="AJ94">
        <v>94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4" ht="12.75">
      <c r="A95">
        <f>ROW(Source!A100)</f>
        <v>100</v>
      </c>
      <c r="B95">
        <v>55096524</v>
      </c>
      <c r="C95">
        <v>55096521</v>
      </c>
      <c r="D95">
        <v>49620286</v>
      </c>
      <c r="E95">
        <v>1</v>
      </c>
      <c r="F95">
        <v>1</v>
      </c>
      <c r="G95">
        <v>1</v>
      </c>
      <c r="H95">
        <v>2</v>
      </c>
      <c r="I95" t="s">
        <v>331</v>
      </c>
      <c r="J95" t="s">
        <v>332</v>
      </c>
      <c r="K95" t="s">
        <v>333</v>
      </c>
      <c r="L95">
        <v>1368</v>
      </c>
      <c r="N95">
        <v>1011</v>
      </c>
      <c r="O95" t="s">
        <v>317</v>
      </c>
      <c r="P95" t="s">
        <v>317</v>
      </c>
      <c r="Q95">
        <v>1</v>
      </c>
      <c r="X95">
        <v>0.15</v>
      </c>
      <c r="Y95">
        <v>0</v>
      </c>
      <c r="Z95">
        <v>86.4</v>
      </c>
      <c r="AA95">
        <v>13.5</v>
      </c>
      <c r="AB95">
        <v>0</v>
      </c>
      <c r="AC95">
        <v>0</v>
      </c>
      <c r="AD95">
        <v>1</v>
      </c>
      <c r="AE95">
        <v>0</v>
      </c>
      <c r="AF95" t="s">
        <v>115</v>
      </c>
      <c r="AG95">
        <v>0.1875</v>
      </c>
      <c r="AH95">
        <v>2</v>
      </c>
      <c r="AI95">
        <v>55096524</v>
      </c>
      <c r="AJ95">
        <v>95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</row>
    <row r="96" spans="1:44" ht="12.75">
      <c r="A96">
        <f>ROW(Source!A100)</f>
        <v>100</v>
      </c>
      <c r="B96">
        <v>55096525</v>
      </c>
      <c r="C96">
        <v>55096521</v>
      </c>
      <c r="D96">
        <v>49620344</v>
      </c>
      <c r="E96">
        <v>1</v>
      </c>
      <c r="F96">
        <v>1</v>
      </c>
      <c r="G96">
        <v>1</v>
      </c>
      <c r="H96">
        <v>2</v>
      </c>
      <c r="I96" t="s">
        <v>352</v>
      </c>
      <c r="J96" t="s">
        <v>353</v>
      </c>
      <c r="K96" t="s">
        <v>354</v>
      </c>
      <c r="L96">
        <v>1368</v>
      </c>
      <c r="N96">
        <v>1011</v>
      </c>
      <c r="O96" t="s">
        <v>317</v>
      </c>
      <c r="P96" t="s">
        <v>317</v>
      </c>
      <c r="Q96">
        <v>1</v>
      </c>
      <c r="X96">
        <v>0.05</v>
      </c>
      <c r="Y96">
        <v>0</v>
      </c>
      <c r="Z96">
        <v>115.4</v>
      </c>
      <c r="AA96">
        <v>13.5</v>
      </c>
      <c r="AB96">
        <v>0</v>
      </c>
      <c r="AC96">
        <v>0</v>
      </c>
      <c r="AD96">
        <v>1</v>
      </c>
      <c r="AE96">
        <v>0</v>
      </c>
      <c r="AF96" t="s">
        <v>115</v>
      </c>
      <c r="AG96">
        <v>0.0625</v>
      </c>
      <c r="AH96">
        <v>2</v>
      </c>
      <c r="AI96">
        <v>55096525</v>
      </c>
      <c r="AJ96">
        <v>96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ht="12.75">
      <c r="A97">
        <f>ROW(Source!A100)</f>
        <v>100</v>
      </c>
      <c r="B97">
        <v>55096526</v>
      </c>
      <c r="C97">
        <v>55096521</v>
      </c>
      <c r="D97">
        <v>49621268</v>
      </c>
      <c r="E97">
        <v>1</v>
      </c>
      <c r="F97">
        <v>1</v>
      </c>
      <c r="G97">
        <v>1</v>
      </c>
      <c r="H97">
        <v>2</v>
      </c>
      <c r="I97" t="s">
        <v>345</v>
      </c>
      <c r="J97" t="s">
        <v>346</v>
      </c>
      <c r="K97" t="s">
        <v>347</v>
      </c>
      <c r="L97">
        <v>1368</v>
      </c>
      <c r="N97">
        <v>1011</v>
      </c>
      <c r="O97" t="s">
        <v>317</v>
      </c>
      <c r="P97" t="s">
        <v>317</v>
      </c>
      <c r="Q97">
        <v>1</v>
      </c>
      <c r="X97">
        <v>0.09</v>
      </c>
      <c r="Y97">
        <v>0</v>
      </c>
      <c r="Z97">
        <v>65.71</v>
      </c>
      <c r="AA97">
        <v>11.6</v>
      </c>
      <c r="AB97">
        <v>0</v>
      </c>
      <c r="AC97">
        <v>0</v>
      </c>
      <c r="AD97">
        <v>1</v>
      </c>
      <c r="AE97">
        <v>0</v>
      </c>
      <c r="AF97" t="s">
        <v>115</v>
      </c>
      <c r="AG97">
        <v>0.11249999999999999</v>
      </c>
      <c r="AH97">
        <v>2</v>
      </c>
      <c r="AI97">
        <v>55096526</v>
      </c>
      <c r="AJ97">
        <v>97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ht="12.75">
      <c r="A98">
        <f>ROW(Source!A100)</f>
        <v>100</v>
      </c>
      <c r="B98">
        <v>55096527</v>
      </c>
      <c r="C98">
        <v>55096521</v>
      </c>
      <c r="D98">
        <v>49470012</v>
      </c>
      <c r="E98">
        <v>1</v>
      </c>
      <c r="F98">
        <v>1</v>
      </c>
      <c r="G98">
        <v>1</v>
      </c>
      <c r="H98">
        <v>3</v>
      </c>
      <c r="I98" t="s">
        <v>355</v>
      </c>
      <c r="J98" t="s">
        <v>356</v>
      </c>
      <c r="K98" t="s">
        <v>357</v>
      </c>
      <c r="L98">
        <v>1346</v>
      </c>
      <c r="N98">
        <v>1009</v>
      </c>
      <c r="O98" t="s">
        <v>205</v>
      </c>
      <c r="P98" t="s">
        <v>205</v>
      </c>
      <c r="Q98">
        <v>1</v>
      </c>
      <c r="X98">
        <v>29.94</v>
      </c>
      <c r="Y98">
        <v>6.09</v>
      </c>
      <c r="Z98">
        <v>0</v>
      </c>
      <c r="AA98">
        <v>0</v>
      </c>
      <c r="AB98">
        <v>0</v>
      </c>
      <c r="AC98">
        <v>0</v>
      </c>
      <c r="AD98">
        <v>1</v>
      </c>
      <c r="AE98">
        <v>0</v>
      </c>
      <c r="AG98">
        <v>29.94</v>
      </c>
      <c r="AH98">
        <v>2</v>
      </c>
      <c r="AI98">
        <v>55096527</v>
      </c>
      <c r="AJ98">
        <v>98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ht="12.75">
      <c r="A99">
        <f>ROW(Source!A100)</f>
        <v>100</v>
      </c>
      <c r="B99">
        <v>55096528</v>
      </c>
      <c r="C99">
        <v>55096521</v>
      </c>
      <c r="D99">
        <v>49461982</v>
      </c>
      <c r="E99">
        <v>58</v>
      </c>
      <c r="F99">
        <v>1</v>
      </c>
      <c r="G99">
        <v>1</v>
      </c>
      <c r="H99">
        <v>3</v>
      </c>
      <c r="I99" t="s">
        <v>375</v>
      </c>
      <c r="K99" t="s">
        <v>376</v>
      </c>
      <c r="L99">
        <v>1327</v>
      </c>
      <c r="N99">
        <v>1005</v>
      </c>
      <c r="O99" t="s">
        <v>173</v>
      </c>
      <c r="P99" t="s">
        <v>173</v>
      </c>
      <c r="Q99">
        <v>1</v>
      </c>
      <c r="X99">
        <v>114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G99">
        <v>114</v>
      </c>
      <c r="AH99">
        <v>3</v>
      </c>
      <c r="AI99">
        <v>-1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ht="12.75">
      <c r="A100">
        <f>ROW(Source!A100)</f>
        <v>100</v>
      </c>
      <c r="B100">
        <v>55096529</v>
      </c>
      <c r="C100">
        <v>55096521</v>
      </c>
      <c r="D100">
        <v>49461981</v>
      </c>
      <c r="E100">
        <v>58</v>
      </c>
      <c r="F100">
        <v>1</v>
      </c>
      <c r="G100">
        <v>1</v>
      </c>
      <c r="H100">
        <v>3</v>
      </c>
      <c r="I100" t="s">
        <v>375</v>
      </c>
      <c r="K100" t="s">
        <v>377</v>
      </c>
      <c r="L100">
        <v>1327</v>
      </c>
      <c r="N100">
        <v>1005</v>
      </c>
      <c r="O100" t="s">
        <v>173</v>
      </c>
      <c r="P100" t="s">
        <v>173</v>
      </c>
      <c r="Q100">
        <v>1</v>
      </c>
      <c r="X100">
        <v>116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G100">
        <v>116</v>
      </c>
      <c r="AH100">
        <v>3</v>
      </c>
      <c r="AI100">
        <v>-1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 ht="12.75">
      <c r="A101">
        <f>ROW(Source!A105)</f>
        <v>105</v>
      </c>
      <c r="B101">
        <v>55096537</v>
      </c>
      <c r="C101">
        <v>55096536</v>
      </c>
      <c r="D101">
        <v>49459409</v>
      </c>
      <c r="E101">
        <v>58</v>
      </c>
      <c r="F101">
        <v>1</v>
      </c>
      <c r="G101">
        <v>1</v>
      </c>
      <c r="H101">
        <v>1</v>
      </c>
      <c r="I101" t="s">
        <v>358</v>
      </c>
      <c r="K101" t="s">
        <v>359</v>
      </c>
      <c r="L101">
        <v>1191</v>
      </c>
      <c r="N101">
        <v>1013</v>
      </c>
      <c r="O101" t="s">
        <v>311</v>
      </c>
      <c r="P101" t="s">
        <v>311</v>
      </c>
      <c r="Q101">
        <v>1</v>
      </c>
      <c r="X101">
        <v>35.5</v>
      </c>
      <c r="Y101">
        <v>0</v>
      </c>
      <c r="Z101">
        <v>0</v>
      </c>
      <c r="AA101">
        <v>0</v>
      </c>
      <c r="AB101">
        <v>9.18</v>
      </c>
      <c r="AC101">
        <v>0</v>
      </c>
      <c r="AD101">
        <v>1</v>
      </c>
      <c r="AE101">
        <v>1</v>
      </c>
      <c r="AF101" t="s">
        <v>116</v>
      </c>
      <c r="AG101">
        <v>40.824999999999996</v>
      </c>
      <c r="AH101">
        <v>2</v>
      </c>
      <c r="AI101">
        <v>55096537</v>
      </c>
      <c r="AJ101">
        <v>101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ht="12.75">
      <c r="A102">
        <f>ROW(Source!A105)</f>
        <v>105</v>
      </c>
      <c r="B102">
        <v>55096538</v>
      </c>
      <c r="C102">
        <v>55096536</v>
      </c>
      <c r="D102">
        <v>49459566</v>
      </c>
      <c r="E102">
        <v>58</v>
      </c>
      <c r="F102">
        <v>1</v>
      </c>
      <c r="G102">
        <v>1</v>
      </c>
      <c r="H102">
        <v>1</v>
      </c>
      <c r="I102" t="s">
        <v>330</v>
      </c>
      <c r="K102" t="s">
        <v>321</v>
      </c>
      <c r="L102">
        <v>1191</v>
      </c>
      <c r="N102">
        <v>1013</v>
      </c>
      <c r="O102" t="s">
        <v>311</v>
      </c>
      <c r="P102" t="s">
        <v>311</v>
      </c>
      <c r="Q102">
        <v>1</v>
      </c>
      <c r="X102">
        <v>0.86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1</v>
      </c>
      <c r="AE102">
        <v>2</v>
      </c>
      <c r="AF102" t="s">
        <v>115</v>
      </c>
      <c r="AG102">
        <v>1.075</v>
      </c>
      <c r="AH102">
        <v>2</v>
      </c>
      <c r="AI102">
        <v>55096538</v>
      </c>
      <c r="AJ102">
        <v>102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 ht="12.75">
      <c r="A103">
        <f>ROW(Source!A105)</f>
        <v>105</v>
      </c>
      <c r="B103">
        <v>55096539</v>
      </c>
      <c r="C103">
        <v>55096536</v>
      </c>
      <c r="D103">
        <v>49620286</v>
      </c>
      <c r="E103">
        <v>1</v>
      </c>
      <c r="F103">
        <v>1</v>
      </c>
      <c r="G103">
        <v>1</v>
      </c>
      <c r="H103">
        <v>2</v>
      </c>
      <c r="I103" t="s">
        <v>331</v>
      </c>
      <c r="J103" t="s">
        <v>332</v>
      </c>
      <c r="K103" t="s">
        <v>333</v>
      </c>
      <c r="L103">
        <v>1368</v>
      </c>
      <c r="N103">
        <v>1011</v>
      </c>
      <c r="O103" t="s">
        <v>317</v>
      </c>
      <c r="P103" t="s">
        <v>317</v>
      </c>
      <c r="Q103">
        <v>1</v>
      </c>
      <c r="X103">
        <v>0.61</v>
      </c>
      <c r="Y103">
        <v>0</v>
      </c>
      <c r="Z103">
        <v>86.4</v>
      </c>
      <c r="AA103">
        <v>13.5</v>
      </c>
      <c r="AB103">
        <v>0</v>
      </c>
      <c r="AC103">
        <v>0</v>
      </c>
      <c r="AD103">
        <v>1</v>
      </c>
      <c r="AE103">
        <v>0</v>
      </c>
      <c r="AF103" t="s">
        <v>115</v>
      </c>
      <c r="AG103">
        <v>0.7625</v>
      </c>
      <c r="AH103">
        <v>2</v>
      </c>
      <c r="AI103">
        <v>55096539</v>
      </c>
      <c r="AJ103">
        <v>103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</row>
    <row r="104" spans="1:44" ht="12.75">
      <c r="A104">
        <f>ROW(Source!A105)</f>
        <v>105</v>
      </c>
      <c r="B104">
        <v>55096540</v>
      </c>
      <c r="C104">
        <v>55096536</v>
      </c>
      <c r="D104">
        <v>49620344</v>
      </c>
      <c r="E104">
        <v>1</v>
      </c>
      <c r="F104">
        <v>1</v>
      </c>
      <c r="G104">
        <v>1</v>
      </c>
      <c r="H104">
        <v>2</v>
      </c>
      <c r="I104" t="s">
        <v>352</v>
      </c>
      <c r="J104" t="s">
        <v>353</v>
      </c>
      <c r="K104" t="s">
        <v>354</v>
      </c>
      <c r="L104">
        <v>1368</v>
      </c>
      <c r="N104">
        <v>1011</v>
      </c>
      <c r="O104" t="s">
        <v>317</v>
      </c>
      <c r="P104" t="s">
        <v>317</v>
      </c>
      <c r="Q104">
        <v>1</v>
      </c>
      <c r="X104">
        <v>0.1</v>
      </c>
      <c r="Y104">
        <v>0</v>
      </c>
      <c r="Z104">
        <v>115.4</v>
      </c>
      <c r="AA104">
        <v>13.5</v>
      </c>
      <c r="AB104">
        <v>0</v>
      </c>
      <c r="AC104">
        <v>0</v>
      </c>
      <c r="AD104">
        <v>1</v>
      </c>
      <c r="AE104">
        <v>0</v>
      </c>
      <c r="AF104" t="s">
        <v>115</v>
      </c>
      <c r="AG104">
        <v>0.125</v>
      </c>
      <c r="AH104">
        <v>2</v>
      </c>
      <c r="AI104">
        <v>55096540</v>
      </c>
      <c r="AJ104">
        <v>104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</row>
    <row r="105" spans="1:44" ht="12.75">
      <c r="A105">
        <f>ROW(Source!A105)</f>
        <v>105</v>
      </c>
      <c r="B105">
        <v>55096541</v>
      </c>
      <c r="C105">
        <v>55096536</v>
      </c>
      <c r="D105">
        <v>49621268</v>
      </c>
      <c r="E105">
        <v>1</v>
      </c>
      <c r="F105">
        <v>1</v>
      </c>
      <c r="G105">
        <v>1</v>
      </c>
      <c r="H105">
        <v>2</v>
      </c>
      <c r="I105" t="s">
        <v>345</v>
      </c>
      <c r="J105" t="s">
        <v>346</v>
      </c>
      <c r="K105" t="s">
        <v>347</v>
      </c>
      <c r="L105">
        <v>1368</v>
      </c>
      <c r="N105">
        <v>1011</v>
      </c>
      <c r="O105" t="s">
        <v>317</v>
      </c>
      <c r="P105" t="s">
        <v>317</v>
      </c>
      <c r="Q105">
        <v>1</v>
      </c>
      <c r="X105">
        <v>0.15</v>
      </c>
      <c r="Y105">
        <v>0</v>
      </c>
      <c r="Z105">
        <v>65.71</v>
      </c>
      <c r="AA105">
        <v>11.6</v>
      </c>
      <c r="AB105">
        <v>0</v>
      </c>
      <c r="AC105">
        <v>0</v>
      </c>
      <c r="AD105">
        <v>1</v>
      </c>
      <c r="AE105">
        <v>0</v>
      </c>
      <c r="AF105" t="s">
        <v>115</v>
      </c>
      <c r="AG105">
        <v>0.1875</v>
      </c>
      <c r="AH105">
        <v>2</v>
      </c>
      <c r="AI105">
        <v>55096541</v>
      </c>
      <c r="AJ105">
        <v>105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ht="12.75">
      <c r="A106">
        <f>ROW(Source!A105)</f>
        <v>105</v>
      </c>
      <c r="B106">
        <v>55096542</v>
      </c>
      <c r="C106">
        <v>55096536</v>
      </c>
      <c r="D106">
        <v>49470012</v>
      </c>
      <c r="E106">
        <v>1</v>
      </c>
      <c r="F106">
        <v>1</v>
      </c>
      <c r="G106">
        <v>1</v>
      </c>
      <c r="H106">
        <v>3</v>
      </c>
      <c r="I106" t="s">
        <v>355</v>
      </c>
      <c r="J106" t="s">
        <v>356</v>
      </c>
      <c r="K106" t="s">
        <v>357</v>
      </c>
      <c r="L106">
        <v>1346</v>
      </c>
      <c r="N106">
        <v>1009</v>
      </c>
      <c r="O106" t="s">
        <v>205</v>
      </c>
      <c r="P106" t="s">
        <v>205</v>
      </c>
      <c r="Q106">
        <v>1</v>
      </c>
      <c r="X106">
        <v>32.49</v>
      </c>
      <c r="Y106">
        <v>6.09</v>
      </c>
      <c r="Z106">
        <v>0</v>
      </c>
      <c r="AA106">
        <v>0</v>
      </c>
      <c r="AB106">
        <v>0</v>
      </c>
      <c r="AC106">
        <v>0</v>
      </c>
      <c r="AD106">
        <v>1</v>
      </c>
      <c r="AE106">
        <v>0</v>
      </c>
      <c r="AG106">
        <v>32.49</v>
      </c>
      <c r="AH106">
        <v>2</v>
      </c>
      <c r="AI106">
        <v>55096542</v>
      </c>
      <c r="AJ106">
        <v>106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 ht="12.75">
      <c r="A107">
        <f>ROW(Source!A105)</f>
        <v>105</v>
      </c>
      <c r="B107">
        <v>55096543</v>
      </c>
      <c r="C107">
        <v>55096536</v>
      </c>
      <c r="D107">
        <v>49476762</v>
      </c>
      <c r="E107">
        <v>1</v>
      </c>
      <c r="F107">
        <v>1</v>
      </c>
      <c r="G107">
        <v>1</v>
      </c>
      <c r="H107">
        <v>3</v>
      </c>
      <c r="I107" t="s">
        <v>191</v>
      </c>
      <c r="J107" t="s">
        <v>193</v>
      </c>
      <c r="K107" t="s">
        <v>192</v>
      </c>
      <c r="L107">
        <v>1339</v>
      </c>
      <c r="N107">
        <v>1007</v>
      </c>
      <c r="O107" t="s">
        <v>54</v>
      </c>
      <c r="P107" t="s">
        <v>54</v>
      </c>
      <c r="Q107">
        <v>1</v>
      </c>
      <c r="X107">
        <v>0.51</v>
      </c>
      <c r="Y107">
        <v>519.8</v>
      </c>
      <c r="Z107">
        <v>0</v>
      </c>
      <c r="AA107">
        <v>0</v>
      </c>
      <c r="AB107">
        <v>0</v>
      </c>
      <c r="AC107">
        <v>0</v>
      </c>
      <c r="AD107">
        <v>1</v>
      </c>
      <c r="AE107">
        <v>0</v>
      </c>
      <c r="AG107">
        <v>0.51</v>
      </c>
      <c r="AH107">
        <v>2</v>
      </c>
      <c r="AI107">
        <v>55096543</v>
      </c>
      <c r="AJ107">
        <v>107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ht="12.75">
      <c r="A108">
        <f>ROW(Source!A105)</f>
        <v>105</v>
      </c>
      <c r="B108">
        <v>55096544</v>
      </c>
      <c r="C108">
        <v>55096536</v>
      </c>
      <c r="D108">
        <v>49461978</v>
      </c>
      <c r="E108">
        <v>58</v>
      </c>
      <c r="F108">
        <v>1</v>
      </c>
      <c r="G108">
        <v>1</v>
      </c>
      <c r="H108">
        <v>3</v>
      </c>
      <c r="I108" t="s">
        <v>375</v>
      </c>
      <c r="K108" t="s">
        <v>378</v>
      </c>
      <c r="L108">
        <v>1327</v>
      </c>
      <c r="N108">
        <v>1005</v>
      </c>
      <c r="O108" t="s">
        <v>173</v>
      </c>
      <c r="P108" t="s">
        <v>173</v>
      </c>
      <c r="Q108">
        <v>1</v>
      </c>
      <c r="X108">
        <v>252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G108">
        <v>252</v>
      </c>
      <c r="AH108">
        <v>3</v>
      </c>
      <c r="AI108">
        <v>-1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ht="12.75">
      <c r="A109">
        <f>ROW(Source!A106)</f>
        <v>106</v>
      </c>
      <c r="B109">
        <v>55096537</v>
      </c>
      <c r="C109">
        <v>55096536</v>
      </c>
      <c r="D109">
        <v>49459409</v>
      </c>
      <c r="E109">
        <v>58</v>
      </c>
      <c r="F109">
        <v>1</v>
      </c>
      <c r="G109">
        <v>1</v>
      </c>
      <c r="H109">
        <v>1</v>
      </c>
      <c r="I109" t="s">
        <v>358</v>
      </c>
      <c r="K109" t="s">
        <v>359</v>
      </c>
      <c r="L109">
        <v>1191</v>
      </c>
      <c r="N109">
        <v>1013</v>
      </c>
      <c r="O109" t="s">
        <v>311</v>
      </c>
      <c r="P109" t="s">
        <v>311</v>
      </c>
      <c r="Q109">
        <v>1</v>
      </c>
      <c r="X109">
        <v>35.5</v>
      </c>
      <c r="Y109">
        <v>0</v>
      </c>
      <c r="Z109">
        <v>0</v>
      </c>
      <c r="AA109">
        <v>0</v>
      </c>
      <c r="AB109">
        <v>9.18</v>
      </c>
      <c r="AC109">
        <v>0</v>
      </c>
      <c r="AD109">
        <v>1</v>
      </c>
      <c r="AE109">
        <v>1</v>
      </c>
      <c r="AF109" t="s">
        <v>116</v>
      </c>
      <c r="AG109">
        <v>40.824999999999996</v>
      </c>
      <c r="AH109">
        <v>2</v>
      </c>
      <c r="AI109">
        <v>55096537</v>
      </c>
      <c r="AJ109">
        <v>110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ht="12.75">
      <c r="A110">
        <f>ROW(Source!A106)</f>
        <v>106</v>
      </c>
      <c r="B110">
        <v>55096538</v>
      </c>
      <c r="C110">
        <v>55096536</v>
      </c>
      <c r="D110">
        <v>49459566</v>
      </c>
      <c r="E110">
        <v>58</v>
      </c>
      <c r="F110">
        <v>1</v>
      </c>
      <c r="G110">
        <v>1</v>
      </c>
      <c r="H110">
        <v>1</v>
      </c>
      <c r="I110" t="s">
        <v>330</v>
      </c>
      <c r="K110" t="s">
        <v>321</v>
      </c>
      <c r="L110">
        <v>1191</v>
      </c>
      <c r="N110">
        <v>1013</v>
      </c>
      <c r="O110" t="s">
        <v>311</v>
      </c>
      <c r="P110" t="s">
        <v>311</v>
      </c>
      <c r="Q110">
        <v>1</v>
      </c>
      <c r="X110">
        <v>0.86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1</v>
      </c>
      <c r="AE110">
        <v>2</v>
      </c>
      <c r="AF110" t="s">
        <v>115</v>
      </c>
      <c r="AG110">
        <v>1.075</v>
      </c>
      <c r="AH110">
        <v>2</v>
      </c>
      <c r="AI110">
        <v>55096538</v>
      </c>
      <c r="AJ110">
        <v>111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ht="12.75">
      <c r="A111">
        <f>ROW(Source!A106)</f>
        <v>106</v>
      </c>
      <c r="B111">
        <v>55096539</v>
      </c>
      <c r="C111">
        <v>55096536</v>
      </c>
      <c r="D111">
        <v>49620286</v>
      </c>
      <c r="E111">
        <v>1</v>
      </c>
      <c r="F111">
        <v>1</v>
      </c>
      <c r="G111">
        <v>1</v>
      </c>
      <c r="H111">
        <v>2</v>
      </c>
      <c r="I111" t="s">
        <v>331</v>
      </c>
      <c r="J111" t="s">
        <v>332</v>
      </c>
      <c r="K111" t="s">
        <v>333</v>
      </c>
      <c r="L111">
        <v>1368</v>
      </c>
      <c r="N111">
        <v>1011</v>
      </c>
      <c r="O111" t="s">
        <v>317</v>
      </c>
      <c r="P111" t="s">
        <v>317</v>
      </c>
      <c r="Q111">
        <v>1</v>
      </c>
      <c r="X111">
        <v>0.61</v>
      </c>
      <c r="Y111">
        <v>0</v>
      </c>
      <c r="Z111">
        <v>86.4</v>
      </c>
      <c r="AA111">
        <v>13.5</v>
      </c>
      <c r="AB111">
        <v>0</v>
      </c>
      <c r="AC111">
        <v>0</v>
      </c>
      <c r="AD111">
        <v>1</v>
      </c>
      <c r="AE111">
        <v>0</v>
      </c>
      <c r="AF111" t="s">
        <v>115</v>
      </c>
      <c r="AG111">
        <v>0.7625</v>
      </c>
      <c r="AH111">
        <v>2</v>
      </c>
      <c r="AI111">
        <v>55096539</v>
      </c>
      <c r="AJ111">
        <v>112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</row>
    <row r="112" spans="1:44" ht="12.75">
      <c r="A112">
        <f>ROW(Source!A106)</f>
        <v>106</v>
      </c>
      <c r="B112">
        <v>55096540</v>
      </c>
      <c r="C112">
        <v>55096536</v>
      </c>
      <c r="D112">
        <v>49620344</v>
      </c>
      <c r="E112">
        <v>1</v>
      </c>
      <c r="F112">
        <v>1</v>
      </c>
      <c r="G112">
        <v>1</v>
      </c>
      <c r="H112">
        <v>2</v>
      </c>
      <c r="I112" t="s">
        <v>352</v>
      </c>
      <c r="J112" t="s">
        <v>353</v>
      </c>
      <c r="K112" t="s">
        <v>354</v>
      </c>
      <c r="L112">
        <v>1368</v>
      </c>
      <c r="N112">
        <v>1011</v>
      </c>
      <c r="O112" t="s">
        <v>317</v>
      </c>
      <c r="P112" t="s">
        <v>317</v>
      </c>
      <c r="Q112">
        <v>1</v>
      </c>
      <c r="X112">
        <v>0.1</v>
      </c>
      <c r="Y112">
        <v>0</v>
      </c>
      <c r="Z112">
        <v>115.4</v>
      </c>
      <c r="AA112">
        <v>13.5</v>
      </c>
      <c r="AB112">
        <v>0</v>
      </c>
      <c r="AC112">
        <v>0</v>
      </c>
      <c r="AD112">
        <v>1</v>
      </c>
      <c r="AE112">
        <v>0</v>
      </c>
      <c r="AF112" t="s">
        <v>115</v>
      </c>
      <c r="AG112">
        <v>0.125</v>
      </c>
      <c r="AH112">
        <v>2</v>
      </c>
      <c r="AI112">
        <v>55096540</v>
      </c>
      <c r="AJ112">
        <v>113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 ht="12.75">
      <c r="A113">
        <f>ROW(Source!A106)</f>
        <v>106</v>
      </c>
      <c r="B113">
        <v>55096541</v>
      </c>
      <c r="C113">
        <v>55096536</v>
      </c>
      <c r="D113">
        <v>49621268</v>
      </c>
      <c r="E113">
        <v>1</v>
      </c>
      <c r="F113">
        <v>1</v>
      </c>
      <c r="G113">
        <v>1</v>
      </c>
      <c r="H113">
        <v>2</v>
      </c>
      <c r="I113" t="s">
        <v>345</v>
      </c>
      <c r="J113" t="s">
        <v>346</v>
      </c>
      <c r="K113" t="s">
        <v>347</v>
      </c>
      <c r="L113">
        <v>1368</v>
      </c>
      <c r="N113">
        <v>1011</v>
      </c>
      <c r="O113" t="s">
        <v>317</v>
      </c>
      <c r="P113" t="s">
        <v>317</v>
      </c>
      <c r="Q113">
        <v>1</v>
      </c>
      <c r="X113">
        <v>0.15</v>
      </c>
      <c r="Y113">
        <v>0</v>
      </c>
      <c r="Z113">
        <v>65.71</v>
      </c>
      <c r="AA113">
        <v>11.6</v>
      </c>
      <c r="AB113">
        <v>0</v>
      </c>
      <c r="AC113">
        <v>0</v>
      </c>
      <c r="AD113">
        <v>1</v>
      </c>
      <c r="AE113">
        <v>0</v>
      </c>
      <c r="AF113" t="s">
        <v>115</v>
      </c>
      <c r="AG113">
        <v>0.1875</v>
      </c>
      <c r="AH113">
        <v>2</v>
      </c>
      <c r="AI113">
        <v>55096541</v>
      </c>
      <c r="AJ113">
        <v>114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</row>
    <row r="114" spans="1:44" ht="12.75">
      <c r="A114">
        <f>ROW(Source!A106)</f>
        <v>106</v>
      </c>
      <c r="B114">
        <v>55096542</v>
      </c>
      <c r="C114">
        <v>55096536</v>
      </c>
      <c r="D114">
        <v>49470012</v>
      </c>
      <c r="E114">
        <v>1</v>
      </c>
      <c r="F114">
        <v>1</v>
      </c>
      <c r="G114">
        <v>1</v>
      </c>
      <c r="H114">
        <v>3</v>
      </c>
      <c r="I114" t="s">
        <v>355</v>
      </c>
      <c r="J114" t="s">
        <v>356</v>
      </c>
      <c r="K114" t="s">
        <v>357</v>
      </c>
      <c r="L114">
        <v>1346</v>
      </c>
      <c r="N114">
        <v>1009</v>
      </c>
      <c r="O114" t="s">
        <v>205</v>
      </c>
      <c r="P114" t="s">
        <v>205</v>
      </c>
      <c r="Q114">
        <v>1</v>
      </c>
      <c r="X114">
        <v>32.49</v>
      </c>
      <c r="Y114">
        <v>6.09</v>
      </c>
      <c r="Z114">
        <v>0</v>
      </c>
      <c r="AA114">
        <v>0</v>
      </c>
      <c r="AB114">
        <v>0</v>
      </c>
      <c r="AC114">
        <v>0</v>
      </c>
      <c r="AD114">
        <v>1</v>
      </c>
      <c r="AE114">
        <v>0</v>
      </c>
      <c r="AG114">
        <v>32.49</v>
      </c>
      <c r="AH114">
        <v>2</v>
      </c>
      <c r="AI114">
        <v>55096542</v>
      </c>
      <c r="AJ114">
        <v>115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ht="12.75">
      <c r="A115">
        <f>ROW(Source!A106)</f>
        <v>106</v>
      </c>
      <c r="B115">
        <v>55096543</v>
      </c>
      <c r="C115">
        <v>55096536</v>
      </c>
      <c r="D115">
        <v>49476762</v>
      </c>
      <c r="E115">
        <v>1</v>
      </c>
      <c r="F115">
        <v>1</v>
      </c>
      <c r="G115">
        <v>1</v>
      </c>
      <c r="H115">
        <v>3</v>
      </c>
      <c r="I115" t="s">
        <v>191</v>
      </c>
      <c r="J115" t="s">
        <v>193</v>
      </c>
      <c r="K115" t="s">
        <v>192</v>
      </c>
      <c r="L115">
        <v>1339</v>
      </c>
      <c r="N115">
        <v>1007</v>
      </c>
      <c r="O115" t="s">
        <v>54</v>
      </c>
      <c r="P115" t="s">
        <v>54</v>
      </c>
      <c r="Q115">
        <v>1</v>
      </c>
      <c r="X115">
        <v>0.51</v>
      </c>
      <c r="Y115">
        <v>519.8</v>
      </c>
      <c r="Z115">
        <v>0</v>
      </c>
      <c r="AA115">
        <v>0</v>
      </c>
      <c r="AB115">
        <v>0</v>
      </c>
      <c r="AC115">
        <v>0</v>
      </c>
      <c r="AD115">
        <v>1</v>
      </c>
      <c r="AE115">
        <v>0</v>
      </c>
      <c r="AG115">
        <v>0.51</v>
      </c>
      <c r="AH115">
        <v>2</v>
      </c>
      <c r="AI115">
        <v>55096543</v>
      </c>
      <c r="AJ115">
        <v>116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ht="12.75">
      <c r="A116">
        <f>ROW(Source!A106)</f>
        <v>106</v>
      </c>
      <c r="B116">
        <v>55096544</v>
      </c>
      <c r="C116">
        <v>55096536</v>
      </c>
      <c r="D116">
        <v>49461978</v>
      </c>
      <c r="E116">
        <v>58</v>
      </c>
      <c r="F116">
        <v>1</v>
      </c>
      <c r="G116">
        <v>1</v>
      </c>
      <c r="H116">
        <v>3</v>
      </c>
      <c r="I116" t="s">
        <v>375</v>
      </c>
      <c r="K116" t="s">
        <v>378</v>
      </c>
      <c r="L116">
        <v>1327</v>
      </c>
      <c r="N116">
        <v>1005</v>
      </c>
      <c r="O116" t="s">
        <v>173</v>
      </c>
      <c r="P116" t="s">
        <v>173</v>
      </c>
      <c r="Q116">
        <v>1</v>
      </c>
      <c r="X116">
        <v>252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G116">
        <v>252</v>
      </c>
      <c r="AH116">
        <v>3</v>
      </c>
      <c r="AI116">
        <v>-1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ht="12.75">
      <c r="A117">
        <f>ROW(Source!A113)</f>
        <v>113</v>
      </c>
      <c r="B117">
        <v>55100254</v>
      </c>
      <c r="C117">
        <v>55100253</v>
      </c>
      <c r="D117">
        <v>53630083</v>
      </c>
      <c r="E117">
        <v>70</v>
      </c>
      <c r="F117">
        <v>1</v>
      </c>
      <c r="G117">
        <v>1</v>
      </c>
      <c r="H117">
        <v>1</v>
      </c>
      <c r="I117" t="s">
        <v>360</v>
      </c>
      <c r="K117" t="s">
        <v>361</v>
      </c>
      <c r="L117">
        <v>1191</v>
      </c>
      <c r="N117">
        <v>1013</v>
      </c>
      <c r="O117" t="s">
        <v>311</v>
      </c>
      <c r="P117" t="s">
        <v>311</v>
      </c>
      <c r="Q117">
        <v>1</v>
      </c>
      <c r="X117">
        <v>15.9</v>
      </c>
      <c r="Y117">
        <v>0</v>
      </c>
      <c r="Z117">
        <v>0</v>
      </c>
      <c r="AA117">
        <v>0</v>
      </c>
      <c r="AB117">
        <v>9.07</v>
      </c>
      <c r="AC117">
        <v>0</v>
      </c>
      <c r="AD117">
        <v>1</v>
      </c>
      <c r="AE117">
        <v>1</v>
      </c>
      <c r="AF117" t="s">
        <v>116</v>
      </c>
      <c r="AG117">
        <v>18.285</v>
      </c>
      <c r="AH117">
        <v>2</v>
      </c>
      <c r="AI117">
        <v>55100254</v>
      </c>
      <c r="AJ117">
        <v>119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ht="12.75">
      <c r="A118">
        <f>ROW(Source!A113)</f>
        <v>113</v>
      </c>
      <c r="B118">
        <v>55100255</v>
      </c>
      <c r="C118">
        <v>55100253</v>
      </c>
      <c r="D118">
        <v>53792222</v>
      </c>
      <c r="E118">
        <v>1</v>
      </c>
      <c r="F118">
        <v>1</v>
      </c>
      <c r="G118">
        <v>1</v>
      </c>
      <c r="H118">
        <v>2</v>
      </c>
      <c r="I118" t="s">
        <v>362</v>
      </c>
      <c r="J118" t="s">
        <v>363</v>
      </c>
      <c r="K118" t="s">
        <v>364</v>
      </c>
      <c r="L118">
        <v>1367</v>
      </c>
      <c r="N118">
        <v>1011</v>
      </c>
      <c r="O118" t="s">
        <v>315</v>
      </c>
      <c r="P118" t="s">
        <v>315</v>
      </c>
      <c r="Q118">
        <v>1</v>
      </c>
      <c r="X118">
        <v>7.16</v>
      </c>
      <c r="Y118">
        <v>0</v>
      </c>
      <c r="Z118">
        <v>53.87</v>
      </c>
      <c r="AA118">
        <v>0</v>
      </c>
      <c r="AB118">
        <v>0</v>
      </c>
      <c r="AC118">
        <v>0</v>
      </c>
      <c r="AD118">
        <v>1</v>
      </c>
      <c r="AE118">
        <v>0</v>
      </c>
      <c r="AF118" t="s">
        <v>115</v>
      </c>
      <c r="AG118">
        <v>8.95</v>
      </c>
      <c r="AH118">
        <v>2</v>
      </c>
      <c r="AI118">
        <v>55100255</v>
      </c>
      <c r="AJ118">
        <v>120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ht="12.75">
      <c r="A119">
        <f>ROW(Source!A113)</f>
        <v>113</v>
      </c>
      <c r="B119">
        <v>55100256</v>
      </c>
      <c r="C119">
        <v>55100253</v>
      </c>
      <c r="D119">
        <v>53674604</v>
      </c>
      <c r="E119">
        <v>1</v>
      </c>
      <c r="F119">
        <v>1</v>
      </c>
      <c r="G119">
        <v>1</v>
      </c>
      <c r="H119">
        <v>3</v>
      </c>
      <c r="I119" t="s">
        <v>208</v>
      </c>
      <c r="J119" t="s">
        <v>210</v>
      </c>
      <c r="K119" t="s">
        <v>209</v>
      </c>
      <c r="L119">
        <v>1348</v>
      </c>
      <c r="N119">
        <v>1009</v>
      </c>
      <c r="O119" t="s">
        <v>125</v>
      </c>
      <c r="P119" t="s">
        <v>125</v>
      </c>
      <c r="Q119">
        <v>1000</v>
      </c>
      <c r="X119">
        <v>0.075</v>
      </c>
      <c r="Y119">
        <v>9830</v>
      </c>
      <c r="Z119">
        <v>0</v>
      </c>
      <c r="AA119">
        <v>0</v>
      </c>
      <c r="AB119">
        <v>0</v>
      </c>
      <c r="AC119">
        <v>0</v>
      </c>
      <c r="AD119">
        <v>1</v>
      </c>
      <c r="AE119">
        <v>0</v>
      </c>
      <c r="AG119">
        <v>0.075</v>
      </c>
      <c r="AH119">
        <v>2</v>
      </c>
      <c r="AI119">
        <v>55100256</v>
      </c>
      <c r="AJ119">
        <v>122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</row>
    <row r="120" spans="1:44" ht="12.75">
      <c r="A120">
        <f>ROW(Source!A114)</f>
        <v>114</v>
      </c>
      <c r="B120">
        <v>55100254</v>
      </c>
      <c r="C120">
        <v>55100253</v>
      </c>
      <c r="D120">
        <v>53630083</v>
      </c>
      <c r="E120">
        <v>70</v>
      </c>
      <c r="F120">
        <v>1</v>
      </c>
      <c r="G120">
        <v>1</v>
      </c>
      <c r="H120">
        <v>1</v>
      </c>
      <c r="I120" t="s">
        <v>360</v>
      </c>
      <c r="K120" t="s">
        <v>361</v>
      </c>
      <c r="L120">
        <v>1191</v>
      </c>
      <c r="N120">
        <v>1013</v>
      </c>
      <c r="O120" t="s">
        <v>311</v>
      </c>
      <c r="P120" t="s">
        <v>311</v>
      </c>
      <c r="Q120">
        <v>1</v>
      </c>
      <c r="X120">
        <v>15.9</v>
      </c>
      <c r="Y120">
        <v>0</v>
      </c>
      <c r="Z120">
        <v>0</v>
      </c>
      <c r="AA120">
        <v>0</v>
      </c>
      <c r="AB120">
        <v>9.07</v>
      </c>
      <c r="AC120">
        <v>0</v>
      </c>
      <c r="AD120">
        <v>1</v>
      </c>
      <c r="AE120">
        <v>1</v>
      </c>
      <c r="AF120" t="s">
        <v>116</v>
      </c>
      <c r="AG120">
        <v>18.285</v>
      </c>
      <c r="AH120">
        <v>2</v>
      </c>
      <c r="AI120">
        <v>55100254</v>
      </c>
      <c r="AJ120">
        <v>123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</row>
    <row r="121" spans="1:44" ht="12.75">
      <c r="A121">
        <f>ROW(Source!A114)</f>
        <v>114</v>
      </c>
      <c r="B121">
        <v>55100255</v>
      </c>
      <c r="C121">
        <v>55100253</v>
      </c>
      <c r="D121">
        <v>53792222</v>
      </c>
      <c r="E121">
        <v>1</v>
      </c>
      <c r="F121">
        <v>1</v>
      </c>
      <c r="G121">
        <v>1</v>
      </c>
      <c r="H121">
        <v>2</v>
      </c>
      <c r="I121" t="s">
        <v>362</v>
      </c>
      <c r="J121" t="s">
        <v>363</v>
      </c>
      <c r="K121" t="s">
        <v>364</v>
      </c>
      <c r="L121">
        <v>1367</v>
      </c>
      <c r="N121">
        <v>1011</v>
      </c>
      <c r="O121" t="s">
        <v>315</v>
      </c>
      <c r="P121" t="s">
        <v>315</v>
      </c>
      <c r="Q121">
        <v>1</v>
      </c>
      <c r="X121">
        <v>7.16</v>
      </c>
      <c r="Y121">
        <v>0</v>
      </c>
      <c r="Z121">
        <v>53.87</v>
      </c>
      <c r="AA121">
        <v>0</v>
      </c>
      <c r="AB121">
        <v>0</v>
      </c>
      <c r="AC121">
        <v>0</v>
      </c>
      <c r="AD121">
        <v>1</v>
      </c>
      <c r="AE121">
        <v>0</v>
      </c>
      <c r="AF121" t="s">
        <v>115</v>
      </c>
      <c r="AG121">
        <v>8.95</v>
      </c>
      <c r="AH121">
        <v>2</v>
      </c>
      <c r="AI121">
        <v>55100255</v>
      </c>
      <c r="AJ121">
        <v>124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</row>
    <row r="122" spans="1:44" ht="12.75">
      <c r="A122">
        <f>ROW(Source!A114)</f>
        <v>114</v>
      </c>
      <c r="B122">
        <v>55100256</v>
      </c>
      <c r="C122">
        <v>55100253</v>
      </c>
      <c r="D122">
        <v>53674604</v>
      </c>
      <c r="E122">
        <v>1</v>
      </c>
      <c r="F122">
        <v>1</v>
      </c>
      <c r="G122">
        <v>1</v>
      </c>
      <c r="H122">
        <v>3</v>
      </c>
      <c r="I122" t="s">
        <v>208</v>
      </c>
      <c r="J122" t="s">
        <v>210</v>
      </c>
      <c r="K122" t="s">
        <v>209</v>
      </c>
      <c r="L122">
        <v>1348</v>
      </c>
      <c r="N122">
        <v>1009</v>
      </c>
      <c r="O122" t="s">
        <v>125</v>
      </c>
      <c r="P122" t="s">
        <v>125</v>
      </c>
      <c r="Q122">
        <v>1000</v>
      </c>
      <c r="X122">
        <v>0.075</v>
      </c>
      <c r="Y122">
        <v>9830</v>
      </c>
      <c r="Z122">
        <v>0</v>
      </c>
      <c r="AA122">
        <v>0</v>
      </c>
      <c r="AB122">
        <v>0</v>
      </c>
      <c r="AC122">
        <v>0</v>
      </c>
      <c r="AD122">
        <v>1</v>
      </c>
      <c r="AE122">
        <v>0</v>
      </c>
      <c r="AG122">
        <v>0.075</v>
      </c>
      <c r="AH122">
        <v>2</v>
      </c>
      <c r="AI122">
        <v>55100256</v>
      </c>
      <c r="AJ122">
        <v>126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</row>
    <row r="123" spans="1:44" ht="12.75">
      <c r="A123">
        <f>ROW(Source!A119)</f>
        <v>119</v>
      </c>
      <c r="B123">
        <v>55100262</v>
      </c>
      <c r="C123">
        <v>55100261</v>
      </c>
      <c r="D123">
        <v>53630095</v>
      </c>
      <c r="E123">
        <v>70</v>
      </c>
      <c r="F123">
        <v>1</v>
      </c>
      <c r="G123">
        <v>1</v>
      </c>
      <c r="H123">
        <v>1</v>
      </c>
      <c r="I123" t="s">
        <v>365</v>
      </c>
      <c r="K123" t="s">
        <v>366</v>
      </c>
      <c r="L123">
        <v>1191</v>
      </c>
      <c r="N123">
        <v>1013</v>
      </c>
      <c r="O123" t="s">
        <v>311</v>
      </c>
      <c r="P123" t="s">
        <v>311</v>
      </c>
      <c r="Q123">
        <v>1</v>
      </c>
      <c r="X123">
        <v>19</v>
      </c>
      <c r="Y123">
        <v>0</v>
      </c>
      <c r="Z123">
        <v>0</v>
      </c>
      <c r="AA123">
        <v>0</v>
      </c>
      <c r="AB123">
        <v>9.29</v>
      </c>
      <c r="AC123">
        <v>0</v>
      </c>
      <c r="AD123">
        <v>1</v>
      </c>
      <c r="AE123">
        <v>1</v>
      </c>
      <c r="AF123" t="s">
        <v>116</v>
      </c>
      <c r="AG123">
        <v>21.849999999999998</v>
      </c>
      <c r="AH123">
        <v>2</v>
      </c>
      <c r="AI123">
        <v>55100262</v>
      </c>
      <c r="AJ123">
        <v>127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 ht="12.75">
      <c r="A124">
        <f>ROW(Source!A119)</f>
        <v>119</v>
      </c>
      <c r="B124">
        <v>55100263</v>
      </c>
      <c r="C124">
        <v>55100261</v>
      </c>
      <c r="D124">
        <v>53792222</v>
      </c>
      <c r="E124">
        <v>1</v>
      </c>
      <c r="F124">
        <v>1</v>
      </c>
      <c r="G124">
        <v>1</v>
      </c>
      <c r="H124">
        <v>2</v>
      </c>
      <c r="I124" t="s">
        <v>362</v>
      </c>
      <c r="J124" t="s">
        <v>363</v>
      </c>
      <c r="K124" t="s">
        <v>364</v>
      </c>
      <c r="L124">
        <v>1367</v>
      </c>
      <c r="N124">
        <v>1011</v>
      </c>
      <c r="O124" t="s">
        <v>315</v>
      </c>
      <c r="P124" t="s">
        <v>315</v>
      </c>
      <c r="Q124">
        <v>1</v>
      </c>
      <c r="X124">
        <v>8.55</v>
      </c>
      <c r="Y124">
        <v>0</v>
      </c>
      <c r="Z124">
        <v>53.87</v>
      </c>
      <c r="AA124">
        <v>0</v>
      </c>
      <c r="AB124">
        <v>0</v>
      </c>
      <c r="AC124">
        <v>0</v>
      </c>
      <c r="AD124">
        <v>1</v>
      </c>
      <c r="AE124">
        <v>0</v>
      </c>
      <c r="AF124" t="s">
        <v>115</v>
      </c>
      <c r="AG124">
        <v>10.6875</v>
      </c>
      <c r="AH124">
        <v>2</v>
      </c>
      <c r="AI124">
        <v>55100263</v>
      </c>
      <c r="AJ124">
        <v>128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</row>
    <row r="125" spans="1:44" ht="12.75">
      <c r="A125">
        <f>ROW(Source!A119)</f>
        <v>119</v>
      </c>
      <c r="B125">
        <v>55100264</v>
      </c>
      <c r="C125">
        <v>55100261</v>
      </c>
      <c r="D125">
        <v>53674604</v>
      </c>
      <c r="E125">
        <v>1</v>
      </c>
      <c r="F125">
        <v>1</v>
      </c>
      <c r="G125">
        <v>1</v>
      </c>
      <c r="H125">
        <v>3</v>
      </c>
      <c r="I125" t="s">
        <v>208</v>
      </c>
      <c r="J125" t="s">
        <v>210</v>
      </c>
      <c r="K125" t="s">
        <v>209</v>
      </c>
      <c r="L125">
        <v>1348</v>
      </c>
      <c r="N125">
        <v>1009</v>
      </c>
      <c r="O125" t="s">
        <v>125</v>
      </c>
      <c r="P125" t="s">
        <v>125</v>
      </c>
      <c r="Q125">
        <v>1000</v>
      </c>
      <c r="X125">
        <v>0.085</v>
      </c>
      <c r="Y125">
        <v>9830</v>
      </c>
      <c r="Z125">
        <v>0</v>
      </c>
      <c r="AA125">
        <v>0</v>
      </c>
      <c r="AB125">
        <v>0</v>
      </c>
      <c r="AC125">
        <v>0</v>
      </c>
      <c r="AD125">
        <v>1</v>
      </c>
      <c r="AE125">
        <v>0</v>
      </c>
      <c r="AG125">
        <v>0.085</v>
      </c>
      <c r="AH125">
        <v>2</v>
      </c>
      <c r="AI125">
        <v>55100264</v>
      </c>
      <c r="AJ125">
        <v>130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</row>
    <row r="126" spans="1:44" ht="12.75">
      <c r="A126">
        <f>ROW(Source!A120)</f>
        <v>120</v>
      </c>
      <c r="B126">
        <v>55100262</v>
      </c>
      <c r="C126">
        <v>55100261</v>
      </c>
      <c r="D126">
        <v>53630095</v>
      </c>
      <c r="E126">
        <v>70</v>
      </c>
      <c r="F126">
        <v>1</v>
      </c>
      <c r="G126">
        <v>1</v>
      </c>
      <c r="H126">
        <v>1</v>
      </c>
      <c r="I126" t="s">
        <v>365</v>
      </c>
      <c r="K126" t="s">
        <v>366</v>
      </c>
      <c r="L126">
        <v>1191</v>
      </c>
      <c r="N126">
        <v>1013</v>
      </c>
      <c r="O126" t="s">
        <v>311</v>
      </c>
      <c r="P126" t="s">
        <v>311</v>
      </c>
      <c r="Q126">
        <v>1</v>
      </c>
      <c r="X126">
        <v>19</v>
      </c>
      <c r="Y126">
        <v>0</v>
      </c>
      <c r="Z126">
        <v>0</v>
      </c>
      <c r="AA126">
        <v>0</v>
      </c>
      <c r="AB126">
        <v>9.29</v>
      </c>
      <c r="AC126">
        <v>0</v>
      </c>
      <c r="AD126">
        <v>1</v>
      </c>
      <c r="AE126">
        <v>1</v>
      </c>
      <c r="AF126" t="s">
        <v>116</v>
      </c>
      <c r="AG126">
        <v>21.849999999999998</v>
      </c>
      <c r="AH126">
        <v>2</v>
      </c>
      <c r="AI126">
        <v>55100262</v>
      </c>
      <c r="AJ126">
        <v>131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</row>
    <row r="127" spans="1:44" ht="12.75">
      <c r="A127">
        <f>ROW(Source!A120)</f>
        <v>120</v>
      </c>
      <c r="B127">
        <v>55100263</v>
      </c>
      <c r="C127">
        <v>55100261</v>
      </c>
      <c r="D127">
        <v>53792222</v>
      </c>
      <c r="E127">
        <v>1</v>
      </c>
      <c r="F127">
        <v>1</v>
      </c>
      <c r="G127">
        <v>1</v>
      </c>
      <c r="H127">
        <v>2</v>
      </c>
      <c r="I127" t="s">
        <v>362</v>
      </c>
      <c r="J127" t="s">
        <v>363</v>
      </c>
      <c r="K127" t="s">
        <v>364</v>
      </c>
      <c r="L127">
        <v>1367</v>
      </c>
      <c r="N127">
        <v>1011</v>
      </c>
      <c r="O127" t="s">
        <v>315</v>
      </c>
      <c r="P127" t="s">
        <v>315</v>
      </c>
      <c r="Q127">
        <v>1</v>
      </c>
      <c r="X127">
        <v>8.55</v>
      </c>
      <c r="Y127">
        <v>0</v>
      </c>
      <c r="Z127">
        <v>53.87</v>
      </c>
      <c r="AA127">
        <v>0</v>
      </c>
      <c r="AB127">
        <v>0</v>
      </c>
      <c r="AC127">
        <v>0</v>
      </c>
      <c r="AD127">
        <v>1</v>
      </c>
      <c r="AE127">
        <v>0</v>
      </c>
      <c r="AF127" t="s">
        <v>115</v>
      </c>
      <c r="AG127">
        <v>10.6875</v>
      </c>
      <c r="AH127">
        <v>2</v>
      </c>
      <c r="AI127">
        <v>55100263</v>
      </c>
      <c r="AJ127">
        <v>132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 ht="12.75">
      <c r="A128">
        <f>ROW(Source!A120)</f>
        <v>120</v>
      </c>
      <c r="B128">
        <v>55100264</v>
      </c>
      <c r="C128">
        <v>55100261</v>
      </c>
      <c r="D128">
        <v>53674604</v>
      </c>
      <c r="E128">
        <v>1</v>
      </c>
      <c r="F128">
        <v>1</v>
      </c>
      <c r="G128">
        <v>1</v>
      </c>
      <c r="H128">
        <v>3</v>
      </c>
      <c r="I128" t="s">
        <v>208</v>
      </c>
      <c r="J128" t="s">
        <v>210</v>
      </c>
      <c r="K128" t="s">
        <v>209</v>
      </c>
      <c r="L128">
        <v>1348</v>
      </c>
      <c r="N128">
        <v>1009</v>
      </c>
      <c r="O128" t="s">
        <v>125</v>
      </c>
      <c r="P128" t="s">
        <v>125</v>
      </c>
      <c r="Q128">
        <v>1000</v>
      </c>
      <c r="X128">
        <v>0.085</v>
      </c>
      <c r="Y128">
        <v>9830</v>
      </c>
      <c r="Z128">
        <v>0</v>
      </c>
      <c r="AA128">
        <v>0</v>
      </c>
      <c r="AB128">
        <v>0</v>
      </c>
      <c r="AC128">
        <v>0</v>
      </c>
      <c r="AD128">
        <v>1</v>
      </c>
      <c r="AE128">
        <v>0</v>
      </c>
      <c r="AG128">
        <v>0.085</v>
      </c>
      <c r="AH128">
        <v>2</v>
      </c>
      <c r="AI128">
        <v>55100264</v>
      </c>
      <c r="AJ128">
        <v>134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  <row r="129" spans="1:44" ht="12.75">
      <c r="A129">
        <f>ROW(Source!A160)</f>
        <v>160</v>
      </c>
      <c r="B129">
        <v>55096184</v>
      </c>
      <c r="C129">
        <v>55096181</v>
      </c>
      <c r="D129">
        <v>44800161</v>
      </c>
      <c r="E129">
        <v>54</v>
      </c>
      <c r="F129">
        <v>1</v>
      </c>
      <c r="G129">
        <v>1</v>
      </c>
      <c r="H129">
        <v>1</v>
      </c>
      <c r="I129" t="s">
        <v>367</v>
      </c>
      <c r="K129" t="s">
        <v>368</v>
      </c>
      <c r="L129">
        <v>1191</v>
      </c>
      <c r="N129">
        <v>1013</v>
      </c>
      <c r="O129" t="s">
        <v>311</v>
      </c>
      <c r="P129" t="s">
        <v>311</v>
      </c>
      <c r="Q129">
        <v>1</v>
      </c>
      <c r="X129">
        <v>1.03</v>
      </c>
      <c r="Y129">
        <v>0</v>
      </c>
      <c r="Z129">
        <v>0</v>
      </c>
      <c r="AA129">
        <v>0</v>
      </c>
      <c r="AB129">
        <v>7.19</v>
      </c>
      <c r="AC129">
        <v>0</v>
      </c>
      <c r="AD129">
        <v>1</v>
      </c>
      <c r="AE129">
        <v>1</v>
      </c>
      <c r="AG129">
        <v>1.03</v>
      </c>
      <c r="AH129">
        <v>2</v>
      </c>
      <c r="AI129">
        <v>55096182</v>
      </c>
      <c r="AJ129">
        <v>135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</row>
    <row r="130" spans="1:44" ht="12.75">
      <c r="A130">
        <f>ROW(Source!A160)</f>
        <v>160</v>
      </c>
      <c r="B130">
        <v>55096185</v>
      </c>
      <c r="C130">
        <v>55096181</v>
      </c>
      <c r="D130">
        <v>44816375</v>
      </c>
      <c r="E130">
        <v>1</v>
      </c>
      <c r="F130">
        <v>1</v>
      </c>
      <c r="G130">
        <v>1</v>
      </c>
      <c r="H130">
        <v>3</v>
      </c>
      <c r="I130" t="s">
        <v>369</v>
      </c>
      <c r="J130" t="s">
        <v>370</v>
      </c>
      <c r="K130" t="s">
        <v>371</v>
      </c>
      <c r="L130">
        <v>1425</v>
      </c>
      <c r="N130">
        <v>1013</v>
      </c>
      <c r="O130" t="s">
        <v>372</v>
      </c>
      <c r="P130" t="s">
        <v>372</v>
      </c>
      <c r="Q130">
        <v>1</v>
      </c>
      <c r="X130">
        <v>0.2</v>
      </c>
      <c r="Y130">
        <v>82</v>
      </c>
      <c r="Z130">
        <v>0</v>
      </c>
      <c r="AA130">
        <v>0</v>
      </c>
      <c r="AB130">
        <v>0</v>
      </c>
      <c r="AC130">
        <v>0</v>
      </c>
      <c r="AD130">
        <v>1</v>
      </c>
      <c r="AE130">
        <v>0</v>
      </c>
      <c r="AG130">
        <v>0.2</v>
      </c>
      <c r="AH130">
        <v>2</v>
      </c>
      <c r="AI130">
        <v>55096183</v>
      </c>
      <c r="AJ130">
        <v>136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</row>
    <row r="131" spans="1:44" ht="12.75">
      <c r="A131">
        <f>ROW(Source!A161)</f>
        <v>161</v>
      </c>
      <c r="B131">
        <v>55096184</v>
      </c>
      <c r="C131">
        <v>55096181</v>
      </c>
      <c r="D131">
        <v>44800161</v>
      </c>
      <c r="E131">
        <v>54</v>
      </c>
      <c r="F131">
        <v>1</v>
      </c>
      <c r="G131">
        <v>1</v>
      </c>
      <c r="H131">
        <v>1</v>
      </c>
      <c r="I131" t="s">
        <v>367</v>
      </c>
      <c r="K131" t="s">
        <v>368</v>
      </c>
      <c r="L131">
        <v>1191</v>
      </c>
      <c r="N131">
        <v>1013</v>
      </c>
      <c r="O131" t="s">
        <v>311</v>
      </c>
      <c r="P131" t="s">
        <v>311</v>
      </c>
      <c r="Q131">
        <v>1</v>
      </c>
      <c r="X131">
        <v>1.03</v>
      </c>
      <c r="Y131">
        <v>0</v>
      </c>
      <c r="Z131">
        <v>0</v>
      </c>
      <c r="AA131">
        <v>0</v>
      </c>
      <c r="AB131">
        <v>7.19</v>
      </c>
      <c r="AC131">
        <v>0</v>
      </c>
      <c r="AD131">
        <v>1</v>
      </c>
      <c r="AE131">
        <v>1</v>
      </c>
      <c r="AG131">
        <v>1.03</v>
      </c>
      <c r="AH131">
        <v>2</v>
      </c>
      <c r="AI131">
        <v>55096182</v>
      </c>
      <c r="AJ131">
        <v>137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</row>
    <row r="132" spans="1:44" ht="12.75">
      <c r="A132">
        <f>ROW(Source!A161)</f>
        <v>161</v>
      </c>
      <c r="B132">
        <v>55096185</v>
      </c>
      <c r="C132">
        <v>55096181</v>
      </c>
      <c r="D132">
        <v>44816375</v>
      </c>
      <c r="E132">
        <v>1</v>
      </c>
      <c r="F132">
        <v>1</v>
      </c>
      <c r="G132">
        <v>1</v>
      </c>
      <c r="H132">
        <v>3</v>
      </c>
      <c r="I132" t="s">
        <v>369</v>
      </c>
      <c r="J132" t="s">
        <v>370</v>
      </c>
      <c r="K132" t="s">
        <v>371</v>
      </c>
      <c r="L132">
        <v>1425</v>
      </c>
      <c r="N132">
        <v>1013</v>
      </c>
      <c r="O132" t="s">
        <v>372</v>
      </c>
      <c r="P132" t="s">
        <v>372</v>
      </c>
      <c r="Q132">
        <v>1</v>
      </c>
      <c r="X132">
        <v>0.2</v>
      </c>
      <c r="Y132">
        <v>82</v>
      </c>
      <c r="Z132">
        <v>0</v>
      </c>
      <c r="AA132">
        <v>0</v>
      </c>
      <c r="AB132">
        <v>0</v>
      </c>
      <c r="AC132">
        <v>0</v>
      </c>
      <c r="AD132">
        <v>1</v>
      </c>
      <c r="AE132">
        <v>0</v>
      </c>
      <c r="AG132">
        <v>0.2</v>
      </c>
      <c r="AH132">
        <v>2</v>
      </c>
      <c r="AI132">
        <v>55096183</v>
      </c>
      <c r="AJ132">
        <v>138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2022-07-08T09:41:28Z</cp:lastPrinted>
  <dcterms:created xsi:type="dcterms:W3CDTF">2022-06-30T12:11:13Z</dcterms:created>
  <dcterms:modified xsi:type="dcterms:W3CDTF">2022-07-18T12:41:44Z</dcterms:modified>
  <cp:category/>
  <cp:version/>
  <cp:contentType/>
  <cp:contentStatus/>
</cp:coreProperties>
</file>