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Смета для ТЕР МО 421пр (12" sheetId="1" r:id="rId1"/>
    <sheet name="Ведомость объемов работ" sheetId="2" r:id="rId2"/>
    <sheet name="Дефектная ведомость" sheetId="3" r:id="rId3"/>
    <sheet name="Source" sheetId="4" r:id="rId4"/>
    <sheet name="SourceObSm" sheetId="5" r:id="rId5"/>
    <sheet name="SmtRes" sheetId="6" r:id="rId6"/>
    <sheet name="EtalonRes" sheetId="7" r:id="rId7"/>
  </sheets>
  <definedNames>
    <definedName name="_xlnm.Print_Titles" localSheetId="1">'Ведомость объемов работ'!$17:$17</definedName>
    <definedName name="_xlnm.Print_Titles" localSheetId="2">'Дефектная ведомость'!$18:$18</definedName>
    <definedName name="_xlnm.Print_Titles" localSheetId="0">'Смета для ТЕР МО 421пр (12'!$47:$47</definedName>
    <definedName name="_xlnm.Print_Area" localSheetId="1">'Ведомость объемов работ'!$A$1:$H$52</definedName>
    <definedName name="_xlnm.Print_Area" localSheetId="2">'Дефектная ведомость'!$A$1:$E$53</definedName>
    <definedName name="_xlnm.Print_Area" localSheetId="0">'Смета для ТЕР МО 421пр (12'!$A$2:$L$268</definedName>
  </definedNames>
  <calcPr fullCalcOnLoad="1"/>
</workbook>
</file>

<file path=xl/sharedStrings.xml><?xml version="1.0" encoding="utf-8"?>
<sst xmlns="http://schemas.openxmlformats.org/spreadsheetml/2006/main" count="4832" uniqueCount="493">
  <si>
    <t>Smeta.RU  (495) 974-1589</t>
  </si>
  <si>
    <t>_PS_</t>
  </si>
  <si>
    <t>Smeta.RU</t>
  </si>
  <si>
    <t/>
  </si>
  <si>
    <t>Ремонт коридора 6 эт. строения 1 (ЛПК)</t>
  </si>
  <si>
    <t>Степанова А.М.</t>
  </si>
  <si>
    <t>Ведущий инженер РеСО</t>
  </si>
  <si>
    <t>Покшин В.И.</t>
  </si>
  <si>
    <t>Заведующий РеСО</t>
  </si>
  <si>
    <t>Муравьев К.В.</t>
  </si>
  <si>
    <t>Главный инженер</t>
  </si>
  <si>
    <t>ИПУ РАН</t>
  </si>
  <si>
    <t>Сметные нормы списания</t>
  </si>
  <si>
    <t>Коды ценников</t>
  </si>
  <si>
    <t>ФЕР-2020 И9 приказы НР № 812/пр, СП № 774/пр</t>
  </si>
  <si>
    <t>Версия 1.7.0 ГСН (ГЭСН, ФЕР) и ТЕР (Методики НР (812/пр, 636/пр, 611/пр) и СП (774/пр и 317/пр) применять с 08.01.2023 г.)</t>
  </si>
  <si>
    <t>ФЕР-2020 - изменения И9</t>
  </si>
  <si>
    <t>Поправки для ГСН (ФЕР) 2020 от 11.09.2022 г И9 (в ред. 557/пр) Капитальный ремонт жилых и общественных зданий</t>
  </si>
  <si>
    <t>ГСН</t>
  </si>
  <si>
    <t>Новый раздел</t>
  </si>
  <si>
    <t>Ремонтные работы</t>
  </si>
  <si>
    <t>1</t>
  </si>
  <si>
    <t>63-15-1</t>
  </si>
  <si>
    <t>Разборка элементов облицовки потолков с разборкой каркаса (Применительно)</t>
  </si>
  <si>
    <t>100 м2</t>
  </si>
  <si>
    <t>ФЕРр-2001 доп.6, 63-15-1, приказ Минстроя России № 320/пр от 24.05.2021</t>
  </si>
  <si>
    <t>Ремонтно-строительные работы</t>
  </si>
  <si>
    <t>Стекольные, обойные и облицовочные работы</t>
  </si>
  <si>
    <t>Стекольные, обойные, облицовочные работы</t>
  </si>
  <si>
    <t>рФЕР-63</t>
  </si>
  <si>
    <t>Пр/812-097.0-1</t>
  </si>
  <si>
    <t>Пр/774-097.0</t>
  </si>
  <si>
    <t>Письмо Минстроя России от 28.11.2023 № 73528-ИФ/09</t>
  </si>
  <si>
    <t>1,1</t>
  </si>
  <si>
    <t>999-9899</t>
  </si>
  <si>
    <t>Строительный мусор и масса возвратных материалов</t>
  </si>
  <si>
    <t>т</t>
  </si>
  <si>
    <t>2</t>
  </si>
  <si>
    <t>15-01-047-15</t>
  </si>
  <si>
    <t>Устройство потолков: плитно-ячеистых по каркасу из оцинкованного профиля</t>
  </si>
  <si>
    <t>ФЕР-2001 доп.4, 15-01-047-15, приказ Минстроя России № 635/пр от 20.10.2020</t>
  </si>
  <si>
    <t>)*1,25</t>
  </si>
  <si>
    <t>)*1,15)*1,1</t>
  </si>
  <si>
    <t>)*0,9</t>
  </si>
  <si>
    <t>)*0,85</t>
  </si>
  <si>
    <t>Общестроительные работы</t>
  </si>
  <si>
    <t>Отделочные работы</t>
  </si>
  <si>
    <t>ФЕР-15</t>
  </si>
  <si>
    <t>Поправка: М-ка 421/пр 04.08.20 п.58 п.п. б)  Поправка: Сб. 15, пр. 15.10</t>
  </si>
  <si>
    <t>Пр/812-015.0-1</t>
  </si>
  <si>
    <t>Пр/774-015.0</t>
  </si>
  <si>
    <t>2,1</t>
  </si>
  <si>
    <t>Материал Заказчика</t>
  </si>
  <si>
    <t>Основная направляющая, 24х35х3700 мм., цвет белый</t>
  </si>
  <si>
    <t>ШТ</t>
  </si>
  <si>
    <t>занесена вручную</t>
  </si>
  <si>
    <t>2,2</t>
  </si>
  <si>
    <t>Дюбель-гвоздь тип 2</t>
  </si>
  <si>
    <t>2,3</t>
  </si>
  <si>
    <t>Основная направляющая (профиль главный) "Асбес", цвет белый, 3700х29х24мм.</t>
  </si>
  <si>
    <t>2,4</t>
  </si>
  <si>
    <t>Поперечная планка, 24х28х1200 мм., цвет белый</t>
  </si>
  <si>
    <t>2,5</t>
  </si>
  <si>
    <t>Поперечный профиль "Асбес", цвет белый, длина 1200мм.</t>
  </si>
  <si>
    <t>2,6</t>
  </si>
  <si>
    <t>Поперечная планка, 24х28х600 мм., цвет белый</t>
  </si>
  <si>
    <t>2,7</t>
  </si>
  <si>
    <t>Поперечный профиль тип "Асбес", цвет белый, длина 600мм.</t>
  </si>
  <si>
    <t>2,8</t>
  </si>
  <si>
    <t>Угол периметральный (пристенный) 19х3000 мм., цвет белый</t>
  </si>
  <si>
    <t>2,9</t>
  </si>
  <si>
    <t>Плита потолочная, 595х595х10 мм., цвет белый</t>
  </si>
  <si>
    <t>м2</t>
  </si>
  <si>
    <t>2,10</t>
  </si>
  <si>
    <t>Плита потолочная "Байкал", белая 600х600 мм.</t>
  </si>
  <si>
    <t>2,11</t>
  </si>
  <si>
    <t>01.6.04.02-0011</t>
  </si>
  <si>
    <t>Панели потолочные с комплектующими</t>
  </si>
  <si>
    <t>ФССЦ-2001, 01.6.04.02-0011, приказ Минстроя России № 876/пр от 26.12.2019</t>
  </si>
  <si>
    <t>2,12</t>
  </si>
  <si>
    <t>3</t>
  </si>
  <si>
    <t>61-2-1</t>
  </si>
  <si>
    <t>Ремонт штукатурки внутренних стен по камню известковым раствором площадью отдельных мест до 1 м2 толщиной слоя до 20 мм</t>
  </si>
  <si>
    <t>ФЕРр-2001, 61-2-1, приказ Минстроя России №1039/пр от 30.12.2016г.</t>
  </si>
  <si>
    <t>Штукатурные работы</t>
  </si>
  <si>
    <t>рФЕР-61</t>
  </si>
  <si>
    <t>Пр/812-095.0-1</t>
  </si>
  <si>
    <t>Пр/774-095.0</t>
  </si>
  <si>
    <t>3,1</t>
  </si>
  <si>
    <t>01.7.07.07</t>
  </si>
  <si>
    <t>Строительный мусор</t>
  </si>
  <si>
    <t>4</t>
  </si>
  <si>
    <t>15-04-005-03</t>
  </si>
  <si>
    <t>Окраска поливинилацетатными водоэмульсионными составами улучшенная: по штукатурке стен</t>
  </si>
  <si>
    <t>ФЕР-2001, 15-04-005-03, приказ Минстроя России № 876/пр от 26.12.2019</t>
  </si>
  <si>
    <t>)*1,15</t>
  </si>
  <si>
    <t>Поправка: М-ка 421/пр 04.08.20 п.58 п.п. б)</t>
  </si>
  <si>
    <t>4,1</t>
  </si>
  <si>
    <t>14.3.02.01-0015</t>
  </si>
  <si>
    <t>Краска акриловая: Alpina ULTRAWEISS, CAPAROL водно-дисперсионная</t>
  </si>
  <si>
    <t>ФССЦ-2001, 14.3.02.01-0015, приказ Минстроя России № 876/пр от 26.12.2019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</si>
  <si>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</si>
  <si>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</si>
  <si>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</si>
  <si>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</si>
  <si>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</si>
  <si>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</si>
  <si>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</si>
  <si>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</si>
  <si>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</si>
  <si>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</si>
  <si>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</si>
  <si>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</si>
  <si>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</si>
  <si>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</si>
  <si>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</si>
  <si>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</si>
  <si>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</si>
  <si>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</si>
  <si>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</si>
  <si>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</si>
  <si>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</si>
  <si>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</si>
  <si>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</si>
  <si>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</si>
  <si>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</si>
  <si>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</si>
  <si>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</si>
  <si>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</si>
  <si>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</si>
  <si>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</si>
  <si>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</si>
  <si>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</si>
  <si>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</si>
  <si>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</si>
  <si>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</si>
  <si>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</si>
  <si>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</si>
  <si>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</si>
  <si>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</si>
  <si>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</si>
  <si>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</si>
  <si>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</si>
  <si>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</si>
  <si>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</si>
  <si>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</si>
  <si>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</si>
  <si>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</si>
  <si>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</si>
  <si>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</si>
  <si>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</si>
  <si>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</si>
  <si>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</si>
  <si>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</si>
  <si>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</si>
  <si>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Пожарные шкафы</t>
  </si>
  <si>
    <t>5</t>
  </si>
  <si>
    <t>10-01-059-01</t>
  </si>
  <si>
    <t>Демонтаж встроенных пожарных шкафов (Применительно)</t>
  </si>
  <si>
    <t>100 ШТ</t>
  </si>
  <si>
    <t>ФЕР-2001, 10-01-059-01, приказ Минстроя России № 876/пр от 26.12.2019</t>
  </si>
  <si>
    <t>Поправка: МР 571/пр Табл.2, п.4  Наименование: При демонтаже (разборке) металлических конструкций</t>
  </si>
  <si>
    <t>)*0</t>
  </si>
  <si>
    <t>)*0,7</t>
  </si>
  <si>
    <t>Деревянные конструкции</t>
  </si>
  <si>
    <t>ФЕР-10</t>
  </si>
  <si>
    <t>Поправка: МР 571/пр Табл.2, п.4</t>
  </si>
  <si>
    <t>Пр/812-010.0-1</t>
  </si>
  <si>
    <t>Пр/774-010.0</t>
  </si>
  <si>
    <t>6</t>
  </si>
  <si>
    <t>16-08-001-01</t>
  </si>
  <si>
    <t>Установка шкафов металлических для санитарно-технических систем: на стене или в нише массой до 10 кг</t>
  </si>
  <si>
    <t>ФЕР-2001 доп.6, 16-08-001-01, приказ Минстроя России № 321/пр от 24.05.2021</t>
  </si>
  <si>
    <t>Сантехнические работы: внутренние трубопроводы, внутренние устройства водопровода, канализации, отопления, газоснабжения, вентиляция  кондиционирование воздуха</t>
  </si>
  <si>
    <t>Трубопроводы внутренние</t>
  </si>
  <si>
    <t>ФЕР-16</t>
  </si>
  <si>
    <t>Пр/812-016.0-1</t>
  </si>
  <si>
    <t>Пр/774-016.0</t>
  </si>
  <si>
    <t>6,1</t>
  </si>
  <si>
    <t>Шкаф пожарный ШП-К-310ВЗБ, 00-000000000015053</t>
  </si>
  <si>
    <t>Разные работы</t>
  </si>
  <si>
    <t>7</t>
  </si>
  <si>
    <t>69-9-1</t>
  </si>
  <si>
    <t>Очистка помещений от строительного мусора</t>
  </si>
  <si>
    <t>100 т</t>
  </si>
  <si>
    <t>ФЕРр-2001, 69-9-1, приказ Минстроя России № 876/пр от 26.12.2019</t>
  </si>
  <si>
    <t>Прочие ремонтно-строительные работы</t>
  </si>
  <si>
    <t>рФЕР-69</t>
  </si>
  <si>
    <t>Пр/812-103.0-1</t>
  </si>
  <si>
    <t>Пр/774-103.0</t>
  </si>
  <si>
    <t>7,1</t>
  </si>
  <si>
    <t>8</t>
  </si>
  <si>
    <t>69-15-1</t>
  </si>
  <si>
    <t>Затаривание строительного мусора в мешки</t>
  </si>
  <si>
    <t>ФЕРр-2001, 69-15-1, приказ Минстроя России № 876/пр от 26.12.2019</t>
  </si>
  <si>
    <t>9</t>
  </si>
  <si>
    <t>т03-02-01-050</t>
  </si>
  <si>
    <t>Перевозка грузов I класса автомобилями бортовыми грузоподъемностью до 5 т на расстояние: до 50 км</t>
  </si>
  <si>
    <t>1 Т ГРУЗА</t>
  </si>
  <si>
    <t>ФССЦпг-2001, т03-02-01-050, приказ Минстроя России №876/пр от 26.12.2019</t>
  </si>
  <si>
    <t>Автомобили бортовые</t>
  </si>
  <si>
    <t>Перевозка строительных грузов автомобильным транспортом</t>
  </si>
  <si>
    <t>ФССЦпр , изм. 7</t>
  </si>
  <si>
    <t>Всего материалов</t>
  </si>
  <si>
    <t>итог1</t>
  </si>
  <si>
    <t>итого по разделу</t>
  </si>
  <si>
    <t>итог 2</t>
  </si>
  <si>
    <t>НДС 20%</t>
  </si>
  <si>
    <t>Всего по смете</t>
  </si>
  <si>
    <t>Итого по смете</t>
  </si>
  <si>
    <t>Итого</t>
  </si>
  <si>
    <t>Итого1</t>
  </si>
  <si>
    <t>Итого2</t>
  </si>
  <si>
    <t>111</t>
  </si>
  <si>
    <t>Новая переменная</t>
  </si>
  <si>
    <t>Переменная_1</t>
  </si>
  <si>
    <t>Переменная_2</t>
  </si>
  <si>
    <t>СТР_РЕК</t>
  </si>
  <si>
    <t>СТРОИТЕЛЬСТВО и РЕКОНСТРУКЦИЯ  зданий и сооружений всех назначений</t>
  </si>
  <si>
    <t>Строительство и реконструкция</t>
  </si>
  <si>
    <t>РЕМ_ЖИЛ</t>
  </si>
  <si>
    <t>КАП. РЕМ. ЖИЛЫХ И ОБЩЕСТВЕННЫХ ЗДАНИЙ</t>
  </si>
  <si>
    <t>Капитальный ремонт жилых и общественных зданий</t>
  </si>
  <si>
    <t>РЕМ_ПР</t>
  </si>
  <si>
    <t>КАП. РЕМ. ПРОИЗВОДСТВЕННЫХ ЗД. и СООРУЖЕНИЙ,  НАРУЖНЫХ ИНЖЕНЕРНЫХ СЕТЕЙ, УЛИЦ И ДОРОГ МЕСТНОГО ЗНАЧЕНИЯ, ИНЖ,СООРУЖЕНИЙ ( ГИДРОТЕХ,СООРУЖ, МОСТОВ И ПУТЕПРОВОДОВ И Т.П.)</t>
  </si>
  <si>
    <t>Капитальный ремонт прозводственных зданий</t>
  </si>
  <si>
    <t>Территория</t>
  </si>
  <si>
    <t>для территории Российской Федерации, не относящейся к районам Крайнего Севера и приравненным к ним местностям</t>
  </si>
  <si>
    <t>МПРКС</t>
  </si>
  <si>
    <t>для территории Российской Федерации, относящейся к местностям, приравненным к районам Крайнего Севера</t>
  </si>
  <si>
    <t>РКС</t>
  </si>
  <si>
    <t>для территории Российской Федерации, относящейся к районам Крайнего Севера</t>
  </si>
  <si>
    <t>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</si>
  <si>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АЭС.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</si>
  <si>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</si>
  <si>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Сложные объекты</t>
  </si>
  <si>
    <t>СТНДРТ</t>
  </si>
  <si>
    <t>При определении сметной стоимости строительства объектов капитального строительства (за исключением АЭС).</t>
  </si>
  <si>
    <t>АЭС_ПНР</t>
  </si>
  <si>
    <t>При определении сметной стоимости строительства объектов капитального строительства АЭС. Пусконаладочные работы (за исключением технологического оборудования АЭС).</t>
  </si>
  <si>
    <t>АЭС_ПНР_ТЕХ</t>
  </si>
  <si>
    <t>При определении сметной стоимости строительства объектов капитального строительства АЭС. Пусконаладочные работы технологического оборудования АЭС.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</si>
  <si>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</si>
  <si>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АЭС</t>
  </si>
  <si>
    <t>ОПТ/В</t>
  </si>
  <si>
    <t>{вкл}    - Прокладка  МЕЖДУГОРОДНЫХ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</si>
  <si>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</si>
  <si>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Прокладка междугородных в/опт. кабелей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</si>
  <si>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</si>
  <si>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</si>
  <si>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</si>
  <si>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Диспетчеризация авитранспорта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</si>
  <si>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</si>
  <si>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</si>
  <si>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</si>
  <si>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Производство работ закрытым способом (обслуживающие процессы)</t>
  </si>
  <si>
    <t>ГОР</t>
  </si>
  <si>
    <t>(вкл) - ФЕРм-08, выполнение работ на горнорудных объектах  (выкл) - ФЕРм-08, выполнение работ на других объектах</t>
  </si>
  <si>
    <t>Выполнение работ на горнорудных объектах</t>
  </si>
  <si>
    <t>ОБ_ПР</t>
  </si>
  <si>
    <t>Объект производственного назначения</t>
  </si>
  <si>
    <t>ОБ_НПР</t>
  </si>
  <si>
    <t>Объект непроизводственного назначения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</si>
  <si>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</si>
  <si>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</si>
  <si>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</si>
  <si>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п.25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</si>
  <si>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</si>
  <si>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</si>
  <si>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</si>
  <si>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п.16</t>
  </si>
  <si>
    <t>К_НР_СЛЖ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</si>
  <si>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объектов атомных электрических станций.  ( если {СЛЖ} = [вкл] )</t>
  </si>
  <si>
    <t>п.27 СЛОЖН</t>
  </si>
  <si>
    <t>К_НР_АЭС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</si>
  <si>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Для объектов атомных электрических станций.  ( если {АЭС} = [вкл] )</t>
  </si>
  <si>
    <t>п.27 АЭС</t>
  </si>
  <si>
    <t>Р_ОКР</t>
  </si>
  <si>
    <t>Разрядность округления результата расчета НР и СП  (с 05.04.2020 - до семи знаков после запятой)</t>
  </si>
  <si>
    <t>Лист_НРиСП</t>
  </si>
  <si>
    <t>Базовый уровень цен</t>
  </si>
  <si>
    <t>Текущий уровень цен</t>
  </si>
  <si>
    <t>Индексы за итогом</t>
  </si>
  <si>
    <t>_OBSM_</t>
  </si>
  <si>
    <t>1-100-29</t>
  </si>
  <si>
    <t>Затраты труда рабочих (Средний разряд - 2,9)</t>
  </si>
  <si>
    <t>чел.-ч.</t>
  </si>
  <si>
    <t>1-100-38</t>
  </si>
  <si>
    <t>Затраты труда рабочих (Средний разряд - 3,8)</t>
  </si>
  <si>
    <t>4-100-00</t>
  </si>
  <si>
    <t>Затраты труда машинистов</t>
  </si>
  <si>
    <t>91.06.06-048</t>
  </si>
  <si>
    <t>ФСЭМ-2001, 91.06.06-048 , приказ Минстроя России № 876/пр от 26.12.2019</t>
  </si>
  <si>
    <t>Подъемники одномачтовые, грузоподъемность до 500 кг, высота подъема 45 м</t>
  </si>
  <si>
    <t>маш.-ч.</t>
  </si>
  <si>
    <t>91.14.02-001</t>
  </si>
  <si>
    <t>ФСЭМ-2001, 91.14.02-001 , приказ Минстроя России № 876/пр от 26.12.2019</t>
  </si>
  <si>
    <t>Автомобили бортовые, грузоподъемность до 5 т</t>
  </si>
  <si>
    <t>1-100-33</t>
  </si>
  <si>
    <t>Рабочий среднего разряда 3.3</t>
  </si>
  <si>
    <t>ФСЭМ-2001, 91.06.06-048, приказ Минстроя России №1039/пр от 30.12.2016г.</t>
  </si>
  <si>
    <t>маш.-ч</t>
  </si>
  <si>
    <t>01.7.03.01-0001</t>
  </si>
  <si>
    <t>ФССЦ-2001, 01.7.03.01-0001, приказ Минстроя России №1039/пр от 30.12.2016г.</t>
  </si>
  <si>
    <t>Вода</t>
  </si>
  <si>
    <t>м3</t>
  </si>
  <si>
    <t>04.3.01.07-0012</t>
  </si>
  <si>
    <t>ФССЦ-2001, 04.3.01.07-0012, приказ Минстроя России №1039/пр от 30.12.2016г.</t>
  </si>
  <si>
    <t>Раствор готовый отделочный тяжелый, известковый 1:2,5</t>
  </si>
  <si>
    <t>1-100-34</t>
  </si>
  <si>
    <t>Затраты труда рабочих (Средний разряд - 3,4)</t>
  </si>
  <si>
    <t>01.7.17.11-0011</t>
  </si>
  <si>
    <t>ФССЦ-2001, 01.7.17.11-0011, приказ Минстроя России № 876/пр от 26.12.2019</t>
  </si>
  <si>
    <t>Шкурка шлифовальная двухслойная с зернистостью 40-25</t>
  </si>
  <si>
    <t>01.7.20.08-0051</t>
  </si>
  <si>
    <t>ФССЦ-2001, 01.7.20.08-0051, приказ Минстроя России № 876/пр от 26.12.2019</t>
  </si>
  <si>
    <t>Ветошь</t>
  </si>
  <si>
    <t>кг</t>
  </si>
  <si>
    <t>14.5.11.01-0001</t>
  </si>
  <si>
    <t>ФССЦ-2001, 14.5.11.01-0001, приказ Минстроя России № 876/пр от 26.12.2019</t>
  </si>
  <si>
    <t>Шпатлевка клеевая</t>
  </si>
  <si>
    <t>1-100-23</t>
  </si>
  <si>
    <t>Затраты труда рабочих (Средний разряд - 2,3)</t>
  </si>
  <si>
    <t>01.7.15.06-0111</t>
  </si>
  <si>
    <t>ФССЦ-2001, 01.7.15.06-0111, приказ Минстроя России № 876/пр от 26.12.2019</t>
  </si>
  <si>
    <t>Гвозди строительные</t>
  </si>
  <si>
    <t>08.1.02.11-0001</t>
  </si>
  <si>
    <t>ФССЦ-2001, 08.1.02.11-0001, приказ Минстроя России № 876/пр от 26.12.2019</t>
  </si>
  <si>
    <t>Поковки из квадратных заготовок, масса 1,8 кг</t>
  </si>
  <si>
    <t>11.2.07.12-0011</t>
  </si>
  <si>
    <t>ФССЦ-2001, 11.2.07.12-0011, приказ Минстроя России № 876/пр от 26.12.2019</t>
  </si>
  <si>
    <t>Штапик (раскладка), размер 19x19 мм</t>
  </si>
  <si>
    <t>м</t>
  </si>
  <si>
    <t>91.05.05-015</t>
  </si>
  <si>
    <t>ФСЭМ-2001, 91.05.05-015 , приказ Минстроя России № 876/пр от 26.12.2019</t>
  </si>
  <si>
    <t>Краны на автомобильном ходу, грузоподъемность 16 т</t>
  </si>
  <si>
    <t>01.7.03.04-0001</t>
  </si>
  <si>
    <t>ФССЦ-2001, 01.7.03.04-0001, приказ Минстроя России № 876/пр от 26.12.2019</t>
  </si>
  <si>
    <t>Электроэнергия</t>
  </si>
  <si>
    <t>КВТ-Ч</t>
  </si>
  <si>
    <t>01.7.15.07-0025</t>
  </si>
  <si>
    <t>ФССЦ-2001, 01.7.15.07-0025, приказ Минстроя России № 876/пр от 26.12.2019</t>
  </si>
  <si>
    <t>Дюбели распорные полиэтиленовые, размер 10x40 мм</t>
  </si>
  <si>
    <t>1000 ШТ</t>
  </si>
  <si>
    <t>01.7.15.14-0051</t>
  </si>
  <si>
    <t>ФССЦ-2001, 01.7.15.14-0051, приказ Минстроя России № 876/пр от 26.12.2019</t>
  </si>
  <si>
    <t>Шуруп строительный с потайной головкой</t>
  </si>
  <si>
    <t>1-100-11</t>
  </si>
  <si>
    <t>Рабочий среднего разряда 1.1</t>
  </si>
  <si>
    <t>1-100-10</t>
  </si>
  <si>
    <t>Рабочий среднего разряда 1</t>
  </si>
  <si>
    <t>14.3.02.01</t>
  </si>
  <si>
    <t>Краска водоэмульсионная</t>
  </si>
  <si>
    <t>11.2.07.12</t>
  </si>
  <si>
    <t>Изделия штучные</t>
  </si>
  <si>
    <t>01.7.17.09</t>
  </si>
  <si>
    <t>Сверла, буры</t>
  </si>
  <si>
    <t>18.3.02.02</t>
  </si>
  <si>
    <t>Шкафы пожарные</t>
  </si>
  <si>
    <t>999-9900</t>
  </si>
  <si>
    <t>01.7.20.03-0003</t>
  </si>
  <si>
    <t>ФССЦ-2001, 01.7.20.03-0003, приказ Минстроя России № 876/пр от 26.12.2019</t>
  </si>
  <si>
    <t>Мешки полипропиленовые (50 кг)</t>
  </si>
  <si>
    <t>ГОСУДАРСТВЕННЫЕ СМЕТНЫЕ НОРМАТИВЫ (ФЕР-2020), утвержденные приказами Минстроя России от 26 декабря 2019 г.   № 876/пр (в редакции приказов Минстроя РФ от 30 марта 2020 г. № 172/пр, от 1 июня 2020 г. № 294/пр, от 30 июня 2020 г. № 352/пр,   от 20 октября 2020 г. № 636/пр, от 9 февраля 2021 г. № 51/пр, от 24 мая 2021 г. № 321/пр, от 24 июня 2021 г. № 408/пр,  от 14 октября 2021 № 746/пр, от 20 декабря 2021 № 962/пр)</t>
  </si>
  <si>
    <t>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  Поправка: Сб. 15, п.1.15.31  Наименование: Устройство подвесных потолков типа "Армстронг" с криволинейными очертаниями в плане радиусом до 2-х метров</t>
  </si>
  <si>
    <t>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</t>
  </si>
  <si>
    <t>"СОГЛАСОВАНО"</t>
  </si>
  <si>
    <t>"УТВЕРЖДАЮ"</t>
  </si>
  <si>
    <t>"_____"________________ 2024 г.</t>
  </si>
  <si>
    <t>Главный инженер ИПУ РАН</t>
  </si>
  <si>
    <t>(наименование стройки)</t>
  </si>
  <si>
    <t>(наименование объекта капитального строительства)</t>
  </si>
  <si>
    <t>(наименование конструктивного решения)</t>
  </si>
  <si>
    <t>Составлен</t>
  </si>
  <si>
    <t>метод</t>
  </si>
  <si>
    <t>Основание</t>
  </si>
  <si>
    <t>(проектная и (или) иная техническая документация)</t>
  </si>
  <si>
    <t>Сметная стоимость</t>
  </si>
  <si>
    <t>тыс. руб.</t>
  </si>
  <si>
    <t>Средства на оплату труда</t>
  </si>
  <si>
    <t>в том числе:</t>
  </si>
  <si>
    <t>рабочих</t>
  </si>
  <si>
    <t xml:space="preserve"> </t>
  </si>
  <si>
    <t>строительных работ</t>
  </si>
  <si>
    <t xml:space="preserve">Нормативные затраты труда рабочих </t>
  </si>
  <si>
    <t xml:space="preserve">монтажных работ    </t>
  </si>
  <si>
    <t xml:space="preserve">Нормативные затраты труда машинистов </t>
  </si>
  <si>
    <t xml:space="preserve">оборудования         </t>
  </si>
  <si>
    <t>Расчетный измеритель</t>
  </si>
  <si>
    <t xml:space="preserve">прочих затрат       </t>
  </si>
  <si>
    <t>конструктивного решения</t>
  </si>
  <si>
    <t>№ п/п</t>
  </si>
  <si>
    <t>Обоснование</t>
  </si>
  <si>
    <t>Наименование работ и затрат</t>
  </si>
  <si>
    <t>Единица измерения</t>
  </si>
  <si>
    <t>Количество</t>
  </si>
  <si>
    <t>Сметная стоимость в базисном уровне цен (в текущем уровне цен (гр.8) для ресурсов, отсутствующих в СНБ), руб.</t>
  </si>
  <si>
    <t>Индексы</t>
  </si>
  <si>
    <t>Сметная стоимость в текущем уровне цен, руб.</t>
  </si>
  <si>
    <t>на единицу</t>
  </si>
  <si>
    <t>коэффициенты</t>
  </si>
  <si>
    <r>
      <t>всего с учетом коэффицие</t>
    </r>
    <r>
      <rPr>
        <sz val="10"/>
        <color indexed="8"/>
        <rFont val="Arial"/>
        <family val="2"/>
      </rPr>
      <t>нтов</t>
    </r>
  </si>
  <si>
    <t>всего</t>
  </si>
  <si>
    <t>Наименование программного продукта: Программа для ЭВМ «Программа: «SmetaRu» версия 11»</t>
  </si>
  <si>
    <t>Базисно-индексный</t>
  </si>
  <si>
    <t>Составлена в ценах IV квартал 2023 года (1.01.2000)</t>
  </si>
  <si>
    <t>Раздел: Ремонтные работы</t>
  </si>
  <si>
    <t>ФЕРр 63-15-1</t>
  </si>
  <si>
    <t>ОТ</t>
  </si>
  <si>
    <t>ЭМ</t>
  </si>
  <si>
    <t>в т.ч. ОТм</t>
  </si>
  <si>
    <t>М</t>
  </si>
  <si>
    <t>ЗТ</t>
  </si>
  <si>
    <t>чел-ч</t>
  </si>
  <si>
    <t>ЗТм</t>
  </si>
  <si>
    <t>Итого по расценке</t>
  </si>
  <si>
    <t>ФОТ</t>
  </si>
  <si>
    <t>НР Стекольные, обойные, облицовочные работы</t>
  </si>
  <si>
    <t>%</t>
  </si>
  <si>
    <t>СП Стекольные, обойные, облицовочные работы</t>
  </si>
  <si>
    <t>Всего по позиции</t>
  </si>
  <si>
    <t>ФЕР 15-01-047-15</t>
  </si>
  <si>
    <r>
      <t>Устройство потолков: плитно-ячеистых по каркасу из оцинкованного профиля</t>
    </r>
    <r>
      <rPr>
        <i/>
        <sz val="10"/>
        <rFont val="Arial"/>
        <family val="2"/>
      </rPr>
      <t xml:space="preserve">
Поправки к: 
ЭМ )*1,25;   
ОТм )*1,25;   
ОТ )*1,15)*1,1;   
ЗТ )*1,15)*1,1;   
ЗТм )*1,25;   
НР )*0,9;   
СП )*0,85</t>
    </r>
  </si>
  <si>
    <t>ФССЦ 01.6.04.02-0011</t>
  </si>
  <si>
    <t>Исключен
Панели потолочные с комплектующими</t>
  </si>
  <si>
    <t>Пр/812-015.0-1;
п.25</t>
  </si>
  <si>
    <t>НР Отделочные работы</t>
  </si>
  <si>
    <t>Пр/774-015.0;
п.16</t>
  </si>
  <si>
    <t>СП Отделочные работы</t>
  </si>
  <si>
    <t>ФЕРр 61-2-1</t>
  </si>
  <si>
    <t>НР Штукатурные работы</t>
  </si>
  <si>
    <t>СП Штукатурные работы</t>
  </si>
  <si>
    <t>ФЕР 15-04-005-03</t>
  </si>
  <si>
    <r>
      <t>Окраска поливинилацетатными водоэмульсионными составами улучшенная: по штукатурке стен</t>
    </r>
    <r>
      <rPr>
        <i/>
        <sz val="10"/>
        <rFont val="Arial"/>
        <family val="2"/>
      </rPr>
      <t xml:space="preserve">
Поправки к: 
ЭМ )*1,25;   
ОТм )*1,25;   
ОТ )*1,15;   
ЗТ )*1,15;   
ЗТм )*1,25;   
НР )*0,9;   
СП )*0,85</t>
    </r>
  </si>
  <si>
    <t>ФССЦ 14.3.02.01-0015</t>
  </si>
  <si>
    <t>Итого прямые затраты по разделу (в базисном и текущем уровнях цен)</t>
  </si>
  <si>
    <t>в том числе</t>
  </si>
  <si>
    <t xml:space="preserve">   оплата труда</t>
  </si>
  <si>
    <t xml:space="preserve">   эксплуатация машин и механизмов</t>
  </si>
  <si>
    <t xml:space="preserve">   материальные ресурсы</t>
  </si>
  <si>
    <t xml:space="preserve">   перевозка</t>
  </si>
  <si>
    <t>Итого ФОТ (в базисном и текущем уровне цен)(справочно)</t>
  </si>
  <si>
    <t>Итого накладные расходы (в базисном и текущем уровне цен)</t>
  </si>
  <si>
    <t>Итого сметная прибыль (в базисном и текущем уровне цен)</t>
  </si>
  <si>
    <t>Итого оборудование (в базисном и текущем уровне цен)</t>
  </si>
  <si>
    <t>Итого прочие затраты (в базисном и текущем уровне цен)</t>
  </si>
  <si>
    <t>Итого по разделу (в базисном и текущем уровне цен)</t>
  </si>
  <si>
    <t>справочно</t>
  </si>
  <si>
    <t xml:space="preserve">   материальные ресурсы, отсутствующие в СНБ (в текущем уровне цен)</t>
  </si>
  <si>
    <t xml:space="preserve">   оборудование, отсутствующие в СНБ (в текущем уровне цен)</t>
  </si>
  <si>
    <t>Раздел: Пожарные шкафы</t>
  </si>
  <si>
    <t>ФЕР 10-01-059-01</t>
  </si>
  <si>
    <r>
      <t>Демонтаж встроенных пожарных шкафов (Применительно)</t>
    </r>
    <r>
      <rPr>
        <i/>
        <sz val="10"/>
        <rFont val="Arial"/>
        <family val="2"/>
      </rPr>
      <t xml:space="preserve">
Поправки к: 
М )*0;   
ЭМ )*0,7;   
ОТм )*0,7;   
ОТ )*0,7;   
ЗТ )*0,7;   
ЗТм )*0,7</t>
    </r>
  </si>
  <si>
    <t>НР Деревянные конструкции</t>
  </si>
  <si>
    <t>СП Деревянные конструкции</t>
  </si>
  <si>
    <t>ФЕР 16-08-001-01</t>
  </si>
  <si>
    <t>НР Сантехнические работы: внутренние трубопроводы, внутренние устройства водопровода, канализации, отопления, газоснабжения, вентиляция  кондиционирование воздуха</t>
  </si>
  <si>
    <t>СП Сантехнические работы: внутренние трубопроводы, внутренние устройства водопровода, канализации, отопления, газоснабжения, вентиляция  кондиционирование воздуха</t>
  </si>
  <si>
    <t>Раздел: Разные работы</t>
  </si>
  <si>
    <t>ФЕРр 69-9-1</t>
  </si>
  <si>
    <t>НР Прочие ремонтно-строительные работы</t>
  </si>
  <si>
    <t>СП Прочие ремонтно-строительные работы</t>
  </si>
  <si>
    <t>ФЕРр 69-15-1</t>
  </si>
  <si>
    <t>ФССЦ 03-02-01-050</t>
  </si>
  <si>
    <t>НР Перевозка строительных грузов автомобильным транспортом</t>
  </si>
  <si>
    <t>СП Перевозка строительных грузов автомобильным транспортом</t>
  </si>
  <si>
    <t>ВСЕГО по смете (в базисном и текущем уровнях цен)</t>
  </si>
  <si>
    <t>ВСЕГО прямые затраты по смете</t>
  </si>
  <si>
    <t>Всего ФОТ (справочно)</t>
  </si>
  <si>
    <t>Всего накладные расходы</t>
  </si>
  <si>
    <t>Всего сметная прибыль</t>
  </si>
  <si>
    <t>Всего оборудование</t>
  </si>
  <si>
    <t>Всего прочие затраты</t>
  </si>
  <si>
    <t>НДС</t>
  </si>
  <si>
    <t>ВСЕГО с НДС</t>
  </si>
  <si>
    <t xml:space="preserve">Составил   </t>
  </si>
  <si>
    <t>[должность,подпись(инициалы,фамилия)]</t>
  </si>
  <si>
    <t xml:space="preserve">Проверил   </t>
  </si>
  <si>
    <t>___________________________</t>
  </si>
  <si>
    <t>" ___ " ___________ 20 ___ г.</t>
  </si>
  <si>
    <t>№ в ЛСР</t>
  </si>
  <si>
    <t>Ссылка на чертежи, спецификации</t>
  </si>
  <si>
    <t>Формула расчета, расчет объемов работ и расхода материалов</t>
  </si>
  <si>
    <t>Примечание</t>
  </si>
  <si>
    <t>Главный инженер проекта _________________</t>
  </si>
  <si>
    <t>Составил _________________</t>
  </si>
  <si>
    <t xml:space="preserve">Мы, нижеподписавшиеся, произвели осмотр объекта </t>
  </si>
  <si>
    <t xml:space="preserve">и постановили произвести ремонт объекта в </t>
  </si>
  <si>
    <t>следующем объеме:</t>
  </si>
  <si>
    <t>Заказчик _________________</t>
  </si>
  <si>
    <t>Подрядчик _________________</t>
  </si>
  <si>
    <t>Выполнение работ по текущему ремонту коридора 6 этажа строения № 1 ИПУ РАН</t>
  </si>
  <si>
    <t>Приложение № 1 к Техническому заданию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</si>
</sst>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;[Red]\-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Arial"/>
      <family val="0"/>
    </font>
    <font>
      <sz val="10"/>
      <color indexed="18"/>
      <name val="Arial"/>
      <family val="0"/>
    </font>
    <font>
      <b/>
      <sz val="10"/>
      <color indexed="16"/>
      <name val="Arial"/>
      <family val="0"/>
    </font>
    <font>
      <b/>
      <sz val="10"/>
      <color indexed="20"/>
      <name val="Arial"/>
      <family val="0"/>
    </font>
    <font>
      <b/>
      <sz val="10"/>
      <color indexed="17"/>
      <name val="Arial"/>
      <family val="0"/>
    </font>
    <font>
      <b/>
      <sz val="10"/>
      <color indexed="14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10"/>
      <color indexed="16"/>
      <name val="Arial"/>
      <family val="0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16" fillId="0" borderId="0" xfId="0" applyFont="1" applyBorder="1" applyAlignment="1">
      <alignment vertical="top" wrapText="1"/>
    </xf>
    <xf numFmtId="0" fontId="19" fillId="0" borderId="0" xfId="0" applyFont="1" applyAlignment="1">
      <alignment/>
    </xf>
    <xf numFmtId="14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0" xfId="0" applyFont="1" applyAlignment="1">
      <alignment/>
    </xf>
    <xf numFmtId="164" fontId="15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65" fontId="15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0" fontId="15" fillId="0" borderId="10" xfId="0" applyFont="1" applyBorder="1" applyAlignment="1">
      <alignment/>
    </xf>
    <xf numFmtId="165" fontId="0" fillId="0" borderId="0" xfId="0" applyNumberFormat="1" applyAlignment="1">
      <alignment/>
    </xf>
    <xf numFmtId="0" fontId="20" fillId="0" borderId="0" xfId="0" applyFont="1" applyAlignment="1">
      <alignment vertical="top" wrapText="1"/>
    </xf>
    <xf numFmtId="165" fontId="0" fillId="0" borderId="0" xfId="0" applyNumberFormat="1" applyFont="1" applyAlignment="1">
      <alignment horizontal="right"/>
    </xf>
    <xf numFmtId="165" fontId="15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22" fillId="0" borderId="0" xfId="0" applyFont="1" applyAlignment="1">
      <alignment horizontal="right" wrapText="1"/>
    </xf>
    <xf numFmtId="0" fontId="15" fillId="0" borderId="0" xfId="0" applyFont="1" applyAlignment="1">
      <alignment horizontal="right"/>
    </xf>
    <xf numFmtId="165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 wrapText="1"/>
    </xf>
    <xf numFmtId="165" fontId="22" fillId="0" borderId="0" xfId="0" applyNumberFormat="1" applyFont="1" applyAlignment="1">
      <alignment horizontal="right"/>
    </xf>
    <xf numFmtId="0" fontId="22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right"/>
    </xf>
    <xf numFmtId="165" fontId="15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horizontal="right" wrapTex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165" fontId="15" fillId="0" borderId="0" xfId="0" applyNumberFormat="1" applyFont="1" applyAlignment="1">
      <alignment horizontal="right" vertical="center"/>
    </xf>
    <xf numFmtId="9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vertical="top" wrapText="1"/>
    </xf>
    <xf numFmtId="0" fontId="15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right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 vertical="top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wrapText="1"/>
    </xf>
    <xf numFmtId="0" fontId="15" fillId="0" borderId="12" xfId="0" applyFont="1" applyBorder="1" applyAlignment="1">
      <alignment horizontal="right" wrapText="1"/>
    </xf>
    <xf numFmtId="0" fontId="15" fillId="0" borderId="12" xfId="0" applyFont="1" applyBorder="1" applyAlignment="1">
      <alignment horizontal="right"/>
    </xf>
    <xf numFmtId="0" fontId="15" fillId="0" borderId="13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wrapText="1"/>
    </xf>
    <xf numFmtId="0" fontId="15" fillId="0" borderId="13" xfId="0" applyFont="1" applyBorder="1" applyAlignment="1">
      <alignment horizontal="right" wrapText="1"/>
    </xf>
    <xf numFmtId="0" fontId="15" fillId="0" borderId="13" xfId="0" applyFont="1" applyBorder="1" applyAlignment="1">
      <alignment horizontal="right"/>
    </xf>
    <xf numFmtId="2" fontId="15" fillId="0" borderId="0" xfId="0" applyNumberFormat="1" applyFont="1" applyAlignment="1">
      <alignment horizontal="right"/>
    </xf>
    <xf numFmtId="2" fontId="15" fillId="0" borderId="10" xfId="0" applyNumberFormat="1" applyFont="1" applyBorder="1" applyAlignment="1">
      <alignment horizontal="right"/>
    </xf>
    <xf numFmtId="2" fontId="15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14" fillId="0" borderId="10" xfId="0" applyFont="1" applyBorder="1" applyAlignment="1">
      <alignment horizontal="center" wrapText="1"/>
    </xf>
    <xf numFmtId="0" fontId="16" fillId="0" borderId="14" xfId="0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center" vertical="top" wrapText="1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14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2" fillId="0" borderId="14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165" fontId="17" fillId="0" borderId="14" xfId="0" applyNumberFormat="1" applyFont="1" applyBorder="1" applyAlignment="1">
      <alignment horizontal="right"/>
    </xf>
    <xf numFmtId="0" fontId="13" fillId="0" borderId="13" xfId="0" applyFont="1" applyBorder="1" applyAlignment="1">
      <alignment horizontal="center" wrapText="1"/>
    </xf>
    <xf numFmtId="0" fontId="17" fillId="0" borderId="0" xfId="0" applyFont="1" applyBorder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267"/>
  <sheetViews>
    <sheetView tabSelected="1" zoomScale="70" zoomScaleNormal="70" zoomScalePageLayoutView="0" workbookViewId="0" topLeftCell="A1">
      <selection activeCell="CY29" sqref="CY29"/>
    </sheetView>
  </sheetViews>
  <sheetFormatPr defaultColWidth="9.140625" defaultRowHeight="12.75"/>
  <cols>
    <col min="1" max="1" width="5.7109375" style="0" customWidth="1"/>
    <col min="2" max="2" width="20.7109375" style="0" customWidth="1"/>
    <col min="3" max="3" width="40.7109375" style="0" customWidth="1"/>
    <col min="4" max="4" width="10.7109375" style="0" customWidth="1"/>
    <col min="5" max="12" width="14.7109375" style="0" customWidth="1"/>
    <col min="15" max="93" width="0" style="0" hidden="1" customWidth="1"/>
    <col min="94" max="94" width="190.7109375" style="0" hidden="1" customWidth="1"/>
    <col min="95" max="95" width="109.7109375" style="0" hidden="1" customWidth="1"/>
    <col min="96" max="99" width="0" style="0" hidden="1" customWidth="1"/>
  </cols>
  <sheetData>
    <row r="1" spans="8:12" ht="12.75">
      <c r="H1" s="101" t="s">
        <v>492</v>
      </c>
      <c r="I1" s="101"/>
      <c r="J1" s="101"/>
      <c r="K1" s="101"/>
      <c r="L1" s="101"/>
    </row>
    <row r="2" ht="12.75">
      <c r="A2" s="12" t="str">
        <f>Source!B1</f>
        <v>Smeta.RU  (495) 974-1589</v>
      </c>
    </row>
    <row r="4" spans="1:12" ht="16.5">
      <c r="A4" s="13"/>
      <c r="B4" s="106" t="s">
        <v>366</v>
      </c>
      <c r="C4" s="106"/>
      <c r="D4" s="106"/>
      <c r="E4" s="106"/>
      <c r="F4" s="14"/>
      <c r="G4" s="14"/>
      <c r="H4" s="106" t="s">
        <v>367</v>
      </c>
      <c r="I4" s="106"/>
      <c r="J4" s="106"/>
      <c r="K4" s="106"/>
      <c r="L4" s="106"/>
    </row>
    <row r="5" spans="1:12" ht="14.25">
      <c r="A5" s="14"/>
      <c r="B5" s="107"/>
      <c r="C5" s="107"/>
      <c r="D5" s="107"/>
      <c r="E5" s="107"/>
      <c r="F5" s="14"/>
      <c r="G5" s="14"/>
      <c r="H5" s="107" t="s">
        <v>369</v>
      </c>
      <c r="I5" s="107"/>
      <c r="J5" s="107"/>
      <c r="K5" s="107"/>
      <c r="L5" s="107"/>
    </row>
    <row r="6" spans="1:12" ht="14.25">
      <c r="A6" s="15"/>
      <c r="B6" s="15"/>
      <c r="C6" s="16"/>
      <c r="D6" s="16"/>
      <c r="E6" s="16"/>
      <c r="F6" s="14"/>
      <c r="G6" s="14"/>
      <c r="H6" s="17"/>
      <c r="I6" s="16"/>
      <c r="J6" s="16"/>
      <c r="K6" s="16"/>
      <c r="L6" s="17"/>
    </row>
    <row r="7" spans="1:12" ht="14.25">
      <c r="A7" s="17"/>
      <c r="B7" s="107" t="str">
        <f>CONCATENATE("______________________ ",IF(Source!AL12&lt;&gt;"",Source!AL12,""))</f>
        <v>______________________ </v>
      </c>
      <c r="C7" s="107"/>
      <c r="D7" s="107"/>
      <c r="E7" s="107"/>
      <c r="F7" s="14"/>
      <c r="G7" s="14"/>
      <c r="H7" s="107" t="str">
        <f>CONCATENATE("______________________ ",IF(Source!AH12&lt;&gt;"",Source!AH12,""))</f>
        <v>______________________ Муравьев К.В.</v>
      </c>
      <c r="I7" s="107"/>
      <c r="J7" s="107"/>
      <c r="K7" s="107"/>
      <c r="L7" s="107"/>
    </row>
    <row r="8" spans="1:12" ht="14.25">
      <c r="A8" s="18"/>
      <c r="B8" s="102" t="s">
        <v>368</v>
      </c>
      <c r="C8" s="102"/>
      <c r="D8" s="102"/>
      <c r="E8" s="102"/>
      <c r="F8" s="14"/>
      <c r="G8" s="14"/>
      <c r="H8" s="102" t="s">
        <v>368</v>
      </c>
      <c r="I8" s="102"/>
      <c r="J8" s="102"/>
      <c r="K8" s="102"/>
      <c r="L8" s="102"/>
    </row>
    <row r="11" spans="1:94" ht="38.25">
      <c r="A11" s="103" t="str">
        <f>Source!CQ12</f>
        <v>ГОСУДАРСТВЕННЫЕ СМЕТНЫЕ НОРМАТИВЫ (ФЕР-2020), утвержденные приказами Минстроя России от 26 декабря 2019 г.   № 876/пр (в редакции приказов Минстроя РФ от 30 марта 2020 г. № 172/пр, от 1 июня 2020 г. № 294/пр, от 30 июня 2020 г. № 352/пр,   от 20 октября 2020 г. № 636/пр, от 9 февраля 2021 г. № 51/пр, от 24 мая 2021 г. № 321/пр, от 24 июня 2021 г. № 408/пр,  от 14 октября 2021 № 746/пр, от 20 декабря 2021 № 962/пр)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CP11" s="75" t="str">
        <f>Source!CQ12</f>
        <v>ГОСУДАРСТВЕННЫЕ СМЕТНЫЕ НОРМАТИВЫ (ФЕР-2020), утвержденные приказами Минстроя России от 26 декабря 2019 г.   № 876/пр (в редакции приказов Минстроя РФ от 30 марта 2020 г. № 172/пр, от 1 июня 2020 г. № 294/пр, от 30 июня 2020 г. № 352/пр,   от 20 октября 2020 г. № 636/пр, от 9 февраля 2021 г. № 51/пр, от 24 мая 2021 г. № 321/пр, от 24 июня 2021 г. № 408/пр,  от 14 октября 2021 № 746/пр, от 20 декабря 2021 № 962/пр)</v>
      </c>
    </row>
    <row r="12" spans="1:11" ht="12.75">
      <c r="A12" s="11"/>
      <c r="B12" s="11"/>
      <c r="D12" s="19"/>
      <c r="E12" s="19"/>
      <c r="F12" s="19"/>
      <c r="G12" s="19"/>
      <c r="H12" s="19"/>
      <c r="I12" s="19"/>
      <c r="J12" s="19"/>
      <c r="K12" s="19"/>
    </row>
    <row r="13" spans="1:11" ht="12.75">
      <c r="A13" s="103" t="s">
        <v>403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</row>
    <row r="16" spans="1:12" ht="15.75">
      <c r="A16" s="18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8"/>
    </row>
    <row r="17" spans="1:12" ht="14.25">
      <c r="A17" s="20"/>
      <c r="B17" s="105" t="s">
        <v>370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8"/>
    </row>
    <row r="18" spans="1:12" ht="14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5.75">
      <c r="A19" s="14"/>
      <c r="B19" s="104" t="s">
        <v>491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4"/>
    </row>
    <row r="20" spans="1:12" ht="14.25">
      <c r="A20" s="14"/>
      <c r="B20" s="105" t="s">
        <v>371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4"/>
    </row>
    <row r="21" spans="1:12" ht="14.25">
      <c r="A21" s="14"/>
      <c r="B21" s="14"/>
      <c r="C21" s="14"/>
      <c r="D21" s="14"/>
      <c r="E21" s="14"/>
      <c r="F21" s="21"/>
      <c r="G21" s="21"/>
      <c r="H21" s="21" t="s">
        <v>3</v>
      </c>
      <c r="I21" s="21"/>
      <c r="J21" s="21"/>
      <c r="K21" s="21"/>
      <c r="L21" s="21"/>
    </row>
    <row r="22" spans="1:12" ht="15.75">
      <c r="A22" s="22"/>
      <c r="B22" s="112" t="str">
        <f>CONCATENATE("ЛОКАЛЬНАЯ СМЕТА № ",Source!F20," ",Source!CM20)</f>
        <v>ЛОКАЛЬНАЯ СМЕТА №  </v>
      </c>
      <c r="C22" s="112"/>
      <c r="D22" s="112"/>
      <c r="E22" s="112"/>
      <c r="F22" s="112"/>
      <c r="G22" s="112"/>
      <c r="H22" s="112"/>
      <c r="I22" s="112"/>
      <c r="J22" s="112"/>
      <c r="K22" s="112"/>
      <c r="L22" s="22"/>
    </row>
    <row r="23" spans="1:12" ht="1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2"/>
    </row>
    <row r="24" spans="1:12" ht="18">
      <c r="A24" s="14"/>
      <c r="B24" s="113">
        <f>IF(Source!G20&lt;&gt;"Новая локальная смета",Source!G20,"")</f>
      </c>
      <c r="C24" s="113"/>
      <c r="D24" s="113"/>
      <c r="E24" s="113"/>
      <c r="F24" s="113"/>
      <c r="G24" s="113"/>
      <c r="H24" s="113"/>
      <c r="I24" s="113"/>
      <c r="J24" s="113"/>
      <c r="K24" s="113"/>
      <c r="L24" s="24"/>
    </row>
    <row r="25" spans="1:12" ht="14.25">
      <c r="A25" s="14"/>
      <c r="B25" s="105" t="s">
        <v>372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8"/>
    </row>
    <row r="26" spans="1:12" ht="14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4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12.75">
      <c r="A28" s="11" t="s">
        <v>373</v>
      </c>
      <c r="B28" s="11"/>
      <c r="C28" s="25" t="s">
        <v>404</v>
      </c>
      <c r="D28" s="11" t="s">
        <v>374</v>
      </c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 t="s">
        <v>375</v>
      </c>
      <c r="B30" s="11"/>
      <c r="C30" s="114"/>
      <c r="D30" s="114"/>
      <c r="E30" s="114"/>
      <c r="F30" s="114"/>
      <c r="G30" s="114"/>
      <c r="H30" s="11"/>
      <c r="I30" s="11"/>
      <c r="J30" s="11"/>
      <c r="K30" s="11"/>
      <c r="L30" s="26"/>
    </row>
    <row r="31" spans="1:12" ht="12.75">
      <c r="A31" s="27"/>
      <c r="B31" s="28"/>
      <c r="C31" s="108" t="s">
        <v>376</v>
      </c>
      <c r="D31" s="108"/>
      <c r="E31" s="108"/>
      <c r="F31" s="108"/>
      <c r="G31" s="108"/>
      <c r="H31" s="29"/>
      <c r="I31" s="29"/>
      <c r="J31" s="29"/>
      <c r="K31" s="29"/>
      <c r="L31" s="29"/>
    </row>
    <row r="32" spans="1:12" ht="14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14.25">
      <c r="A33" s="30" t="s">
        <v>405</v>
      </c>
      <c r="B33" s="14"/>
      <c r="C33" s="14"/>
      <c r="D33" s="31"/>
      <c r="E33" s="32"/>
      <c r="F33" s="14"/>
      <c r="G33" s="14"/>
      <c r="H33" s="14"/>
      <c r="I33" s="14"/>
      <c r="J33" s="14"/>
      <c r="K33" s="14"/>
      <c r="L33" s="14"/>
    </row>
    <row r="34" spans="1:12" ht="14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4.25">
      <c r="A35" s="30" t="s">
        <v>377</v>
      </c>
      <c r="B35" s="14"/>
      <c r="C35" s="49">
        <f>C38+C39+C40+C41</f>
        <v>666.66</v>
      </c>
      <c r="D35" s="109">
        <f>D38+D39+D40+D41</f>
        <v>28.25</v>
      </c>
      <c r="E35" s="110"/>
      <c r="F35" s="33" t="s">
        <v>378</v>
      </c>
      <c r="G35" s="34"/>
      <c r="H35" s="34"/>
      <c r="I35" s="34"/>
      <c r="J35" s="34"/>
      <c r="K35" s="14"/>
      <c r="L35" s="14"/>
    </row>
    <row r="36" spans="1:12" ht="14.25">
      <c r="A36" s="14"/>
      <c r="B36" s="14"/>
      <c r="C36" s="44"/>
      <c r="D36" s="50"/>
      <c r="E36" s="34"/>
      <c r="F36" s="33"/>
      <c r="G36" s="33" t="s">
        <v>379</v>
      </c>
      <c r="H36" s="34"/>
      <c r="I36" s="34"/>
      <c r="J36" s="34"/>
      <c r="K36" s="14"/>
      <c r="L36" s="14"/>
    </row>
    <row r="37" spans="1:12" ht="14.25">
      <c r="A37" s="14"/>
      <c r="B37" s="35" t="s">
        <v>380</v>
      </c>
      <c r="C37" s="44"/>
      <c r="D37" s="50"/>
      <c r="E37" s="36"/>
      <c r="F37" s="33"/>
      <c r="G37" s="33" t="s">
        <v>381</v>
      </c>
      <c r="H37" s="34" t="s">
        <v>382</v>
      </c>
      <c r="I37" s="37">
        <f>ROUND(SUM(U48:U260)/1000,2)</f>
        <v>238.92</v>
      </c>
      <c r="J37" s="37">
        <f>ROUND((SUM(Q48:Q260))/1000,2)</f>
        <v>6.19</v>
      </c>
      <c r="K37" s="11" t="s">
        <v>378</v>
      </c>
      <c r="L37" s="14"/>
    </row>
    <row r="38" spans="1:12" ht="14.25">
      <c r="A38" s="14"/>
      <c r="B38" s="30" t="s">
        <v>383</v>
      </c>
      <c r="C38" s="49">
        <f>ROUND((Source!P198)/1000,2)</f>
        <v>666.66</v>
      </c>
      <c r="D38" s="109">
        <f>ROUND((SUM(AN48:AN260)+SUM(AR48:AR260))/1000,2)</f>
        <v>28.25</v>
      </c>
      <c r="E38" s="110"/>
      <c r="F38" s="33" t="s">
        <v>378</v>
      </c>
      <c r="G38" s="33" t="s">
        <v>384</v>
      </c>
      <c r="H38" s="34"/>
      <c r="I38" s="33"/>
      <c r="J38" s="51">
        <f>Source!P203</f>
        <v>678.594446</v>
      </c>
      <c r="K38" s="11" t="s">
        <v>286</v>
      </c>
      <c r="L38" s="14"/>
    </row>
    <row r="39" spans="1:12" ht="14.25">
      <c r="A39" s="14"/>
      <c r="B39" s="30" t="s">
        <v>385</v>
      </c>
      <c r="C39" s="49">
        <f>ROUND((Source!P199)/1000,2)</f>
        <v>0</v>
      </c>
      <c r="D39" s="109">
        <f>ROUND((SUM(AX48:AX260)+SUM(BB48:BB260))/1000,2)</f>
        <v>0</v>
      </c>
      <c r="E39" s="110"/>
      <c r="F39" s="33" t="s">
        <v>378</v>
      </c>
      <c r="G39" s="33" t="s">
        <v>386</v>
      </c>
      <c r="H39" s="34"/>
      <c r="I39" s="33"/>
      <c r="J39" s="51">
        <f>Source!P204</f>
        <v>17.580772</v>
      </c>
      <c r="K39" s="11" t="s">
        <v>286</v>
      </c>
      <c r="L39" s="14"/>
    </row>
    <row r="40" spans="1:12" ht="14.25">
      <c r="A40" s="14"/>
      <c r="B40" s="30" t="s">
        <v>387</v>
      </c>
      <c r="C40" s="49">
        <f>ROUND((Source!P190)/1000,2)</f>
        <v>0</v>
      </c>
      <c r="D40" s="109">
        <f>ROUND((SUM(BH48:BH260)+SUM(BI48:BI260))/1000,2)</f>
        <v>0</v>
      </c>
      <c r="E40" s="110"/>
      <c r="F40" s="33" t="s">
        <v>378</v>
      </c>
      <c r="G40" s="33" t="s">
        <v>388</v>
      </c>
      <c r="H40" s="34"/>
      <c r="I40" s="33"/>
      <c r="J40" s="38"/>
      <c r="K40" s="14"/>
      <c r="L40" s="14"/>
    </row>
    <row r="41" spans="1:12" ht="14.25">
      <c r="A41" s="14"/>
      <c r="B41" s="30" t="s">
        <v>389</v>
      </c>
      <c r="C41" s="49">
        <f>ROUND((Source!P200+Source!P201)/1000,2)</f>
        <v>0</v>
      </c>
      <c r="D41" s="109">
        <f>ROUND((SUM(BM48:BM260)+SUM(BN48:BN260)+SUM(BO48:BO260)+SUM(BP48:BP260))/1000,2)</f>
        <v>0</v>
      </c>
      <c r="E41" s="111"/>
      <c r="F41" s="33" t="s">
        <v>378</v>
      </c>
      <c r="G41" s="33" t="s">
        <v>390</v>
      </c>
      <c r="H41" s="34"/>
      <c r="I41" s="33">
        <f>Source!I20</f>
        <v>0</v>
      </c>
      <c r="J41" s="39">
        <f>Source!H20</f>
      </c>
      <c r="K41" s="14"/>
      <c r="L41" s="14"/>
    </row>
    <row r="42" spans="1:12" ht="14.25">
      <c r="A42" s="14"/>
      <c r="B42" s="14"/>
      <c r="C42" s="14"/>
      <c r="D42" s="34"/>
      <c r="E42" s="34"/>
      <c r="F42" s="34"/>
      <c r="G42" s="34"/>
      <c r="H42" s="34"/>
      <c r="I42" s="34"/>
      <c r="J42" s="34"/>
      <c r="K42" s="14"/>
      <c r="L42" s="14"/>
    </row>
    <row r="43" spans="1:12" ht="12.75">
      <c r="A43" s="115" t="s">
        <v>391</v>
      </c>
      <c r="B43" s="115" t="s">
        <v>392</v>
      </c>
      <c r="C43" s="115" t="s">
        <v>393</v>
      </c>
      <c r="D43" s="115" t="s">
        <v>394</v>
      </c>
      <c r="E43" s="123" t="s">
        <v>395</v>
      </c>
      <c r="F43" s="124"/>
      <c r="G43" s="125"/>
      <c r="H43" s="123" t="s">
        <v>396</v>
      </c>
      <c r="I43" s="124"/>
      <c r="J43" s="125"/>
      <c r="K43" s="115" t="s">
        <v>397</v>
      </c>
      <c r="L43" s="115" t="s">
        <v>398</v>
      </c>
    </row>
    <row r="44" spans="1:12" ht="12.75">
      <c r="A44" s="116"/>
      <c r="B44" s="116"/>
      <c r="C44" s="116"/>
      <c r="D44" s="116"/>
      <c r="E44" s="126"/>
      <c r="F44" s="127"/>
      <c r="G44" s="128"/>
      <c r="H44" s="126"/>
      <c r="I44" s="127"/>
      <c r="J44" s="128"/>
      <c r="K44" s="116"/>
      <c r="L44" s="116"/>
    </row>
    <row r="45" spans="1:12" ht="12.75">
      <c r="A45" s="116"/>
      <c r="B45" s="116"/>
      <c r="C45" s="116"/>
      <c r="D45" s="116"/>
      <c r="E45" s="129"/>
      <c r="F45" s="130"/>
      <c r="G45" s="131"/>
      <c r="H45" s="129"/>
      <c r="I45" s="130"/>
      <c r="J45" s="131"/>
      <c r="K45" s="116"/>
      <c r="L45" s="116"/>
    </row>
    <row r="46" spans="1:12" ht="25.5">
      <c r="A46" s="117"/>
      <c r="B46" s="117"/>
      <c r="C46" s="117"/>
      <c r="D46" s="117"/>
      <c r="E46" s="40" t="s">
        <v>399</v>
      </c>
      <c r="F46" s="40" t="s">
        <v>400</v>
      </c>
      <c r="G46" s="40" t="s">
        <v>401</v>
      </c>
      <c r="H46" s="40" t="s">
        <v>399</v>
      </c>
      <c r="I46" s="40" t="s">
        <v>400</v>
      </c>
      <c r="J46" s="40" t="s">
        <v>402</v>
      </c>
      <c r="K46" s="117"/>
      <c r="L46" s="117"/>
    </row>
    <row r="47" spans="1:12" ht="14.25">
      <c r="A47" s="41">
        <v>1</v>
      </c>
      <c r="B47" s="41">
        <v>2</v>
      </c>
      <c r="C47" s="41">
        <v>3</v>
      </c>
      <c r="D47" s="41">
        <v>4</v>
      </c>
      <c r="E47" s="41">
        <v>5</v>
      </c>
      <c r="F47" s="41">
        <v>6</v>
      </c>
      <c r="G47" s="41">
        <v>7</v>
      </c>
      <c r="H47" s="41">
        <v>8</v>
      </c>
      <c r="I47" s="41">
        <v>9</v>
      </c>
      <c r="J47" s="41">
        <v>10</v>
      </c>
      <c r="K47" s="42">
        <v>11</v>
      </c>
      <c r="L47" s="43">
        <v>12</v>
      </c>
    </row>
    <row r="49" spans="1:12" ht="16.5">
      <c r="A49" s="132" t="s">
        <v>406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</row>
    <row r="50" spans="1:56" ht="42.75">
      <c r="A50" s="72">
        <v>1</v>
      </c>
      <c r="B50" s="72" t="s">
        <v>407</v>
      </c>
      <c r="C50" s="72" t="str">
        <f>Source!G29</f>
        <v>Разборка элементов облицовки потолков с разборкой каркаса (Применительно)</v>
      </c>
      <c r="D50" s="53" t="str">
        <f>Source!DW29</f>
        <v>100 м2</v>
      </c>
      <c r="E50" s="54">
        <f>Source!K29</f>
        <v>0.11</v>
      </c>
      <c r="F50" s="54"/>
      <c r="G50" s="54">
        <f>Source!I29</f>
        <v>0.11</v>
      </c>
      <c r="H50" s="55"/>
      <c r="I50" s="56"/>
      <c r="J50" s="55"/>
      <c r="K50" s="56"/>
      <c r="L50" s="55"/>
      <c r="AG50">
        <f>ROUND((Source!AT29/100)*((ROUND(Source!AF29*Source!I29,2)+ROUND(Source!AE29*Source!I29,2))),2)</f>
        <v>28.9</v>
      </c>
      <c r="AH50">
        <f>Source!X29</f>
        <v>1115.37</v>
      </c>
      <c r="AI50">
        <f>ROUND((Source!AU29/100)*((ROUND(Source!AF29*Source!I29,2)+ROUND(Source!AE29*Source!I29,2))),2)</f>
        <v>14.45</v>
      </c>
      <c r="AJ50">
        <f>Source!Y29</f>
        <v>557.69</v>
      </c>
      <c r="AS50">
        <f>IF(Source!BI29&lt;=1,AH50,0)</f>
        <v>1115.37</v>
      </c>
      <c r="AT50">
        <f>IF(Source!BI29&lt;=1,AJ50,0)</f>
        <v>557.69</v>
      </c>
      <c r="BC50">
        <f>IF(Source!BI29=2,AH50,0)</f>
        <v>0</v>
      </c>
      <c r="BD50">
        <f>IF(Source!BI29=2,AJ50,0)</f>
        <v>0</v>
      </c>
    </row>
    <row r="52" ht="12.75">
      <c r="C52" s="45" t="str">
        <f>"Объем: "&amp;Source!K29&amp;"=11/"&amp;"100"</f>
        <v>Объем: 0,11=11/100</v>
      </c>
    </row>
    <row r="53" spans="1:12" ht="14.25">
      <c r="A53" s="72"/>
      <c r="B53" s="73">
        <v>1</v>
      </c>
      <c r="C53" s="72" t="s">
        <v>408</v>
      </c>
      <c r="D53" s="53"/>
      <c r="E53" s="54"/>
      <c r="F53" s="54"/>
      <c r="G53" s="54"/>
      <c r="H53" s="55">
        <f>Source!AO29</f>
        <v>291.95</v>
      </c>
      <c r="I53" s="56"/>
      <c r="J53" s="55">
        <f>ROUND(Source!AF29*Source!I29,2)</f>
        <v>32.11</v>
      </c>
      <c r="K53" s="56">
        <f>IF(Source!BA29&lt;&gt;0,Source!BA29,1)</f>
        <v>38.59</v>
      </c>
      <c r="L53" s="55">
        <f>Source!S29</f>
        <v>1239.3</v>
      </c>
    </row>
    <row r="54" spans="1:12" ht="14.25">
      <c r="A54" s="72"/>
      <c r="B54" s="73">
        <v>3</v>
      </c>
      <c r="C54" s="72" t="s">
        <v>409</v>
      </c>
      <c r="D54" s="53"/>
      <c r="E54" s="54"/>
      <c r="F54" s="54"/>
      <c r="G54" s="54"/>
      <c r="H54" s="55">
        <f>Source!AM29</f>
        <v>0</v>
      </c>
      <c r="I54" s="56"/>
      <c r="J54" s="55">
        <f>ROUND((((Source!ET29)-(Source!EU29))+Source!AE29)*Source!I29,2)</f>
        <v>0</v>
      </c>
      <c r="K54" s="56">
        <f>IF(Source!BB29&lt;&gt;0,Source!BB29,1)</f>
        <v>13.43</v>
      </c>
      <c r="L54" s="55">
        <f>Source!Q29</f>
        <v>0</v>
      </c>
    </row>
    <row r="55" spans="1:12" ht="14.25">
      <c r="A55" s="72"/>
      <c r="B55" s="73">
        <v>2</v>
      </c>
      <c r="C55" s="72" t="s">
        <v>410</v>
      </c>
      <c r="D55" s="53"/>
      <c r="E55" s="54"/>
      <c r="F55" s="54"/>
      <c r="G55" s="54"/>
      <c r="H55" s="55">
        <f>Source!AN29</f>
        <v>0</v>
      </c>
      <c r="I55" s="56"/>
      <c r="J55" s="57">
        <f>ROUND(Source!AE29*Source!I29,2)</f>
        <v>0</v>
      </c>
      <c r="K55" s="56">
        <f>IF(Source!BS29&lt;&gt;0,Source!BS29,1)</f>
        <v>38.59</v>
      </c>
      <c r="L55" s="57">
        <f>Source!R29</f>
        <v>0</v>
      </c>
    </row>
    <row r="56" spans="1:12" ht="14.25">
      <c r="A56" s="72"/>
      <c r="B56" s="73">
        <v>4</v>
      </c>
      <c r="C56" s="72" t="s">
        <v>411</v>
      </c>
      <c r="D56" s="53"/>
      <c r="E56" s="54"/>
      <c r="F56" s="54"/>
      <c r="G56" s="54"/>
      <c r="H56" s="55">
        <f>Source!AL29</f>
        <v>0</v>
      </c>
      <c r="I56" s="56"/>
      <c r="J56" s="55">
        <f>ROUND(Source!AC29*Source!I29,2)</f>
        <v>0</v>
      </c>
      <c r="K56" s="56">
        <f>IF(Source!BC29&lt;&gt;0,Source!BC29,1)</f>
        <v>6.82</v>
      </c>
      <c r="L56" s="55">
        <f>Source!P29</f>
        <v>0</v>
      </c>
    </row>
    <row r="57" spans="1:12" ht="14.25">
      <c r="A57" s="72"/>
      <c r="B57" s="72"/>
      <c r="C57" s="72" t="s">
        <v>412</v>
      </c>
      <c r="D57" s="53" t="s">
        <v>413</v>
      </c>
      <c r="E57" s="54">
        <f>Source!AQ29</f>
        <v>34.51</v>
      </c>
      <c r="F57" s="54"/>
      <c r="G57" s="98">
        <f>ROUND(Source!U29,7)</f>
        <v>3.7961</v>
      </c>
      <c r="H57" s="55"/>
      <c r="I57" s="56"/>
      <c r="J57" s="55"/>
      <c r="K57" s="56"/>
      <c r="L57" s="55"/>
    </row>
    <row r="58" spans="1:12" ht="14.25">
      <c r="A58" s="72"/>
      <c r="B58" s="72"/>
      <c r="C58" s="74" t="s">
        <v>414</v>
      </c>
      <c r="D58" s="58" t="s">
        <v>413</v>
      </c>
      <c r="E58" s="59">
        <f>Source!AR29</f>
        <v>0</v>
      </c>
      <c r="F58" s="59"/>
      <c r="G58" s="59">
        <f>ROUND(Source!V29,7)</f>
        <v>0</v>
      </c>
      <c r="H58" s="60"/>
      <c r="I58" s="61"/>
      <c r="J58" s="60"/>
      <c r="K58" s="61"/>
      <c r="L58" s="60"/>
    </row>
    <row r="59" spans="1:12" ht="14.25">
      <c r="A59" s="72"/>
      <c r="B59" s="72"/>
      <c r="C59" s="72" t="s">
        <v>415</v>
      </c>
      <c r="D59" s="53"/>
      <c r="E59" s="54"/>
      <c r="F59" s="54"/>
      <c r="G59" s="54"/>
      <c r="H59" s="55">
        <f>H53+H54+H56</f>
        <v>291.95</v>
      </c>
      <c r="I59" s="56"/>
      <c r="J59" s="55">
        <f>J53+J54+J56</f>
        <v>32.11</v>
      </c>
      <c r="K59" s="56"/>
      <c r="L59" s="55">
        <f>L53+L54+L56</f>
        <v>1239.3</v>
      </c>
    </row>
    <row r="60" spans="1:56" ht="28.5">
      <c r="A60" s="72" t="s">
        <v>33</v>
      </c>
      <c r="B60" s="72" t="s">
        <v>34</v>
      </c>
      <c r="C60" s="72" t="str">
        <f>Source!G31</f>
        <v>Строительный мусор и масса возвратных материалов</v>
      </c>
      <c r="D60" s="53" t="str">
        <f>Source!DW31</f>
        <v>т</v>
      </c>
      <c r="E60" s="98">
        <f>SmtRes!AT4</f>
        <v>0.356</v>
      </c>
      <c r="F60" s="98"/>
      <c r="G60" s="98">
        <f>Source!I31</f>
        <v>0.03916</v>
      </c>
      <c r="H60" s="55">
        <f>Source!AL31+Source!AO31+Source!AM31</f>
        <v>0</v>
      </c>
      <c r="I60" s="56"/>
      <c r="J60" s="55">
        <f>ROUND(Source!AC31*Source!I31,2)+ROUND((((Source!ET31)-(Source!EU31))+Source!AE31)*Source!I31,2)+ROUND(Source!AF31*Source!I31,2)</f>
        <v>0</v>
      </c>
      <c r="K60" s="56">
        <f>IF(Source!BC31&lt;&gt;0,Source!BC31,1)</f>
        <v>6.82</v>
      </c>
      <c r="L60" s="55">
        <f>Source!O31</f>
        <v>0</v>
      </c>
      <c r="AF60" s="47">
        <f>J60</f>
        <v>0</v>
      </c>
      <c r="AG60">
        <f>ROUND((Source!AT31/100)*((ROUND(Source!AF31*Source!I31,2)+ROUND(Source!AE31*Source!I31,2))),2)</f>
        <v>0</v>
      </c>
      <c r="AH60">
        <f>Source!X31</f>
        <v>0</v>
      </c>
      <c r="AI60">
        <f>ROUND((Source!AU31/100)*((ROUND(Source!AF31*Source!I31,2)+ROUND(Source!AE31*Source!I31,2))),2)</f>
        <v>0</v>
      </c>
      <c r="AJ60">
        <f>Source!Y31</f>
        <v>0</v>
      </c>
      <c r="AN60">
        <f>IF(Source!BI31&lt;=1,J60,0)</f>
        <v>0</v>
      </c>
      <c r="AO60">
        <f>IF(Source!BI31&lt;=1,J60,0)</f>
        <v>0</v>
      </c>
      <c r="AS60">
        <f>IF(Source!BI31&lt;=1,AH60,0)</f>
        <v>0</v>
      </c>
      <c r="AT60">
        <f>IF(Source!BI31&lt;=1,AJ60,0)</f>
        <v>0</v>
      </c>
      <c r="AX60">
        <f>IF(Source!BI31=2,J60,0)</f>
        <v>0</v>
      </c>
      <c r="AY60">
        <f>IF(Source!BI31=2,J60,0)</f>
        <v>0</v>
      </c>
      <c r="BC60">
        <f>IF(Source!BI31=2,AH60,0)</f>
        <v>0</v>
      </c>
      <c r="BD60">
        <f>IF(Source!BI31=2,AJ60,0)</f>
        <v>0</v>
      </c>
    </row>
    <row r="61" spans="1:12" ht="14.25">
      <c r="A61" s="72"/>
      <c r="B61" s="72"/>
      <c r="C61" s="72" t="s">
        <v>416</v>
      </c>
      <c r="D61" s="53"/>
      <c r="E61" s="54"/>
      <c r="F61" s="54"/>
      <c r="G61" s="54"/>
      <c r="H61" s="55"/>
      <c r="I61" s="56"/>
      <c r="J61" s="55">
        <f>SUM(Q50:Q64)+SUM(V50:V64)+SUM(X50:X64)+SUM(Y50:Y64)</f>
        <v>32.11</v>
      </c>
      <c r="K61" s="56"/>
      <c r="L61" s="55">
        <f>SUM(U50:U64)+SUM(W50:W64)+SUM(Z50:Z64)+SUM(AA50:AA64)</f>
        <v>1239.3</v>
      </c>
    </row>
    <row r="62" spans="1:12" ht="28.5">
      <c r="A62" s="72"/>
      <c r="B62" s="72" t="s">
        <v>30</v>
      </c>
      <c r="C62" s="72" t="s">
        <v>417</v>
      </c>
      <c r="D62" s="53" t="s">
        <v>418</v>
      </c>
      <c r="E62" s="54">
        <f>Source!BZ29</f>
        <v>90</v>
      </c>
      <c r="F62" s="54"/>
      <c r="G62" s="54">
        <f>Source!AT29</f>
        <v>90</v>
      </c>
      <c r="H62" s="55"/>
      <c r="I62" s="56"/>
      <c r="J62" s="55">
        <f>SUM(AG50:AG64)</f>
        <v>28.9</v>
      </c>
      <c r="K62" s="56"/>
      <c r="L62" s="55">
        <f>SUM(AH50:AH64)</f>
        <v>1115.37</v>
      </c>
    </row>
    <row r="63" spans="1:12" ht="28.5">
      <c r="A63" s="74"/>
      <c r="B63" s="74" t="s">
        <v>31</v>
      </c>
      <c r="C63" s="74" t="s">
        <v>419</v>
      </c>
      <c r="D63" s="58" t="s">
        <v>418</v>
      </c>
      <c r="E63" s="59">
        <f>Source!CA29</f>
        <v>45</v>
      </c>
      <c r="F63" s="59"/>
      <c r="G63" s="59">
        <f>Source!AU29</f>
        <v>45</v>
      </c>
      <c r="H63" s="60"/>
      <c r="I63" s="61"/>
      <c r="J63" s="60">
        <f>SUM(AI50:AI64)</f>
        <v>14.45</v>
      </c>
      <c r="K63" s="61"/>
      <c r="L63" s="60">
        <f>SUM(AJ50:AJ64)</f>
        <v>557.69</v>
      </c>
    </row>
    <row r="64" spans="3:53" ht="15">
      <c r="C64" s="133" t="s">
        <v>420</v>
      </c>
      <c r="D64" s="133"/>
      <c r="E64" s="133"/>
      <c r="F64" s="133"/>
      <c r="G64" s="133"/>
      <c r="H64" s="133"/>
      <c r="I64" s="133">
        <f>J53+J54+J56+J62+J63+SUM(J60:J60)</f>
        <v>75.46</v>
      </c>
      <c r="J64" s="133"/>
      <c r="K64" s="133">
        <f>L53+L54+L56+L62+L63+SUM(L60:L60)</f>
        <v>2912.36</v>
      </c>
      <c r="L64" s="133"/>
      <c r="O64" s="47">
        <f>I64</f>
        <v>75.46</v>
      </c>
      <c r="P64" s="47">
        <f>K64</f>
        <v>2912.36</v>
      </c>
      <c r="Q64" s="47">
        <f>J53</f>
        <v>32.11</v>
      </c>
      <c r="R64" s="47">
        <f>J53</f>
        <v>32.11</v>
      </c>
      <c r="U64" s="47">
        <f>L53</f>
        <v>1239.3</v>
      </c>
      <c r="X64" s="47">
        <f>J55</f>
        <v>0</v>
      </c>
      <c r="Z64" s="47">
        <f>L55</f>
        <v>0</v>
      </c>
      <c r="AB64" s="47">
        <f>J54</f>
        <v>0</v>
      </c>
      <c r="AD64" s="47">
        <f>L54</f>
        <v>0</v>
      </c>
      <c r="AF64" s="47">
        <f>J56</f>
        <v>0</v>
      </c>
      <c r="AN64">
        <f>IF(Source!BI29&lt;=1,J53+J54+J56+J62+J63,0)</f>
        <v>75.46</v>
      </c>
      <c r="AO64">
        <f>IF(Source!BI29&lt;=1,J56,0)</f>
        <v>0</v>
      </c>
      <c r="AP64">
        <f>IF(Source!BI29&lt;=1,J54,0)</f>
        <v>0</v>
      </c>
      <c r="AQ64">
        <f>IF(Source!BI29&lt;=1,J53,0)</f>
        <v>32.11</v>
      </c>
      <c r="AX64">
        <f>IF(Source!BI29=2,J53+J54+J56+J62+J63,0)</f>
        <v>0</v>
      </c>
      <c r="AY64">
        <f>IF(Source!BI29=2,J56,0)</f>
        <v>0</v>
      </c>
      <c r="AZ64">
        <f>IF(Source!BI29=2,J54,0)</f>
        <v>0</v>
      </c>
      <c r="BA64">
        <f>IF(Source!BI29=2,J53,0)</f>
        <v>0</v>
      </c>
    </row>
    <row r="65" spans="1:56" ht="130.5">
      <c r="A65" s="72">
        <v>2</v>
      </c>
      <c r="B65" s="72" t="s">
        <v>421</v>
      </c>
      <c r="C65" s="72" t="s">
        <v>422</v>
      </c>
      <c r="D65" s="53" t="str">
        <f>Source!DW33</f>
        <v>100 м2</v>
      </c>
      <c r="E65" s="54">
        <f>Source!K33</f>
        <v>2.36</v>
      </c>
      <c r="F65" s="54"/>
      <c r="G65" s="54">
        <f>Source!I33</f>
        <v>2.36</v>
      </c>
      <c r="H65" s="55"/>
      <c r="I65" s="56"/>
      <c r="J65" s="55"/>
      <c r="K65" s="56"/>
      <c r="L65" s="55"/>
      <c r="AG65">
        <f>ROUND((Source!AT33/100)*((ROUND(Source!AF33*Source!I33,2)+ROUND(Source!AE33*Source!I33,2))),2)</f>
        <v>2756.09</v>
      </c>
      <c r="AH65">
        <f>Source!X33</f>
        <v>106357.18</v>
      </c>
      <c r="AI65">
        <f>ROUND((Source!AU33/100)*((ROUND(Source!AF33*Source!I33,2)+ROUND(Source!AE33*Source!I33,2))),2)</f>
        <v>1275.46</v>
      </c>
      <c r="AJ65">
        <f>Source!Y33</f>
        <v>49219.74</v>
      </c>
      <c r="AS65">
        <f>IF(Source!BI33&lt;=1,AH65,0)</f>
        <v>106357.18</v>
      </c>
      <c r="AT65">
        <f>IF(Source!BI33&lt;=1,AJ65,0)</f>
        <v>49219.74</v>
      </c>
      <c r="BC65">
        <f>IF(Source!BI33=2,AH65,0)</f>
        <v>0</v>
      </c>
      <c r="BD65">
        <f>IF(Source!BI33=2,AJ65,0)</f>
        <v>0</v>
      </c>
    </row>
    <row r="66" ht="51">
      <c r="B66" s="48" t="str">
        <f>Source!EO33</f>
        <v>Поправка: М-ка 421/пр 04.08.20 п.58 п.п. б)  Поправка: Сб. 15, пр. 15.10</v>
      </c>
    </row>
    <row r="67" ht="12.75">
      <c r="C67" s="45" t="str">
        <f>"Объем: "&amp;Source!K33&amp;"=236/"&amp;"100"</f>
        <v>Объем: 2,36=236/100</v>
      </c>
    </row>
    <row r="68" spans="1:12" ht="14.25">
      <c r="A68" s="72"/>
      <c r="B68" s="73">
        <v>1</v>
      </c>
      <c r="C68" s="72" t="s">
        <v>408</v>
      </c>
      <c r="D68" s="53"/>
      <c r="E68" s="54"/>
      <c r="F68" s="54"/>
      <c r="G68" s="54"/>
      <c r="H68" s="55">
        <f>Source!AO33</f>
        <v>963.12</v>
      </c>
      <c r="I68" s="56">
        <f>ROUND((1.15)*1.1,7)</f>
        <v>1.265</v>
      </c>
      <c r="J68" s="55">
        <f>ROUND(Source!AF33*Source!I33,2)</f>
        <v>2875.31</v>
      </c>
      <c r="K68" s="56">
        <f>IF(Source!BA33&lt;&gt;0,Source!BA33,1)</f>
        <v>38.59</v>
      </c>
      <c r="L68" s="55">
        <f>Source!S33</f>
        <v>110958.06</v>
      </c>
    </row>
    <row r="69" spans="1:12" ht="14.25">
      <c r="A69" s="72"/>
      <c r="B69" s="73">
        <v>3</v>
      </c>
      <c r="C69" s="72" t="s">
        <v>409</v>
      </c>
      <c r="D69" s="53"/>
      <c r="E69" s="54"/>
      <c r="F69" s="54"/>
      <c r="G69" s="54"/>
      <c r="H69" s="55">
        <f>Source!AM33</f>
        <v>324.71</v>
      </c>
      <c r="I69" s="56">
        <f>ROUND(1.25,7)</f>
        <v>1.25</v>
      </c>
      <c r="J69" s="55">
        <f>ROUND(((((Source!ET33*ROUND(1.25,7)))-((Source!EU33*ROUND(1.25,7))))+Source!AE33)*Source!I33,2)</f>
        <v>957.9</v>
      </c>
      <c r="K69" s="56">
        <f>IF(Source!BB33&lt;&gt;0,Source!BB33,1)</f>
        <v>13.43</v>
      </c>
      <c r="L69" s="55">
        <f>Source!Q33</f>
        <v>12864.75</v>
      </c>
    </row>
    <row r="70" spans="1:12" ht="14.25">
      <c r="A70" s="72"/>
      <c r="B70" s="73">
        <v>2</v>
      </c>
      <c r="C70" s="72" t="s">
        <v>410</v>
      </c>
      <c r="D70" s="53"/>
      <c r="E70" s="54"/>
      <c r="F70" s="54"/>
      <c r="G70" s="54"/>
      <c r="H70" s="55">
        <f>Source!AN33</f>
        <v>63.39</v>
      </c>
      <c r="I70" s="56">
        <f>ROUND(1.25,7)</f>
        <v>1.25</v>
      </c>
      <c r="J70" s="57">
        <f>ROUND(Source!AE33*Source!I33,2)</f>
        <v>187.01</v>
      </c>
      <c r="K70" s="56">
        <f>IF(Source!BS33&lt;&gt;0,Source!BS33,1)</f>
        <v>38.59</v>
      </c>
      <c r="L70" s="57">
        <f>Source!R33</f>
        <v>7216.58</v>
      </c>
    </row>
    <row r="71" spans="1:12" ht="14.25">
      <c r="A71" s="72"/>
      <c r="B71" s="73">
        <v>4</v>
      </c>
      <c r="C71" s="72" t="s">
        <v>411</v>
      </c>
      <c r="D71" s="53"/>
      <c r="E71" s="54"/>
      <c r="F71" s="54"/>
      <c r="G71" s="54"/>
      <c r="H71" s="55">
        <f>Source!AL33</f>
        <v>5335.4</v>
      </c>
      <c r="I71" s="56"/>
      <c r="J71" s="55">
        <f>ROUND(Source!AC33*Source!I33,2)</f>
        <v>12591.54</v>
      </c>
      <c r="K71" s="56">
        <f>IF(Source!BC33&lt;&gt;0,Source!BC33,1)</f>
        <v>6.82</v>
      </c>
      <c r="L71" s="55">
        <f>Source!P33</f>
        <v>85874.33</v>
      </c>
    </row>
    <row r="72" spans="1:12" ht="14.25">
      <c r="A72" s="72"/>
      <c r="B72" s="72"/>
      <c r="C72" s="72" t="s">
        <v>412</v>
      </c>
      <c r="D72" s="53" t="s">
        <v>413</v>
      </c>
      <c r="E72" s="54">
        <f>Source!AQ33</f>
        <v>102.46</v>
      </c>
      <c r="F72" s="98">
        <f>ROUND((1.15)*1.1,7)</f>
        <v>1.265</v>
      </c>
      <c r="G72" s="98">
        <f>ROUND(Source!U33,7)</f>
        <v>305.884084</v>
      </c>
      <c r="H72" s="55"/>
      <c r="I72" s="56"/>
      <c r="J72" s="55"/>
      <c r="K72" s="56"/>
      <c r="L72" s="55"/>
    </row>
    <row r="73" spans="1:12" ht="14.25">
      <c r="A73" s="72"/>
      <c r="B73" s="72"/>
      <c r="C73" s="74" t="s">
        <v>414</v>
      </c>
      <c r="D73" s="58" t="s">
        <v>413</v>
      </c>
      <c r="E73" s="59">
        <f>Source!AR33</f>
        <v>5.34</v>
      </c>
      <c r="F73" s="59">
        <f>ROUND(1.25,7)</f>
        <v>1.25</v>
      </c>
      <c r="G73" s="99">
        <f>ROUND(Source!V33,7)</f>
        <v>15.753</v>
      </c>
      <c r="H73" s="60"/>
      <c r="I73" s="61"/>
      <c r="J73" s="60"/>
      <c r="K73" s="61"/>
      <c r="L73" s="60"/>
    </row>
    <row r="74" spans="1:12" ht="14.25">
      <c r="A74" s="72"/>
      <c r="B74" s="72"/>
      <c r="C74" s="72" t="s">
        <v>415</v>
      </c>
      <c r="D74" s="53"/>
      <c r="E74" s="54"/>
      <c r="F74" s="54"/>
      <c r="G74" s="98"/>
      <c r="H74" s="55">
        <f>H68+H69+H71</f>
        <v>6623.23</v>
      </c>
      <c r="I74" s="56"/>
      <c r="J74" s="55">
        <f>J68+J69+J71</f>
        <v>16424.75</v>
      </c>
      <c r="K74" s="56"/>
      <c r="L74" s="55">
        <f>L68+L69+L71</f>
        <v>209697.14</v>
      </c>
    </row>
    <row r="75" spans="1:56" ht="28.5">
      <c r="A75" s="72" t="s">
        <v>51</v>
      </c>
      <c r="B75" s="72" t="s">
        <v>52</v>
      </c>
      <c r="C75" s="72" t="str">
        <f>Source!G35</f>
        <v>Основная направляющая, 24х35х3700 мм., цвет белый</v>
      </c>
      <c r="D75" s="53" t="str">
        <f>Source!DW35</f>
        <v>ШТ</v>
      </c>
      <c r="E75" s="98">
        <f>SmtRes!AT27</f>
        <v>13.559322</v>
      </c>
      <c r="F75" s="54"/>
      <c r="G75" s="54">
        <f>Source!I35</f>
        <v>32</v>
      </c>
      <c r="H75" s="55">
        <f>Source!AL35+Source!AO35+Source!AM35</f>
        <v>0</v>
      </c>
      <c r="I75" s="56"/>
      <c r="J75" s="55">
        <f>ROUND(Source!AC35*Source!I35,2)+ROUND((((Source!ET35)-(Source!EU35))+Source!AE35)*Source!I35,2)+ROUND(Source!AF35*Source!I35,2)</f>
        <v>0</v>
      </c>
      <c r="K75" s="56"/>
      <c r="L75" s="55"/>
      <c r="AF75" s="47">
        <f aca="true" t="shared" si="0" ref="AF75:AF86">J75</f>
        <v>0</v>
      </c>
      <c r="AG75">
        <f>ROUND((Source!AT35/100)*((ROUND(Source!AF35*Source!I35,2)+ROUND(Source!AE35*Source!I35,2))),2)</f>
        <v>0</v>
      </c>
      <c r="AH75">
        <f>Source!X35</f>
        <v>0</v>
      </c>
      <c r="AI75">
        <f>ROUND((Source!AU35/100)*((ROUND(Source!AF35*Source!I35,2)+ROUND(Source!AE35*Source!I35,2))),2)</f>
        <v>0</v>
      </c>
      <c r="AJ75">
        <f>Source!Y35</f>
        <v>0</v>
      </c>
      <c r="AN75">
        <f>IF(Source!BI35&lt;=1,J75,0)</f>
        <v>0</v>
      </c>
      <c r="AO75">
        <f>IF(Source!BI35&lt;=1,J75,0)</f>
        <v>0</v>
      </c>
      <c r="AS75">
        <f>IF(Source!BI35&lt;=1,AH75,0)</f>
        <v>0</v>
      </c>
      <c r="AT75">
        <f>IF(Source!BI35&lt;=1,AJ75,0)</f>
        <v>0</v>
      </c>
      <c r="AX75">
        <f>IF(Source!BI35=2,J75,0)</f>
        <v>0</v>
      </c>
      <c r="AY75">
        <f>IF(Source!BI35=2,J75,0)</f>
        <v>0</v>
      </c>
      <c r="BC75">
        <f>IF(Source!BI35=2,AH75,0)</f>
        <v>0</v>
      </c>
      <c r="BD75">
        <f>IF(Source!BI35=2,AJ75,0)</f>
        <v>0</v>
      </c>
    </row>
    <row r="76" spans="1:56" ht="28.5">
      <c r="A76" s="72" t="s">
        <v>56</v>
      </c>
      <c r="B76" s="72" t="s">
        <v>52</v>
      </c>
      <c r="C76" s="72" t="str">
        <f>Source!G37</f>
        <v>Дюбель-гвоздь тип 2</v>
      </c>
      <c r="D76" s="53" t="str">
        <f>Source!DW37</f>
        <v>ШТ</v>
      </c>
      <c r="E76" s="98">
        <f>SmtRes!AT36</f>
        <v>338.983051</v>
      </c>
      <c r="F76" s="54"/>
      <c r="G76" s="54">
        <f>Source!I37</f>
        <v>800</v>
      </c>
      <c r="H76" s="55">
        <f>Source!AL37+Source!AO37+Source!AM37</f>
        <v>0</v>
      </c>
      <c r="I76" s="56"/>
      <c r="J76" s="55">
        <f>ROUND(Source!AC37*Source!I37,2)+ROUND((((Source!ET37)-(Source!EU37))+Source!AE37)*Source!I37,2)+ROUND(Source!AF37*Source!I37,2)</f>
        <v>0</v>
      </c>
      <c r="K76" s="56"/>
      <c r="L76" s="55"/>
      <c r="AF76" s="47">
        <f t="shared" si="0"/>
        <v>0</v>
      </c>
      <c r="AG76">
        <f>ROUND((Source!AT37/100)*((ROUND(Source!AF37*Source!I37,2)+ROUND(Source!AE37*Source!I37,2))),2)</f>
        <v>0</v>
      </c>
      <c r="AH76">
        <f>Source!X37</f>
        <v>0</v>
      </c>
      <c r="AI76">
        <f>ROUND((Source!AU37/100)*((ROUND(Source!AF37*Source!I37,2)+ROUND(Source!AE37*Source!I37,2))),2)</f>
        <v>0</v>
      </c>
      <c r="AJ76">
        <f>Source!Y37</f>
        <v>0</v>
      </c>
      <c r="AN76">
        <f>IF(Source!BI37&lt;=1,J76,0)</f>
        <v>0</v>
      </c>
      <c r="AO76">
        <f>IF(Source!BI37&lt;=1,J76,0)</f>
        <v>0</v>
      </c>
      <c r="AS76">
        <f>IF(Source!BI37&lt;=1,AH76,0)</f>
        <v>0</v>
      </c>
      <c r="AT76">
        <f>IF(Source!BI37&lt;=1,AJ76,0)</f>
        <v>0</v>
      </c>
      <c r="AX76">
        <f>IF(Source!BI37=2,J76,0)</f>
        <v>0</v>
      </c>
      <c r="AY76">
        <f>IF(Source!BI37=2,J76,0)</f>
        <v>0</v>
      </c>
      <c r="BC76">
        <f>IF(Source!BI37=2,AH76,0)</f>
        <v>0</v>
      </c>
      <c r="BD76">
        <f>IF(Source!BI37=2,AJ76,0)</f>
        <v>0</v>
      </c>
    </row>
    <row r="77" spans="1:56" ht="42.75">
      <c r="A77" s="72" t="s">
        <v>58</v>
      </c>
      <c r="B77" s="72" t="s">
        <v>52</v>
      </c>
      <c r="C77" s="72" t="str">
        <f>Source!G39</f>
        <v>Основная направляющая (профиль главный) "Асбес", цвет белый, 3700х29х24мм.</v>
      </c>
      <c r="D77" s="53" t="str">
        <f>Source!DW39</f>
        <v>ШТ</v>
      </c>
      <c r="E77" s="98">
        <f>SmtRes!AT28</f>
        <v>0.847458</v>
      </c>
      <c r="F77" s="54"/>
      <c r="G77" s="54">
        <f>Source!I39</f>
        <v>2</v>
      </c>
      <c r="H77" s="55">
        <f>Source!AL39+Source!AO39+Source!AM39</f>
        <v>0</v>
      </c>
      <c r="I77" s="56"/>
      <c r="J77" s="55">
        <f>ROUND(Source!AC39*Source!I39,2)+ROUND((((Source!ET39)-(Source!EU39))+Source!AE39)*Source!I39,2)+ROUND(Source!AF39*Source!I39,2)</f>
        <v>0</v>
      </c>
      <c r="K77" s="56"/>
      <c r="L77" s="55"/>
      <c r="AF77" s="47">
        <f t="shared" si="0"/>
        <v>0</v>
      </c>
      <c r="AG77">
        <f>ROUND((Source!AT39/100)*((ROUND(Source!AF39*Source!I39,2)+ROUND(Source!AE39*Source!I39,2))),2)</f>
        <v>0</v>
      </c>
      <c r="AH77">
        <f>Source!X39</f>
        <v>0</v>
      </c>
      <c r="AI77">
        <f>ROUND((Source!AU39/100)*((ROUND(Source!AF39*Source!I39,2)+ROUND(Source!AE39*Source!I39,2))),2)</f>
        <v>0</v>
      </c>
      <c r="AJ77">
        <f>Source!Y39</f>
        <v>0</v>
      </c>
      <c r="AN77">
        <f>IF(Source!BI39&lt;=1,J77,0)</f>
        <v>0</v>
      </c>
      <c r="AO77">
        <f>IF(Source!BI39&lt;=1,J77,0)</f>
        <v>0</v>
      </c>
      <c r="AS77">
        <f>IF(Source!BI39&lt;=1,AH77,0)</f>
        <v>0</v>
      </c>
      <c r="AT77">
        <f>IF(Source!BI39&lt;=1,AJ77,0)</f>
        <v>0</v>
      </c>
      <c r="AX77">
        <f>IF(Source!BI39=2,J77,0)</f>
        <v>0</v>
      </c>
      <c r="AY77">
        <f>IF(Source!BI39=2,J77,0)</f>
        <v>0</v>
      </c>
      <c r="BC77">
        <f>IF(Source!BI39=2,AH77,0)</f>
        <v>0</v>
      </c>
      <c r="BD77">
        <f>IF(Source!BI39=2,AJ77,0)</f>
        <v>0</v>
      </c>
    </row>
    <row r="78" spans="1:56" ht="28.5">
      <c r="A78" s="72" t="s">
        <v>60</v>
      </c>
      <c r="B78" s="72" t="s">
        <v>52</v>
      </c>
      <c r="C78" s="72" t="str">
        <f>Source!G41</f>
        <v>Поперечная планка, 24х28х1200 мм., цвет белый</v>
      </c>
      <c r="D78" s="53" t="str">
        <f>Source!DW41</f>
        <v>ШТ</v>
      </c>
      <c r="E78" s="98">
        <f>SmtRes!AT29</f>
        <v>80.508475</v>
      </c>
      <c r="F78" s="54"/>
      <c r="G78" s="54">
        <f>Source!I41</f>
        <v>190.00000000000003</v>
      </c>
      <c r="H78" s="55">
        <f>Source!AL41+Source!AO41+Source!AM41</f>
        <v>0</v>
      </c>
      <c r="I78" s="56"/>
      <c r="J78" s="55">
        <f>ROUND(Source!AC41*Source!I41,2)+ROUND((((Source!ET41)-(Source!EU41))+Source!AE41)*Source!I41,2)+ROUND(Source!AF41*Source!I41,2)</f>
        <v>0</v>
      </c>
      <c r="K78" s="56"/>
      <c r="L78" s="55"/>
      <c r="AF78" s="47">
        <f t="shared" si="0"/>
        <v>0</v>
      </c>
      <c r="AG78">
        <f>ROUND((Source!AT41/100)*((ROUND(Source!AF41*Source!I41,2)+ROUND(Source!AE41*Source!I41,2))),2)</f>
        <v>0</v>
      </c>
      <c r="AH78">
        <f>Source!X41</f>
        <v>0</v>
      </c>
      <c r="AI78">
        <f>ROUND((Source!AU41/100)*((ROUND(Source!AF41*Source!I41,2)+ROUND(Source!AE41*Source!I41,2))),2)</f>
        <v>0</v>
      </c>
      <c r="AJ78">
        <f>Source!Y41</f>
        <v>0</v>
      </c>
      <c r="AN78">
        <f>IF(Source!BI41&lt;=1,J78,0)</f>
        <v>0</v>
      </c>
      <c r="AO78">
        <f>IF(Source!BI41&lt;=1,J78,0)</f>
        <v>0</v>
      </c>
      <c r="AS78">
        <f>IF(Source!BI41&lt;=1,AH78,0)</f>
        <v>0</v>
      </c>
      <c r="AT78">
        <f>IF(Source!BI41&lt;=1,AJ78,0)</f>
        <v>0</v>
      </c>
      <c r="AX78">
        <f>IF(Source!BI41=2,J78,0)</f>
        <v>0</v>
      </c>
      <c r="AY78">
        <f>IF(Source!BI41=2,J78,0)</f>
        <v>0</v>
      </c>
      <c r="BC78">
        <f>IF(Source!BI41=2,AH78,0)</f>
        <v>0</v>
      </c>
      <c r="BD78">
        <f>IF(Source!BI41=2,AJ78,0)</f>
        <v>0</v>
      </c>
    </row>
    <row r="79" spans="1:56" ht="28.5">
      <c r="A79" s="72" t="s">
        <v>62</v>
      </c>
      <c r="B79" s="72" t="s">
        <v>52</v>
      </c>
      <c r="C79" s="72" t="str">
        <f>Source!G43</f>
        <v>Поперечный профиль "Асбес", цвет белый, длина 1200мм.</v>
      </c>
      <c r="D79" s="53" t="str">
        <f>Source!DW43</f>
        <v>ШТ</v>
      </c>
      <c r="E79" s="98">
        <f>SmtRes!AT30</f>
        <v>8.474576</v>
      </c>
      <c r="F79" s="54"/>
      <c r="G79" s="54">
        <f>Source!I43</f>
        <v>20</v>
      </c>
      <c r="H79" s="55">
        <f>Source!AL43+Source!AO43+Source!AM43</f>
        <v>0</v>
      </c>
      <c r="I79" s="56"/>
      <c r="J79" s="55">
        <f>ROUND(Source!AC43*Source!I43,2)+ROUND((((Source!ET43)-(Source!EU43))+Source!AE43)*Source!I43,2)+ROUND(Source!AF43*Source!I43,2)</f>
        <v>0</v>
      </c>
      <c r="K79" s="56"/>
      <c r="L79" s="55"/>
      <c r="AF79" s="47">
        <f t="shared" si="0"/>
        <v>0</v>
      </c>
      <c r="AG79">
        <f>ROUND((Source!AT43/100)*((ROUND(Source!AF43*Source!I43,2)+ROUND(Source!AE43*Source!I43,2))),2)</f>
        <v>0</v>
      </c>
      <c r="AH79">
        <f>Source!X43</f>
        <v>0</v>
      </c>
      <c r="AI79">
        <f>ROUND((Source!AU43/100)*((ROUND(Source!AF43*Source!I43,2)+ROUND(Source!AE43*Source!I43,2))),2)</f>
        <v>0</v>
      </c>
      <c r="AJ79">
        <f>Source!Y43</f>
        <v>0</v>
      </c>
      <c r="AN79">
        <f>IF(Source!BI43&lt;=1,J79,0)</f>
        <v>0</v>
      </c>
      <c r="AO79">
        <f>IF(Source!BI43&lt;=1,J79,0)</f>
        <v>0</v>
      </c>
      <c r="AS79">
        <f>IF(Source!BI43&lt;=1,AH79,0)</f>
        <v>0</v>
      </c>
      <c r="AT79">
        <f>IF(Source!BI43&lt;=1,AJ79,0)</f>
        <v>0</v>
      </c>
      <c r="AX79">
        <f>IF(Source!BI43=2,J79,0)</f>
        <v>0</v>
      </c>
      <c r="AY79">
        <f>IF(Source!BI43=2,J79,0)</f>
        <v>0</v>
      </c>
      <c r="BC79">
        <f>IF(Source!BI43=2,AH79,0)</f>
        <v>0</v>
      </c>
      <c r="BD79">
        <f>IF(Source!BI43=2,AJ79,0)</f>
        <v>0</v>
      </c>
    </row>
    <row r="80" spans="1:56" ht="28.5">
      <c r="A80" s="72" t="s">
        <v>64</v>
      </c>
      <c r="B80" s="72" t="s">
        <v>52</v>
      </c>
      <c r="C80" s="72" t="str">
        <f>Source!G45</f>
        <v>Поперечная планка, 24х28х600 мм., цвет белый</v>
      </c>
      <c r="D80" s="53" t="str">
        <f>Source!DW45</f>
        <v>ШТ</v>
      </c>
      <c r="E80" s="98">
        <f>SmtRes!AT31</f>
        <v>80.508475</v>
      </c>
      <c r="F80" s="54"/>
      <c r="G80" s="54">
        <f>Source!I45</f>
        <v>190.00000000000003</v>
      </c>
      <c r="H80" s="55">
        <f>Source!AL45+Source!AO45+Source!AM45</f>
        <v>0</v>
      </c>
      <c r="I80" s="56"/>
      <c r="J80" s="55">
        <f>ROUND(Source!AC45*Source!I45,2)+ROUND((((Source!ET45)-(Source!EU45))+Source!AE45)*Source!I45,2)+ROUND(Source!AF45*Source!I45,2)</f>
        <v>0</v>
      </c>
      <c r="K80" s="56"/>
      <c r="L80" s="55"/>
      <c r="AF80" s="47">
        <f t="shared" si="0"/>
        <v>0</v>
      </c>
      <c r="AG80">
        <f>ROUND((Source!AT45/100)*((ROUND(Source!AF45*Source!I45,2)+ROUND(Source!AE45*Source!I45,2))),2)</f>
        <v>0</v>
      </c>
      <c r="AH80">
        <f>Source!X45</f>
        <v>0</v>
      </c>
      <c r="AI80">
        <f>ROUND((Source!AU45/100)*((ROUND(Source!AF45*Source!I45,2)+ROUND(Source!AE45*Source!I45,2))),2)</f>
        <v>0</v>
      </c>
      <c r="AJ80">
        <f>Source!Y45</f>
        <v>0</v>
      </c>
      <c r="AN80">
        <f>IF(Source!BI45&lt;=1,J80,0)</f>
        <v>0</v>
      </c>
      <c r="AO80">
        <f>IF(Source!BI45&lt;=1,J80,0)</f>
        <v>0</v>
      </c>
      <c r="AS80">
        <f>IF(Source!BI45&lt;=1,AH80,0)</f>
        <v>0</v>
      </c>
      <c r="AT80">
        <f>IF(Source!BI45&lt;=1,AJ80,0)</f>
        <v>0</v>
      </c>
      <c r="AX80">
        <f>IF(Source!BI45=2,J80,0)</f>
        <v>0</v>
      </c>
      <c r="AY80">
        <f>IF(Source!BI45=2,J80,0)</f>
        <v>0</v>
      </c>
      <c r="BC80">
        <f>IF(Source!BI45=2,AH80,0)</f>
        <v>0</v>
      </c>
      <c r="BD80">
        <f>IF(Source!BI45=2,AJ80,0)</f>
        <v>0</v>
      </c>
    </row>
    <row r="81" spans="1:56" ht="28.5">
      <c r="A81" s="72" t="s">
        <v>66</v>
      </c>
      <c r="B81" s="72" t="s">
        <v>52</v>
      </c>
      <c r="C81" s="72" t="str">
        <f>Source!G47</f>
        <v>Поперечный профиль тип "Асбес", цвет белый, длина 600мм.</v>
      </c>
      <c r="D81" s="53" t="str">
        <f>Source!DW47</f>
        <v>ШТ</v>
      </c>
      <c r="E81" s="98">
        <f>SmtRes!AT32</f>
        <v>11.864407</v>
      </c>
      <c r="F81" s="54"/>
      <c r="G81" s="54">
        <f>Source!I47</f>
        <v>28</v>
      </c>
      <c r="H81" s="55">
        <f>Source!AL47+Source!AO47+Source!AM47</f>
        <v>0</v>
      </c>
      <c r="I81" s="56"/>
      <c r="J81" s="55">
        <f>ROUND(Source!AC47*Source!I47,2)+ROUND((((Source!ET47)-(Source!EU47))+Source!AE47)*Source!I47,2)+ROUND(Source!AF47*Source!I47,2)</f>
        <v>0</v>
      </c>
      <c r="K81" s="56"/>
      <c r="L81" s="55"/>
      <c r="AF81" s="47">
        <f t="shared" si="0"/>
        <v>0</v>
      </c>
      <c r="AG81">
        <f>ROUND((Source!AT47/100)*((ROUND(Source!AF47*Source!I47,2)+ROUND(Source!AE47*Source!I47,2))),2)</f>
        <v>0</v>
      </c>
      <c r="AH81">
        <f>Source!X47</f>
        <v>0</v>
      </c>
      <c r="AI81">
        <f>ROUND((Source!AU47/100)*((ROUND(Source!AF47*Source!I47,2)+ROUND(Source!AE47*Source!I47,2))),2)</f>
        <v>0</v>
      </c>
      <c r="AJ81">
        <f>Source!Y47</f>
        <v>0</v>
      </c>
      <c r="AN81">
        <f>IF(Source!BI47&lt;=1,J81,0)</f>
        <v>0</v>
      </c>
      <c r="AO81">
        <f>IF(Source!BI47&lt;=1,J81,0)</f>
        <v>0</v>
      </c>
      <c r="AS81">
        <f>IF(Source!BI47&lt;=1,AH81,0)</f>
        <v>0</v>
      </c>
      <c r="AT81">
        <f>IF(Source!BI47&lt;=1,AJ81,0)</f>
        <v>0</v>
      </c>
      <c r="AX81">
        <f>IF(Source!BI47=2,J81,0)</f>
        <v>0</v>
      </c>
      <c r="AY81">
        <f>IF(Source!BI47=2,J81,0)</f>
        <v>0</v>
      </c>
      <c r="BC81">
        <f>IF(Source!BI47=2,AH81,0)</f>
        <v>0</v>
      </c>
      <c r="BD81">
        <f>IF(Source!BI47=2,AJ81,0)</f>
        <v>0</v>
      </c>
    </row>
    <row r="82" spans="1:56" ht="28.5">
      <c r="A82" s="72" t="s">
        <v>68</v>
      </c>
      <c r="B82" s="72" t="s">
        <v>52</v>
      </c>
      <c r="C82" s="72" t="str">
        <f>Source!G49</f>
        <v>Угол периметральный (пристенный) 19х3000 мм., цвет белый</v>
      </c>
      <c r="D82" s="53" t="str">
        <f>Source!DW49</f>
        <v>ШТ</v>
      </c>
      <c r="E82" s="98">
        <f>SmtRes!AT33</f>
        <v>10.59322</v>
      </c>
      <c r="F82" s="54"/>
      <c r="G82" s="54">
        <f>Source!I49</f>
        <v>25</v>
      </c>
      <c r="H82" s="55">
        <f>Source!AL49+Source!AO49+Source!AM49</f>
        <v>0</v>
      </c>
      <c r="I82" s="56"/>
      <c r="J82" s="55">
        <f>ROUND(Source!AC49*Source!I49,2)+ROUND((((Source!ET49)-(Source!EU49))+Source!AE49)*Source!I49,2)+ROUND(Source!AF49*Source!I49,2)</f>
        <v>0</v>
      </c>
      <c r="K82" s="56"/>
      <c r="L82" s="55"/>
      <c r="AF82" s="47">
        <f t="shared" si="0"/>
        <v>0</v>
      </c>
      <c r="AG82">
        <f>ROUND((Source!AT49/100)*((ROUND(Source!AF49*Source!I49,2)+ROUND(Source!AE49*Source!I49,2))),2)</f>
        <v>0</v>
      </c>
      <c r="AH82">
        <f>Source!X49</f>
        <v>0</v>
      </c>
      <c r="AI82">
        <f>ROUND((Source!AU49/100)*((ROUND(Source!AF49*Source!I49,2)+ROUND(Source!AE49*Source!I49,2))),2)</f>
        <v>0</v>
      </c>
      <c r="AJ82">
        <f>Source!Y49</f>
        <v>0</v>
      </c>
      <c r="AN82">
        <f>IF(Source!BI49&lt;=1,J82,0)</f>
        <v>0</v>
      </c>
      <c r="AO82">
        <f>IF(Source!BI49&lt;=1,J82,0)</f>
        <v>0</v>
      </c>
      <c r="AS82">
        <f>IF(Source!BI49&lt;=1,AH82,0)</f>
        <v>0</v>
      </c>
      <c r="AT82">
        <f>IF(Source!BI49&lt;=1,AJ82,0)</f>
        <v>0</v>
      </c>
      <c r="AX82">
        <f>IF(Source!BI49=2,J82,0)</f>
        <v>0</v>
      </c>
      <c r="AY82">
        <f>IF(Source!BI49=2,J82,0)</f>
        <v>0</v>
      </c>
      <c r="BC82">
        <f>IF(Source!BI49=2,AH82,0)</f>
        <v>0</v>
      </c>
      <c r="BD82">
        <f>IF(Source!BI49=2,AJ82,0)</f>
        <v>0</v>
      </c>
    </row>
    <row r="83" spans="1:56" ht="28.5">
      <c r="A83" s="72" t="s">
        <v>70</v>
      </c>
      <c r="B83" s="72" t="s">
        <v>52</v>
      </c>
      <c r="C83" s="72" t="str">
        <f>Source!G51</f>
        <v>Плита потолочная, 595х595х10 мм., цвет белый</v>
      </c>
      <c r="D83" s="53" t="str">
        <f>Source!DW51</f>
        <v>м2</v>
      </c>
      <c r="E83" s="98">
        <f>SmtRes!AT34</f>
        <v>57.966102</v>
      </c>
      <c r="F83" s="54"/>
      <c r="G83" s="54">
        <f>Source!I51</f>
        <v>136.8</v>
      </c>
      <c r="H83" s="55">
        <f>Source!AL51+Source!AO51+Source!AM51</f>
        <v>0</v>
      </c>
      <c r="I83" s="56"/>
      <c r="J83" s="55">
        <f>ROUND(Source!AC51*Source!I51,2)+ROUND((((Source!ET51)-(Source!EU51))+Source!AE51)*Source!I51,2)+ROUND(Source!AF51*Source!I51,2)</f>
        <v>0</v>
      </c>
      <c r="K83" s="56"/>
      <c r="L83" s="55"/>
      <c r="AF83" s="47">
        <f t="shared" si="0"/>
        <v>0</v>
      </c>
      <c r="AG83">
        <f>ROUND((Source!AT51/100)*((ROUND(Source!AF51*Source!I51,2)+ROUND(Source!AE51*Source!I51,2))),2)</f>
        <v>0</v>
      </c>
      <c r="AH83">
        <f>Source!X51</f>
        <v>0</v>
      </c>
      <c r="AI83">
        <f>ROUND((Source!AU51/100)*((ROUND(Source!AF51*Source!I51,2)+ROUND(Source!AE51*Source!I51,2))),2)</f>
        <v>0</v>
      </c>
      <c r="AJ83">
        <f>Source!Y51</f>
        <v>0</v>
      </c>
      <c r="AN83">
        <f>IF(Source!BI51&lt;=1,J83,0)</f>
        <v>0</v>
      </c>
      <c r="AO83">
        <f>IF(Source!BI51&lt;=1,J83,0)</f>
        <v>0</v>
      </c>
      <c r="AS83">
        <f>IF(Source!BI51&lt;=1,AH83,0)</f>
        <v>0</v>
      </c>
      <c r="AT83">
        <f>IF(Source!BI51&lt;=1,AJ83,0)</f>
        <v>0</v>
      </c>
      <c r="AX83">
        <f>IF(Source!BI51=2,J83,0)</f>
        <v>0</v>
      </c>
      <c r="AY83">
        <f>IF(Source!BI51=2,J83,0)</f>
        <v>0</v>
      </c>
      <c r="BC83">
        <f>IF(Source!BI51=2,AH83,0)</f>
        <v>0</v>
      </c>
      <c r="BD83">
        <f>IF(Source!BI51=2,AJ83,0)</f>
        <v>0</v>
      </c>
    </row>
    <row r="84" spans="1:56" ht="28.5">
      <c r="A84" s="72" t="s">
        <v>73</v>
      </c>
      <c r="B84" s="72" t="s">
        <v>52</v>
      </c>
      <c r="C84" s="72" t="str">
        <f>Source!G53</f>
        <v>Плита потолочная "Байкал", белая 600х600 мм.</v>
      </c>
      <c r="D84" s="53" t="str">
        <f>Source!DW53</f>
        <v>м2</v>
      </c>
      <c r="E84" s="98">
        <f>SmtRes!AT35</f>
        <v>5.644068</v>
      </c>
      <c r="F84" s="54"/>
      <c r="G84" s="54">
        <f>Source!I53</f>
        <v>13.32</v>
      </c>
      <c r="H84" s="55">
        <f>Source!AL53+Source!AO53+Source!AM53</f>
        <v>0</v>
      </c>
      <c r="I84" s="56"/>
      <c r="J84" s="55">
        <f>ROUND(Source!AC53*Source!I53,2)+ROUND((((Source!ET53)-(Source!EU53))+Source!AE53)*Source!I53,2)+ROUND(Source!AF53*Source!I53,2)</f>
        <v>0</v>
      </c>
      <c r="K84" s="56"/>
      <c r="L84" s="55"/>
      <c r="AF84" s="47">
        <f t="shared" si="0"/>
        <v>0</v>
      </c>
      <c r="AG84">
        <f>ROUND((Source!AT53/100)*((ROUND(Source!AF53*Source!I53,2)+ROUND(Source!AE53*Source!I53,2))),2)</f>
        <v>0</v>
      </c>
      <c r="AH84">
        <f>Source!X53</f>
        <v>0</v>
      </c>
      <c r="AI84">
        <f>ROUND((Source!AU53/100)*((ROUND(Source!AF53*Source!I53,2)+ROUND(Source!AE53*Source!I53,2))),2)</f>
        <v>0</v>
      </c>
      <c r="AJ84">
        <f>Source!Y53</f>
        <v>0</v>
      </c>
      <c r="AN84">
        <f>IF(Source!BI53&lt;=1,J84,0)</f>
        <v>0</v>
      </c>
      <c r="AO84">
        <f>IF(Source!BI53&lt;=1,J84,0)</f>
        <v>0</v>
      </c>
      <c r="AS84">
        <f>IF(Source!BI53&lt;=1,AH84,0)</f>
        <v>0</v>
      </c>
      <c r="AT84">
        <f>IF(Source!BI53&lt;=1,AJ84,0)</f>
        <v>0</v>
      </c>
      <c r="AX84">
        <f>IF(Source!BI53=2,J84,0)</f>
        <v>0</v>
      </c>
      <c r="AY84">
        <f>IF(Source!BI53=2,J84,0)</f>
        <v>0</v>
      </c>
      <c r="BC84">
        <f>IF(Source!BI53=2,AH84,0)</f>
        <v>0</v>
      </c>
      <c r="BD84">
        <f>IF(Source!BI53=2,AJ84,0)</f>
        <v>0</v>
      </c>
    </row>
    <row r="85" spans="1:56" ht="28.5">
      <c r="A85" s="72" t="s">
        <v>75</v>
      </c>
      <c r="B85" s="72" t="s">
        <v>423</v>
      </c>
      <c r="C85" s="72" t="str">
        <f>Source!G55</f>
        <v>Панели потолочные с комплектующими</v>
      </c>
      <c r="D85" s="53" t="str">
        <f>Source!DW55</f>
        <v>м2</v>
      </c>
      <c r="E85" s="98">
        <f>SmtRes!AT26</f>
        <v>39.440678</v>
      </c>
      <c r="F85" s="54"/>
      <c r="G85" s="54">
        <f>Source!I55</f>
        <v>93.08</v>
      </c>
      <c r="H85" s="55">
        <f>Source!AL55+Source!AO55+Source!AM55</f>
        <v>51.8</v>
      </c>
      <c r="I85" s="56"/>
      <c r="J85" s="55">
        <f>ROUND(Source!AC55*Source!I55,2)+ROUND((((Source!ET55)-(Source!EU55))+Source!AE55)*Source!I55,2)+ROUND(Source!AF55*Source!I55,2)</f>
        <v>4821.54</v>
      </c>
      <c r="K85" s="56">
        <f>IF(Source!BC55&lt;&gt;0,Source!BC55,1)</f>
        <v>6.82</v>
      </c>
      <c r="L85" s="55">
        <f>Source!O55</f>
        <v>32882.93</v>
      </c>
      <c r="AF85" s="47">
        <f t="shared" si="0"/>
        <v>4821.54</v>
      </c>
      <c r="AG85">
        <f>ROUND((Source!AT55/100)*((ROUND(Source!AF55*Source!I55,2)+ROUND(Source!AE55*Source!I55,2))),2)</f>
        <v>0</v>
      </c>
      <c r="AH85">
        <f>Source!X55</f>
        <v>0</v>
      </c>
      <c r="AI85">
        <f>ROUND((Source!AU55/100)*((ROUND(Source!AF55*Source!I55,2)+ROUND(Source!AE55*Source!I55,2))),2)</f>
        <v>0</v>
      </c>
      <c r="AJ85">
        <f>Source!Y55</f>
        <v>0</v>
      </c>
      <c r="AN85">
        <f>IF(Source!BI55&lt;=1,J85,0)</f>
        <v>4821.54</v>
      </c>
      <c r="AO85">
        <f>IF(Source!BI55&lt;=1,J85,0)</f>
        <v>4821.54</v>
      </c>
      <c r="AS85">
        <f>IF(Source!BI55&lt;=1,AH85,0)</f>
        <v>0</v>
      </c>
      <c r="AT85">
        <f>IF(Source!BI55&lt;=1,AJ85,0)</f>
        <v>0</v>
      </c>
      <c r="AX85">
        <f>IF(Source!BI55=2,J85,0)</f>
        <v>0</v>
      </c>
      <c r="AY85">
        <f>IF(Source!BI55=2,J85,0)</f>
        <v>0</v>
      </c>
      <c r="BC85">
        <f>IF(Source!BI55=2,AH85,0)</f>
        <v>0</v>
      </c>
      <c r="BD85">
        <f>IF(Source!BI55=2,AJ85,0)</f>
        <v>0</v>
      </c>
    </row>
    <row r="86" spans="1:56" ht="28.5">
      <c r="A86" s="72" t="s">
        <v>79</v>
      </c>
      <c r="B86" s="72" t="s">
        <v>423</v>
      </c>
      <c r="C86" s="72" t="s">
        <v>424</v>
      </c>
      <c r="D86" s="53" t="str">
        <f>Source!DW57</f>
        <v>м2</v>
      </c>
      <c r="E86" s="54">
        <f>SmtRes!AT25</f>
        <v>-103</v>
      </c>
      <c r="F86" s="54"/>
      <c r="G86" s="54">
        <f>Source!I57</f>
        <v>-243.07999999999998</v>
      </c>
      <c r="H86" s="55">
        <f>Source!AL57+Source!AO57+Source!AM57</f>
        <v>51.8</v>
      </c>
      <c r="I86" s="56"/>
      <c r="J86" s="55">
        <f>ROUND(Source!AC57*Source!I57,2)+ROUND((((Source!ET57)-(Source!EU57))+Source!AE57)*Source!I57,2)+ROUND(Source!AF57*Source!I57,2)</f>
        <v>-12591.54</v>
      </c>
      <c r="K86" s="56">
        <f>IF(Source!BC57&lt;&gt;0,Source!BC57,1)</f>
        <v>6.82</v>
      </c>
      <c r="L86" s="55">
        <f>Source!O57</f>
        <v>-85874.33</v>
      </c>
      <c r="AF86" s="47">
        <f t="shared" si="0"/>
        <v>-12591.54</v>
      </c>
      <c r="AG86">
        <f>ROUND((Source!AT57/100)*((ROUND(Source!AF57*Source!I57,2)+ROUND(Source!AE57*Source!I57,2))),2)</f>
        <v>0</v>
      </c>
      <c r="AH86">
        <f>Source!X57</f>
        <v>0</v>
      </c>
      <c r="AI86">
        <f>ROUND((Source!AU57/100)*((ROUND(Source!AF57*Source!I57,2)+ROUND(Source!AE57*Source!I57,2))),2)</f>
        <v>0</v>
      </c>
      <c r="AJ86">
        <f>Source!Y57</f>
        <v>0</v>
      </c>
      <c r="AN86">
        <f>IF(Source!BI57&lt;=1,J86,0)</f>
        <v>-12591.54</v>
      </c>
      <c r="AO86">
        <f>IF(Source!BI57&lt;=1,J86,0)</f>
        <v>-12591.54</v>
      </c>
      <c r="AS86">
        <f>IF(Source!BI57&lt;=1,AH86,0)</f>
        <v>0</v>
      </c>
      <c r="AT86">
        <f>IF(Source!BI57&lt;=1,AJ86,0)</f>
        <v>0</v>
      </c>
      <c r="AX86">
        <f>IF(Source!BI57=2,J86,0)</f>
        <v>0</v>
      </c>
      <c r="AY86">
        <f>IF(Source!BI57=2,J86,0)</f>
        <v>0</v>
      </c>
      <c r="BC86">
        <f>IF(Source!BI57=2,AH86,0)</f>
        <v>0</v>
      </c>
      <c r="BD86">
        <f>IF(Source!BI57=2,AJ86,0)</f>
        <v>0</v>
      </c>
    </row>
    <row r="87" spans="1:12" ht="14.25">
      <c r="A87" s="72"/>
      <c r="B87" s="72"/>
      <c r="C87" s="72" t="s">
        <v>416</v>
      </c>
      <c r="D87" s="53"/>
      <c r="E87" s="54"/>
      <c r="F87" s="54"/>
      <c r="G87" s="54"/>
      <c r="H87" s="55"/>
      <c r="I87" s="56"/>
      <c r="J87" s="55">
        <f>SUM(Q65:Q90)+SUM(V65:V90)+SUM(X65:X90)+SUM(Y65:Y90)</f>
        <v>3062.3199999999997</v>
      </c>
      <c r="K87" s="56"/>
      <c r="L87" s="55">
        <f>SUM(U65:U90)+SUM(W65:W90)+SUM(Z65:Z90)+SUM(AA65:AA90)</f>
        <v>118174.64</v>
      </c>
    </row>
    <row r="88" spans="1:12" ht="28.5">
      <c r="A88" s="72"/>
      <c r="B88" s="72" t="s">
        <v>425</v>
      </c>
      <c r="C88" s="72" t="s">
        <v>426</v>
      </c>
      <c r="D88" s="53" t="s">
        <v>418</v>
      </c>
      <c r="E88" s="54">
        <f>Source!BZ33</f>
        <v>100</v>
      </c>
      <c r="F88" s="54">
        <f>ROUND(0.9,7)</f>
        <v>0.9</v>
      </c>
      <c r="G88" s="54">
        <f>Source!AT33</f>
        <v>90</v>
      </c>
      <c r="H88" s="55"/>
      <c r="I88" s="56"/>
      <c r="J88" s="55">
        <f>SUM(AG65:AG90)</f>
        <v>2756.09</v>
      </c>
      <c r="K88" s="56"/>
      <c r="L88" s="55">
        <f>SUM(AH65:AH90)</f>
        <v>106357.18</v>
      </c>
    </row>
    <row r="89" spans="1:12" ht="28.5">
      <c r="A89" s="74"/>
      <c r="B89" s="74" t="s">
        <v>427</v>
      </c>
      <c r="C89" s="74" t="s">
        <v>428</v>
      </c>
      <c r="D89" s="58" t="s">
        <v>418</v>
      </c>
      <c r="E89" s="59">
        <f>Source!CA33</f>
        <v>49</v>
      </c>
      <c r="F89" s="59">
        <f>ROUND(0.85,7)</f>
        <v>0.85</v>
      </c>
      <c r="G89" s="59">
        <f>Source!AU33</f>
        <v>41.65</v>
      </c>
      <c r="H89" s="60"/>
      <c r="I89" s="61"/>
      <c r="J89" s="60">
        <f>SUM(AI65:AI90)</f>
        <v>1275.46</v>
      </c>
      <c r="K89" s="61"/>
      <c r="L89" s="60">
        <f>SUM(AJ65:AJ90)</f>
        <v>49219.74</v>
      </c>
    </row>
    <row r="90" spans="3:53" ht="15">
      <c r="C90" s="133" t="s">
        <v>420</v>
      </c>
      <c r="D90" s="133"/>
      <c r="E90" s="133"/>
      <c r="F90" s="133"/>
      <c r="G90" s="133"/>
      <c r="H90" s="133"/>
      <c r="I90" s="133">
        <f>J68+J69+J71+J88+J89+SUM(J75:J86)</f>
        <v>12686.3</v>
      </c>
      <c r="J90" s="133"/>
      <c r="K90" s="133">
        <f>L68+L69+L71+L88+L89+SUM(L75:L86)</f>
        <v>312282.66</v>
      </c>
      <c r="L90" s="133"/>
      <c r="O90" s="47">
        <f>I90</f>
        <v>12686.3</v>
      </c>
      <c r="P90" s="47">
        <f>K90</f>
        <v>312282.66</v>
      </c>
      <c r="Q90" s="47">
        <f>J68</f>
        <v>2875.31</v>
      </c>
      <c r="R90" s="47">
        <f>J68</f>
        <v>2875.31</v>
      </c>
      <c r="U90" s="47">
        <f>L68</f>
        <v>110958.06</v>
      </c>
      <c r="X90" s="47">
        <f>J70</f>
        <v>187.01</v>
      </c>
      <c r="Z90" s="47">
        <f>L70</f>
        <v>7216.58</v>
      </c>
      <c r="AB90" s="47">
        <f>J69</f>
        <v>957.9</v>
      </c>
      <c r="AD90" s="47">
        <f>L69</f>
        <v>12864.75</v>
      </c>
      <c r="AF90" s="47">
        <f>J71</f>
        <v>12591.54</v>
      </c>
      <c r="AN90">
        <f>IF(Source!BI33&lt;=1,J68+J69+J71+J88+J89,0)</f>
        <v>20456.3</v>
      </c>
      <c r="AO90">
        <f>IF(Source!BI33&lt;=1,J71,0)</f>
        <v>12591.54</v>
      </c>
      <c r="AP90">
        <f>IF(Source!BI33&lt;=1,J69,0)</f>
        <v>957.9</v>
      </c>
      <c r="AQ90">
        <f>IF(Source!BI33&lt;=1,J68,0)</f>
        <v>2875.31</v>
      </c>
      <c r="AX90">
        <f>IF(Source!BI33=2,J68+J69+J71+J88+J89,0)</f>
        <v>0</v>
      </c>
      <c r="AY90">
        <f>IF(Source!BI33=2,J71,0)</f>
        <v>0</v>
      </c>
      <c r="AZ90">
        <f>IF(Source!BI33=2,J69,0)</f>
        <v>0</v>
      </c>
      <c r="BA90">
        <f>IF(Source!BI33=2,J68,0)</f>
        <v>0</v>
      </c>
    </row>
    <row r="91" spans="1:56" ht="57">
      <c r="A91" s="72">
        <v>3</v>
      </c>
      <c r="B91" s="72" t="s">
        <v>429</v>
      </c>
      <c r="C91" s="72" t="str">
        <f>Source!G59</f>
        <v>Ремонт штукатурки внутренних стен по камню известковым раствором площадью отдельных мест до 1 м2 толщиной слоя до 20 мм</v>
      </c>
      <c r="D91" s="53" t="str">
        <f>Source!DW59</f>
        <v>100 м2</v>
      </c>
      <c r="E91" s="54">
        <f>Source!K59</f>
        <v>0.2966</v>
      </c>
      <c r="F91" s="54"/>
      <c r="G91" s="54">
        <f>Source!I59</f>
        <v>0.2966</v>
      </c>
      <c r="H91" s="55"/>
      <c r="I91" s="56"/>
      <c r="J91" s="55"/>
      <c r="K91" s="56"/>
      <c r="L91" s="55"/>
      <c r="AG91">
        <f>ROUND((Source!AT59/100)*((ROUND(Source!AF59*Source!I59,2)+ROUND(Source!AE59*Source!I59,2))),2)</f>
        <v>477.32</v>
      </c>
      <c r="AH91">
        <f>Source!X59</f>
        <v>18420.2</v>
      </c>
      <c r="AI91">
        <f>ROUND((Source!AU59/100)*((ROUND(Source!AF59*Source!I59,2)+ROUND(Source!AE59*Source!I59,2))),2)</f>
        <v>235.98</v>
      </c>
      <c r="AJ91">
        <f>Source!Y59</f>
        <v>9106.61</v>
      </c>
      <c r="AS91">
        <f>IF(Source!BI59&lt;=1,AH91,0)</f>
        <v>18420.2</v>
      </c>
      <c r="AT91">
        <f>IF(Source!BI59&lt;=1,AJ91,0)</f>
        <v>9106.61</v>
      </c>
      <c r="BC91">
        <f>IF(Source!BI59=2,AH91,0)</f>
        <v>0</v>
      </c>
      <c r="BD91">
        <f>IF(Source!BI59=2,AJ91,0)</f>
        <v>0</v>
      </c>
    </row>
    <row r="93" ht="12.75">
      <c r="C93" s="45" t="str">
        <f>"Объем: "&amp;Source!K59&amp;"=29,66/"&amp;"100"</f>
        <v>Объем: 0,2966=29,66/100</v>
      </c>
    </row>
    <row r="94" spans="1:12" ht="14.25">
      <c r="A94" s="72"/>
      <c r="B94" s="73">
        <v>1</v>
      </c>
      <c r="C94" s="72" t="s">
        <v>408</v>
      </c>
      <c r="D94" s="53"/>
      <c r="E94" s="54"/>
      <c r="F94" s="54"/>
      <c r="G94" s="54"/>
      <c r="H94" s="55">
        <f>Source!AO59</f>
        <v>1799.2</v>
      </c>
      <c r="I94" s="56"/>
      <c r="J94" s="55">
        <f>ROUND(Source!AF59*Source!I59,2)</f>
        <v>533.64</v>
      </c>
      <c r="K94" s="56">
        <f>IF(Source!BA59&lt;&gt;0,Source!BA59,1)</f>
        <v>38.59</v>
      </c>
      <c r="L94" s="55">
        <f>Source!S59</f>
        <v>20593.27</v>
      </c>
    </row>
    <row r="95" spans="1:12" ht="14.25">
      <c r="A95" s="72"/>
      <c r="B95" s="73">
        <v>3</v>
      </c>
      <c r="C95" s="72" t="s">
        <v>409</v>
      </c>
      <c r="D95" s="53"/>
      <c r="E95" s="54"/>
      <c r="F95" s="54"/>
      <c r="G95" s="54"/>
      <c r="H95" s="55">
        <f>Source!AM59</f>
        <v>20.94</v>
      </c>
      <c r="I95" s="56"/>
      <c r="J95" s="55">
        <f>ROUND((((Source!ET59)-(Source!EU59))+Source!AE59)*Source!I59,2)</f>
        <v>6.21</v>
      </c>
      <c r="K95" s="56">
        <f>IF(Source!BB59&lt;&gt;0,Source!BB59,1)</f>
        <v>13.43</v>
      </c>
      <c r="L95" s="55">
        <f>Source!Q59</f>
        <v>83.41</v>
      </c>
    </row>
    <row r="96" spans="1:12" ht="14.25">
      <c r="A96" s="72"/>
      <c r="B96" s="73">
        <v>2</v>
      </c>
      <c r="C96" s="72" t="s">
        <v>410</v>
      </c>
      <c r="D96" s="53"/>
      <c r="E96" s="54"/>
      <c r="F96" s="54"/>
      <c r="G96" s="54"/>
      <c r="H96" s="55">
        <f>Source!AN59</f>
        <v>9.05</v>
      </c>
      <c r="I96" s="56"/>
      <c r="J96" s="57">
        <f>ROUND(Source!AE59*Source!I59,2)</f>
        <v>2.68</v>
      </c>
      <c r="K96" s="56">
        <f>IF(Source!BS59&lt;&gt;0,Source!BS59,1)</f>
        <v>38.59</v>
      </c>
      <c r="L96" s="57">
        <f>Source!R59</f>
        <v>103.58</v>
      </c>
    </row>
    <row r="97" spans="1:12" ht="14.25">
      <c r="A97" s="72"/>
      <c r="B97" s="73">
        <v>4</v>
      </c>
      <c r="C97" s="72" t="s">
        <v>411</v>
      </c>
      <c r="D97" s="53"/>
      <c r="E97" s="54"/>
      <c r="F97" s="54"/>
      <c r="G97" s="54"/>
      <c r="H97" s="55">
        <f>Source!AL59</f>
        <v>1123.73</v>
      </c>
      <c r="I97" s="56"/>
      <c r="J97" s="55">
        <f>ROUND(Source!AC59*Source!I59,2)</f>
        <v>333.3</v>
      </c>
      <c r="K97" s="56">
        <f>IF(Source!BC59&lt;&gt;0,Source!BC59,1)</f>
        <v>6.82</v>
      </c>
      <c r="L97" s="55">
        <f>Source!P59</f>
        <v>2273.09</v>
      </c>
    </row>
    <row r="98" spans="1:12" ht="14.25">
      <c r="A98" s="72"/>
      <c r="B98" s="72" t="str">
        <f>EtalonRes!I25</f>
        <v>01.7.07.07</v>
      </c>
      <c r="C98" s="72" t="str">
        <f>EtalonRes!K25</f>
        <v>Строительный мусор</v>
      </c>
      <c r="D98" s="53" t="str">
        <f>EtalonRes!P25</f>
        <v>т</v>
      </c>
      <c r="E98" s="54">
        <f>EtalonRes!X25</f>
        <v>3.38</v>
      </c>
      <c r="F98" s="54"/>
      <c r="G98" s="98">
        <f>ROUND(EtalonRes!AG25*Source!I59,7)</f>
        <v>1.002508</v>
      </c>
      <c r="H98" s="55"/>
      <c r="I98" s="56"/>
      <c r="J98" s="55"/>
      <c r="K98" s="56"/>
      <c r="L98" s="55"/>
    </row>
    <row r="99" spans="1:12" ht="14.25">
      <c r="A99" s="72"/>
      <c r="B99" s="72"/>
      <c r="C99" s="72" t="s">
        <v>412</v>
      </c>
      <c r="D99" s="53" t="s">
        <v>413</v>
      </c>
      <c r="E99" s="54">
        <f>Source!AQ59</f>
        <v>203.07</v>
      </c>
      <c r="F99" s="54"/>
      <c r="G99" s="98">
        <f>ROUND(Source!U59,7)</f>
        <v>60.230562</v>
      </c>
      <c r="H99" s="55"/>
      <c r="I99" s="56"/>
      <c r="J99" s="55"/>
      <c r="K99" s="56"/>
      <c r="L99" s="55"/>
    </row>
    <row r="100" spans="1:12" ht="14.25">
      <c r="A100" s="72"/>
      <c r="B100" s="72"/>
      <c r="C100" s="74" t="s">
        <v>414</v>
      </c>
      <c r="D100" s="58" t="s">
        <v>413</v>
      </c>
      <c r="E100" s="59">
        <f>Source!AR59</f>
        <v>0.67</v>
      </c>
      <c r="F100" s="59"/>
      <c r="G100" s="99">
        <f>ROUND(Source!V59,7)</f>
        <v>0.198722</v>
      </c>
      <c r="H100" s="60"/>
      <c r="I100" s="61"/>
      <c r="J100" s="60"/>
      <c r="K100" s="61"/>
      <c r="L100" s="60"/>
    </row>
    <row r="101" spans="1:12" ht="14.25">
      <c r="A101" s="72"/>
      <c r="B101" s="72"/>
      <c r="C101" s="72" t="s">
        <v>415</v>
      </c>
      <c r="D101" s="53"/>
      <c r="E101" s="54"/>
      <c r="F101" s="54"/>
      <c r="G101" s="54"/>
      <c r="H101" s="55">
        <f>H94+H95+H97</f>
        <v>2943.87</v>
      </c>
      <c r="I101" s="56"/>
      <c r="J101" s="55">
        <f>J94+J95+J97</f>
        <v>873.1500000000001</v>
      </c>
      <c r="K101" s="56"/>
      <c r="L101" s="55">
        <f>L94+L95+L97</f>
        <v>22949.77</v>
      </c>
    </row>
    <row r="102" spans="1:12" ht="14.25">
      <c r="A102" s="72"/>
      <c r="B102" s="72"/>
      <c r="C102" s="72" t="s">
        <v>416</v>
      </c>
      <c r="D102" s="53"/>
      <c r="E102" s="54"/>
      <c r="F102" s="54"/>
      <c r="G102" s="54"/>
      <c r="H102" s="55"/>
      <c r="I102" s="56"/>
      <c r="J102" s="55">
        <f>SUM(Q91:Q105)+SUM(V91:V105)+SUM(X91:X105)+SUM(Y91:Y105)</f>
        <v>536.3199999999999</v>
      </c>
      <c r="K102" s="56"/>
      <c r="L102" s="55">
        <f>SUM(U91:U105)+SUM(W91:W105)+SUM(Z91:Z105)+SUM(AA91:AA105)</f>
        <v>20696.850000000002</v>
      </c>
    </row>
    <row r="103" spans="1:12" ht="14.25">
      <c r="A103" s="72"/>
      <c r="B103" s="72" t="s">
        <v>86</v>
      </c>
      <c r="C103" s="72" t="s">
        <v>430</v>
      </c>
      <c r="D103" s="53" t="s">
        <v>418</v>
      </c>
      <c r="E103" s="54">
        <f>Source!BZ59</f>
        <v>89</v>
      </c>
      <c r="F103" s="54"/>
      <c r="G103" s="54">
        <f>Source!AT59</f>
        <v>89</v>
      </c>
      <c r="H103" s="55"/>
      <c r="I103" s="56"/>
      <c r="J103" s="55">
        <f>SUM(AG91:AG105)</f>
        <v>477.32</v>
      </c>
      <c r="K103" s="56"/>
      <c r="L103" s="55">
        <f>SUM(AH91:AH105)</f>
        <v>18420.2</v>
      </c>
    </row>
    <row r="104" spans="1:12" ht="14.25">
      <c r="A104" s="74"/>
      <c r="B104" s="74" t="s">
        <v>87</v>
      </c>
      <c r="C104" s="74" t="s">
        <v>431</v>
      </c>
      <c r="D104" s="58" t="s">
        <v>418</v>
      </c>
      <c r="E104" s="59">
        <f>Source!CA59</f>
        <v>44</v>
      </c>
      <c r="F104" s="59"/>
      <c r="G104" s="59">
        <f>Source!AU59</f>
        <v>44</v>
      </c>
      <c r="H104" s="60"/>
      <c r="I104" s="61"/>
      <c r="J104" s="60">
        <f>SUM(AI91:AI105)</f>
        <v>235.98</v>
      </c>
      <c r="K104" s="61"/>
      <c r="L104" s="60">
        <f>SUM(AJ91:AJ105)</f>
        <v>9106.61</v>
      </c>
    </row>
    <row r="105" spans="3:53" ht="15">
      <c r="C105" s="133" t="s">
        <v>420</v>
      </c>
      <c r="D105" s="133"/>
      <c r="E105" s="133"/>
      <c r="F105" s="133"/>
      <c r="G105" s="133"/>
      <c r="H105" s="133"/>
      <c r="I105" s="133">
        <f>J94+J95+J97+J103+J104</f>
        <v>1586.45</v>
      </c>
      <c r="J105" s="133"/>
      <c r="K105" s="133">
        <f>L94+L95+L97+L103+L104</f>
        <v>50476.58</v>
      </c>
      <c r="L105" s="133"/>
      <c r="O105" s="47">
        <f>I105</f>
        <v>1586.45</v>
      </c>
      <c r="P105" s="47">
        <f>K105</f>
        <v>50476.58</v>
      </c>
      <c r="Q105" s="47">
        <f>J94</f>
        <v>533.64</v>
      </c>
      <c r="R105" s="47">
        <f>J94</f>
        <v>533.64</v>
      </c>
      <c r="U105" s="47">
        <f>L94</f>
        <v>20593.27</v>
      </c>
      <c r="X105" s="47">
        <f>J96</f>
        <v>2.68</v>
      </c>
      <c r="Z105" s="47">
        <f>L96</f>
        <v>103.58</v>
      </c>
      <c r="AB105" s="47">
        <f>J95</f>
        <v>6.21</v>
      </c>
      <c r="AD105" s="47">
        <f>L95</f>
        <v>83.41</v>
      </c>
      <c r="AF105" s="47">
        <f>J97</f>
        <v>333.3</v>
      </c>
      <c r="AN105">
        <f>IF(Source!BI59&lt;=1,J94+J95+J97+J103+J104,0)</f>
        <v>1586.45</v>
      </c>
      <c r="AO105">
        <f>IF(Source!BI59&lt;=1,J97,0)</f>
        <v>333.3</v>
      </c>
      <c r="AP105">
        <f>IF(Source!BI59&lt;=1,J95,0)</f>
        <v>6.21</v>
      </c>
      <c r="AQ105">
        <f>IF(Source!BI59&lt;=1,J94,0)</f>
        <v>533.64</v>
      </c>
      <c r="AX105">
        <f>IF(Source!BI59=2,J94+J95+J97+J103+J104,0)</f>
        <v>0</v>
      </c>
      <c r="AY105">
        <f>IF(Source!BI59=2,J97,0)</f>
        <v>0</v>
      </c>
      <c r="AZ105">
        <f>IF(Source!BI59=2,J95,0)</f>
        <v>0</v>
      </c>
      <c r="BA105">
        <f>IF(Source!BI59=2,J94,0)</f>
        <v>0</v>
      </c>
    </row>
    <row r="106" spans="1:56" ht="144.75">
      <c r="A106" s="72">
        <v>4</v>
      </c>
      <c r="B106" s="72" t="s">
        <v>432</v>
      </c>
      <c r="C106" s="72" t="s">
        <v>433</v>
      </c>
      <c r="D106" s="53" t="str">
        <f>Source!DW63</f>
        <v>100 м2</v>
      </c>
      <c r="E106" s="54">
        <f>Source!K63</f>
        <v>6.5</v>
      </c>
      <c r="F106" s="54"/>
      <c r="G106" s="54">
        <f>Source!I63</f>
        <v>6.5</v>
      </c>
      <c r="H106" s="55"/>
      <c r="I106" s="56"/>
      <c r="J106" s="55"/>
      <c r="K106" s="56"/>
      <c r="L106" s="55"/>
      <c r="AG106">
        <f>ROUND((Source!AT63/100)*((ROUND(Source!AF63*Source!I63,2)+ROUND(Source!AE63*Source!I63,2))),2)</f>
        <v>2368.14</v>
      </c>
      <c r="AH106">
        <f>Source!X63</f>
        <v>91386.47</v>
      </c>
      <c r="AI106">
        <f>ROUND((Source!AU63/100)*((ROUND(Source!AF63*Source!I63,2)+ROUND(Source!AE63*Source!I63,2))),2)</f>
        <v>1095.92</v>
      </c>
      <c r="AJ106">
        <f>Source!Y63</f>
        <v>42291.63</v>
      </c>
      <c r="AS106">
        <f>IF(Source!BI63&lt;=1,AH106,0)</f>
        <v>91386.47</v>
      </c>
      <c r="AT106">
        <f>IF(Source!BI63&lt;=1,AJ106,0)</f>
        <v>42291.63</v>
      </c>
      <c r="BC106">
        <f>IF(Source!BI63=2,AH106,0)</f>
        <v>0</v>
      </c>
      <c r="BD106">
        <f>IF(Source!BI63=2,AJ106,0)</f>
        <v>0</v>
      </c>
    </row>
    <row r="107" ht="38.25">
      <c r="B107" s="48" t="str">
        <f>Source!EO63</f>
        <v>Поправка: М-ка 421/пр 04.08.20 п.58 п.п. б)</v>
      </c>
    </row>
    <row r="108" ht="12.75">
      <c r="C108" s="45" t="str">
        <f>"Объем: "&amp;Source!K63&amp;"=650/"&amp;"100"</f>
        <v>Объем: 6,5=650/100</v>
      </c>
    </row>
    <row r="109" spans="1:12" ht="14.25">
      <c r="A109" s="72"/>
      <c r="B109" s="73">
        <v>1</v>
      </c>
      <c r="C109" s="72" t="s">
        <v>408</v>
      </c>
      <c r="D109" s="53"/>
      <c r="E109" s="54"/>
      <c r="F109" s="54"/>
      <c r="G109" s="54"/>
      <c r="H109" s="55">
        <f>Source!AO63</f>
        <v>349.83</v>
      </c>
      <c r="I109" s="56">
        <f>ROUND(1.15,7)</f>
        <v>1.15</v>
      </c>
      <c r="J109" s="55">
        <f>ROUND(Source!AF63*Source!I63,2)</f>
        <v>2614.95</v>
      </c>
      <c r="K109" s="56">
        <f>IF(Source!BA63&lt;&gt;0,Source!BA63,1)</f>
        <v>38.59</v>
      </c>
      <c r="L109" s="55">
        <f>Source!S63</f>
        <v>100910.92</v>
      </c>
    </row>
    <row r="110" spans="1:12" ht="14.25">
      <c r="A110" s="72"/>
      <c r="B110" s="73">
        <v>3</v>
      </c>
      <c r="C110" s="72" t="s">
        <v>409</v>
      </c>
      <c r="D110" s="53"/>
      <c r="E110" s="54"/>
      <c r="F110" s="54"/>
      <c r="G110" s="54"/>
      <c r="H110" s="55">
        <f>Source!AM63</f>
        <v>10.49</v>
      </c>
      <c r="I110" s="56">
        <f>ROUND(1.25,7)</f>
        <v>1.25</v>
      </c>
      <c r="J110" s="55">
        <f>ROUND(((((Source!ET63*ROUND(1.25,7)))-((Source!EU63*ROUND(1.25,7))))+Source!AE63)*Source!I63,2)</f>
        <v>85.22</v>
      </c>
      <c r="K110" s="56">
        <f>IF(Source!BB63&lt;&gt;0,Source!BB63,1)</f>
        <v>13.43</v>
      </c>
      <c r="L110" s="55">
        <f>Source!Q63</f>
        <v>1144.03</v>
      </c>
    </row>
    <row r="111" spans="1:12" ht="14.25">
      <c r="A111" s="72"/>
      <c r="B111" s="73">
        <v>2</v>
      </c>
      <c r="C111" s="72" t="s">
        <v>410</v>
      </c>
      <c r="D111" s="53"/>
      <c r="E111" s="54"/>
      <c r="F111" s="54"/>
      <c r="G111" s="54"/>
      <c r="H111" s="55">
        <f>Source!AN63</f>
        <v>2.01</v>
      </c>
      <c r="I111" s="56">
        <f>ROUND(1.25,7)</f>
        <v>1.25</v>
      </c>
      <c r="J111" s="57">
        <f>ROUND(Source!AE63*Source!I63,2)</f>
        <v>16.32</v>
      </c>
      <c r="K111" s="56">
        <f>IF(Source!BS63&lt;&gt;0,Source!BS63,1)</f>
        <v>38.59</v>
      </c>
      <c r="L111" s="57">
        <f>Source!R63</f>
        <v>629.6</v>
      </c>
    </row>
    <row r="112" spans="1:12" ht="14.25">
      <c r="A112" s="72"/>
      <c r="B112" s="73">
        <v>4</v>
      </c>
      <c r="C112" s="72" t="s">
        <v>411</v>
      </c>
      <c r="D112" s="53"/>
      <c r="E112" s="54"/>
      <c r="F112" s="54"/>
      <c r="G112" s="54"/>
      <c r="H112" s="55">
        <f>Source!AL63</f>
        <v>280.3</v>
      </c>
      <c r="I112" s="56"/>
      <c r="J112" s="55">
        <f>ROUND(Source!AC63*Source!I63,2)</f>
        <v>1821.95</v>
      </c>
      <c r="K112" s="56">
        <f>IF(Source!BC63&lt;&gt;0,Source!BC63,1)</f>
        <v>6.82</v>
      </c>
      <c r="L112" s="55">
        <f>Source!P63</f>
        <v>12425.7</v>
      </c>
    </row>
    <row r="113" spans="1:12" ht="14.25">
      <c r="A113" s="72"/>
      <c r="B113" s="72"/>
      <c r="C113" s="72" t="s">
        <v>412</v>
      </c>
      <c r="D113" s="53" t="s">
        <v>413</v>
      </c>
      <c r="E113" s="54">
        <f>Source!AQ63</f>
        <v>39</v>
      </c>
      <c r="F113" s="54">
        <f>ROUND(1.15,7)</f>
        <v>1.15</v>
      </c>
      <c r="G113" s="98">
        <f>ROUND(Source!U63,7)</f>
        <v>291.525</v>
      </c>
      <c r="H113" s="55"/>
      <c r="I113" s="56"/>
      <c r="J113" s="55"/>
      <c r="K113" s="56"/>
      <c r="L113" s="55"/>
    </row>
    <row r="114" spans="1:12" ht="14.25">
      <c r="A114" s="72"/>
      <c r="B114" s="72"/>
      <c r="C114" s="74" t="s">
        <v>414</v>
      </c>
      <c r="D114" s="58" t="s">
        <v>413</v>
      </c>
      <c r="E114" s="59">
        <f>Source!AR63</f>
        <v>0.17</v>
      </c>
      <c r="F114" s="59">
        <f>ROUND(1.25,7)</f>
        <v>1.25</v>
      </c>
      <c r="G114" s="99">
        <f>ROUND(Source!V63,7)</f>
        <v>1.38125</v>
      </c>
      <c r="H114" s="60"/>
      <c r="I114" s="61"/>
      <c r="J114" s="60"/>
      <c r="K114" s="61"/>
      <c r="L114" s="60"/>
    </row>
    <row r="115" spans="1:12" ht="14.25">
      <c r="A115" s="72"/>
      <c r="B115" s="72"/>
      <c r="C115" s="72" t="s">
        <v>415</v>
      </c>
      <c r="D115" s="53"/>
      <c r="E115" s="54"/>
      <c r="F115" s="54"/>
      <c r="G115" s="54"/>
      <c r="H115" s="55">
        <f>H109+H110+H112</f>
        <v>640.62</v>
      </c>
      <c r="I115" s="56"/>
      <c r="J115" s="55">
        <f>J109+J110+J112</f>
        <v>4522.12</v>
      </c>
      <c r="K115" s="56"/>
      <c r="L115" s="55">
        <f>L109+L110+L112</f>
        <v>114480.65</v>
      </c>
    </row>
    <row r="116" spans="1:56" ht="42.75">
      <c r="A116" s="72" t="s">
        <v>97</v>
      </c>
      <c r="B116" s="72" t="s">
        <v>434</v>
      </c>
      <c r="C116" s="72" t="str">
        <f>Source!G65</f>
        <v>Краска акриловая: Alpina ULTRAWEISS, CAPAROL водно-дисперсионная</v>
      </c>
      <c r="D116" s="53" t="str">
        <f>Source!DW65</f>
        <v>т</v>
      </c>
      <c r="E116" s="98">
        <f>SmtRes!AT63</f>
        <v>0.063</v>
      </c>
      <c r="F116" s="54"/>
      <c r="G116" s="98">
        <f>Source!I65</f>
        <v>0.4095</v>
      </c>
      <c r="H116" s="55">
        <f>Source!AL65+Source!AO65+Source!AM65</f>
        <v>13287.69</v>
      </c>
      <c r="I116" s="56"/>
      <c r="J116" s="55">
        <f>ROUND(Source!AC65*Source!I65,2)+ROUND((((Source!ET65)-(Source!EU65))+Source!AE65)*Source!I65,2)+ROUND(Source!AF65*Source!I65,2)</f>
        <v>5441.31</v>
      </c>
      <c r="K116" s="56">
        <f>IF(Source!BC65&lt;&gt;0,Source!BC65,1)</f>
        <v>6.82</v>
      </c>
      <c r="L116" s="55">
        <f>Source!O65</f>
        <v>37109.73</v>
      </c>
      <c r="AF116" s="47">
        <f>J116</f>
        <v>5441.31</v>
      </c>
      <c r="AG116">
        <f>ROUND((Source!AT65/100)*((ROUND(Source!AF65*Source!I65,2)+ROUND(Source!AE65*Source!I65,2))),2)</f>
        <v>0</v>
      </c>
      <c r="AH116">
        <f>Source!X65</f>
        <v>0</v>
      </c>
      <c r="AI116">
        <f>ROUND((Source!AU65/100)*((ROUND(Source!AF65*Source!I65,2)+ROUND(Source!AE65*Source!I65,2))),2)</f>
        <v>0</v>
      </c>
      <c r="AJ116">
        <f>Source!Y65</f>
        <v>0</v>
      </c>
      <c r="AN116">
        <f>IF(Source!BI65&lt;=1,J116,0)</f>
        <v>5441.31</v>
      </c>
      <c r="AO116">
        <f>IF(Source!BI65&lt;=1,J116,0)</f>
        <v>5441.31</v>
      </c>
      <c r="AS116">
        <f>IF(Source!BI65&lt;=1,AH116,0)</f>
        <v>0</v>
      </c>
      <c r="AT116">
        <f>IF(Source!BI65&lt;=1,AJ116,0)</f>
        <v>0</v>
      </c>
      <c r="AX116">
        <f>IF(Source!BI65=2,J116,0)</f>
        <v>0</v>
      </c>
      <c r="AY116">
        <f>IF(Source!BI65=2,J116,0)</f>
        <v>0</v>
      </c>
      <c r="BC116">
        <f>IF(Source!BI65=2,AH116,0)</f>
        <v>0</v>
      </c>
      <c r="BD116">
        <f>IF(Source!BI65=2,AJ116,0)</f>
        <v>0</v>
      </c>
    </row>
    <row r="117" spans="1:12" ht="14.25">
      <c r="A117" s="72"/>
      <c r="B117" s="72"/>
      <c r="C117" s="72" t="s">
        <v>416</v>
      </c>
      <c r="D117" s="53"/>
      <c r="E117" s="54"/>
      <c r="F117" s="54"/>
      <c r="G117" s="54"/>
      <c r="H117" s="55"/>
      <c r="I117" s="56"/>
      <c r="J117" s="55">
        <f>SUM(Q106:Q120)+SUM(V106:V120)+SUM(X106:X120)+SUM(Y106:Y120)</f>
        <v>2631.27</v>
      </c>
      <c r="K117" s="56"/>
      <c r="L117" s="55">
        <f>SUM(U106:U120)+SUM(W106:W120)+SUM(Z106:Z120)+SUM(AA106:AA120)</f>
        <v>101540.52</v>
      </c>
    </row>
    <row r="118" spans="1:12" ht="28.5">
      <c r="A118" s="72"/>
      <c r="B118" s="72" t="s">
        <v>425</v>
      </c>
      <c r="C118" s="72" t="s">
        <v>426</v>
      </c>
      <c r="D118" s="53" t="s">
        <v>418</v>
      </c>
      <c r="E118" s="54">
        <f>Source!BZ63</f>
        <v>100</v>
      </c>
      <c r="F118" s="54">
        <f>ROUND(0.9,7)</f>
        <v>0.9</v>
      </c>
      <c r="G118" s="54">
        <f>Source!AT63</f>
        <v>90</v>
      </c>
      <c r="H118" s="55"/>
      <c r="I118" s="56"/>
      <c r="J118" s="55">
        <f>SUM(AG106:AG120)</f>
        <v>2368.14</v>
      </c>
      <c r="K118" s="56"/>
      <c r="L118" s="55">
        <f>SUM(AH106:AH120)</f>
        <v>91386.47</v>
      </c>
    </row>
    <row r="119" spans="1:12" ht="28.5">
      <c r="A119" s="74"/>
      <c r="B119" s="74" t="s">
        <v>427</v>
      </c>
      <c r="C119" s="74" t="s">
        <v>428</v>
      </c>
      <c r="D119" s="58" t="s">
        <v>418</v>
      </c>
      <c r="E119" s="59">
        <f>Source!CA63</f>
        <v>49</v>
      </c>
      <c r="F119" s="59">
        <f>ROUND(0.85,7)</f>
        <v>0.85</v>
      </c>
      <c r="G119" s="59">
        <f>Source!AU63</f>
        <v>41.65</v>
      </c>
      <c r="H119" s="60"/>
      <c r="I119" s="61"/>
      <c r="J119" s="60">
        <f>SUM(AI106:AI120)</f>
        <v>1095.92</v>
      </c>
      <c r="K119" s="61"/>
      <c r="L119" s="60">
        <f>SUM(AJ106:AJ120)</f>
        <v>42291.63</v>
      </c>
    </row>
    <row r="120" spans="3:53" ht="15">
      <c r="C120" s="133" t="s">
        <v>420</v>
      </c>
      <c r="D120" s="133"/>
      <c r="E120" s="133"/>
      <c r="F120" s="133"/>
      <c r="G120" s="133"/>
      <c r="H120" s="133"/>
      <c r="I120" s="133">
        <f>J109+J110+J112+J118+J119+SUM(J116:J116)</f>
        <v>13427.490000000002</v>
      </c>
      <c r="J120" s="133"/>
      <c r="K120" s="133">
        <f>L109+L110+L112+L118+L119+SUM(L116:L116)</f>
        <v>285268.48</v>
      </c>
      <c r="L120" s="133"/>
      <c r="O120" s="47">
        <f>I120</f>
        <v>13427.490000000002</v>
      </c>
      <c r="P120" s="47">
        <f>K120</f>
        <v>285268.48</v>
      </c>
      <c r="Q120" s="47">
        <f>J109</f>
        <v>2614.95</v>
      </c>
      <c r="R120" s="47">
        <f>J109</f>
        <v>2614.95</v>
      </c>
      <c r="U120" s="47">
        <f>L109</f>
        <v>100910.92</v>
      </c>
      <c r="X120" s="47">
        <f>J111</f>
        <v>16.32</v>
      </c>
      <c r="Z120" s="47">
        <f>L111</f>
        <v>629.6</v>
      </c>
      <c r="AB120" s="47">
        <f>J110</f>
        <v>85.22</v>
      </c>
      <c r="AD120" s="47">
        <f>L110</f>
        <v>1144.03</v>
      </c>
      <c r="AF120" s="47">
        <f>J112</f>
        <v>1821.95</v>
      </c>
      <c r="AN120">
        <f>IF(Source!BI63&lt;=1,J109+J110+J112+J118+J119,0)</f>
        <v>7986.18</v>
      </c>
      <c r="AO120">
        <f>IF(Source!BI63&lt;=1,J112,0)</f>
        <v>1821.95</v>
      </c>
      <c r="AP120">
        <f>IF(Source!BI63&lt;=1,J110,0)</f>
        <v>85.22</v>
      </c>
      <c r="AQ120">
        <f>IF(Source!BI63&lt;=1,J109,0)</f>
        <v>2614.95</v>
      </c>
      <c r="AX120">
        <f>IF(Source!BI63=2,J109+J110+J112+J118+J119,0)</f>
        <v>0</v>
      </c>
      <c r="AY120">
        <f>IF(Source!BI63=2,J112,0)</f>
        <v>0</v>
      </c>
      <c r="AZ120">
        <f>IF(Source!BI63=2,J110,0)</f>
        <v>0</v>
      </c>
      <c r="BA120">
        <f>IF(Source!BI63=2,J109,0)</f>
        <v>0</v>
      </c>
    </row>
    <row r="122" spans="1:95" ht="15">
      <c r="A122" s="63"/>
      <c r="B122" s="64"/>
      <c r="C122" s="122" t="s">
        <v>435</v>
      </c>
      <c r="D122" s="122"/>
      <c r="E122" s="122"/>
      <c r="F122" s="122"/>
      <c r="G122" s="122"/>
      <c r="H122" s="122"/>
      <c r="I122" s="65"/>
      <c r="J122" s="66">
        <f>J124+J125+J126+J127</f>
        <v>19523.440000000002</v>
      </c>
      <c r="K122" s="66"/>
      <c r="L122" s="66">
        <f>L124+L125+L126+L127</f>
        <v>332485.19</v>
      </c>
      <c r="CQ122" s="76" t="s">
        <v>435</v>
      </c>
    </row>
    <row r="123" spans="1:12" ht="14.25">
      <c r="A123" s="67"/>
      <c r="B123" s="68"/>
      <c r="C123" s="121" t="s">
        <v>436</v>
      </c>
      <c r="D123" s="120"/>
      <c r="E123" s="120"/>
      <c r="F123" s="120"/>
      <c r="G123" s="120"/>
      <c r="H123" s="120"/>
      <c r="I123" s="69"/>
      <c r="J123" s="70"/>
      <c r="K123" s="70"/>
      <c r="L123" s="70"/>
    </row>
    <row r="124" spans="1:12" ht="14.25">
      <c r="A124" s="67"/>
      <c r="B124" s="68"/>
      <c r="C124" s="120" t="s">
        <v>437</v>
      </c>
      <c r="D124" s="120"/>
      <c r="E124" s="120"/>
      <c r="F124" s="120"/>
      <c r="G124" s="120"/>
      <c r="H124" s="120"/>
      <c r="I124" s="69"/>
      <c r="J124" s="70">
        <f>SUM(Q49:Q120)</f>
        <v>6056.01</v>
      </c>
      <c r="K124" s="70"/>
      <c r="L124" s="70">
        <f>SUM(U49:U120)</f>
        <v>233701.55</v>
      </c>
    </row>
    <row r="125" spans="1:12" ht="14.25">
      <c r="A125" s="67"/>
      <c r="B125" s="68"/>
      <c r="C125" s="120" t="s">
        <v>438</v>
      </c>
      <c r="D125" s="120"/>
      <c r="E125" s="120"/>
      <c r="F125" s="120"/>
      <c r="G125" s="120"/>
      <c r="H125" s="120"/>
      <c r="I125" s="69"/>
      <c r="J125" s="70">
        <f>SUM(AB49:AB120)</f>
        <v>1049.33</v>
      </c>
      <c r="K125" s="70"/>
      <c r="L125" s="70">
        <f>SUM(AD49:AD120)</f>
        <v>14092.19</v>
      </c>
    </row>
    <row r="126" spans="1:12" ht="14.25">
      <c r="A126" s="67"/>
      <c r="B126" s="68"/>
      <c r="C126" s="120" t="s">
        <v>439</v>
      </c>
      <c r="D126" s="120"/>
      <c r="E126" s="120"/>
      <c r="F126" s="120"/>
      <c r="G126" s="120"/>
      <c r="H126" s="120"/>
      <c r="I126" s="69"/>
      <c r="J126" s="70">
        <f>SUM(AF49:AF120)-J131</f>
        <v>12418.100000000002</v>
      </c>
      <c r="K126" s="70"/>
      <c r="L126" s="70">
        <f>Source!P70-L131</f>
        <v>84691.45</v>
      </c>
    </row>
    <row r="127" spans="1:12" ht="13.5" customHeight="1" hidden="1">
      <c r="A127" s="67"/>
      <c r="B127" s="68"/>
      <c r="C127" s="120" t="s">
        <v>440</v>
      </c>
      <c r="D127" s="120"/>
      <c r="E127" s="120"/>
      <c r="F127" s="120"/>
      <c r="G127" s="120"/>
      <c r="H127" s="120"/>
      <c r="I127" s="69"/>
      <c r="J127" s="70">
        <f>SUM(AR49:AR120)+SUM(BB49:BB120)+SUM(BI49:BI120)+SUM(BP49:BP120)</f>
        <v>0</v>
      </c>
      <c r="K127" s="70"/>
      <c r="L127" s="70">
        <f>Source!P92</f>
        <v>0</v>
      </c>
    </row>
    <row r="128" spans="1:12" ht="14.25">
      <c r="A128" s="67"/>
      <c r="B128" s="68"/>
      <c r="C128" s="120" t="s">
        <v>441</v>
      </c>
      <c r="D128" s="120"/>
      <c r="E128" s="120"/>
      <c r="F128" s="120"/>
      <c r="G128" s="120"/>
      <c r="H128" s="120"/>
      <c r="I128" s="69"/>
      <c r="J128" s="70">
        <f>SUM(Q49:Q120)+SUM(X49:X120)</f>
        <v>6262.02</v>
      </c>
      <c r="K128" s="70"/>
      <c r="L128" s="70">
        <f>SUM(U49:U120)+SUM(Z49:Z120)</f>
        <v>241651.31</v>
      </c>
    </row>
    <row r="129" spans="1:12" ht="14.25">
      <c r="A129" s="67"/>
      <c r="B129" s="68"/>
      <c r="C129" s="120" t="s">
        <v>442</v>
      </c>
      <c r="D129" s="120"/>
      <c r="E129" s="120"/>
      <c r="F129" s="120"/>
      <c r="G129" s="120"/>
      <c r="H129" s="120"/>
      <c r="I129" s="69"/>
      <c r="J129" s="70">
        <f>SUM(AG49:AG120)</f>
        <v>5630.450000000001</v>
      </c>
      <c r="K129" s="70"/>
      <c r="L129" s="70">
        <f>Source!P93</f>
        <v>217279.22</v>
      </c>
    </row>
    <row r="130" spans="1:12" ht="14.25">
      <c r="A130" s="67"/>
      <c r="B130" s="68"/>
      <c r="C130" s="120" t="s">
        <v>443</v>
      </c>
      <c r="D130" s="120"/>
      <c r="E130" s="120"/>
      <c r="F130" s="120"/>
      <c r="G130" s="120"/>
      <c r="H130" s="120"/>
      <c r="I130" s="69"/>
      <c r="J130" s="70">
        <f>SUM(AI49:AI120)</f>
        <v>2621.8100000000004</v>
      </c>
      <c r="K130" s="70"/>
      <c r="L130" s="70">
        <f>Source!P94</f>
        <v>101175.67</v>
      </c>
    </row>
    <row r="131" spans="1:12" ht="13.5" customHeight="1" hidden="1">
      <c r="A131" s="67"/>
      <c r="B131" s="68"/>
      <c r="C131" s="120" t="s">
        <v>444</v>
      </c>
      <c r="D131" s="120"/>
      <c r="E131" s="120"/>
      <c r="F131" s="120"/>
      <c r="G131" s="120"/>
      <c r="H131" s="120"/>
      <c r="I131" s="69"/>
      <c r="J131" s="70">
        <f>SUM(BH49:BH120)</f>
        <v>0</v>
      </c>
      <c r="K131" s="70"/>
      <c r="L131" s="70">
        <f>Source!P76</f>
        <v>0</v>
      </c>
    </row>
    <row r="132" spans="1:12" ht="13.5" customHeight="1" hidden="1">
      <c r="A132" s="67"/>
      <c r="B132" s="68"/>
      <c r="C132" s="120" t="s">
        <v>445</v>
      </c>
      <c r="D132" s="120"/>
      <c r="E132" s="120"/>
      <c r="F132" s="120"/>
      <c r="G132" s="120"/>
      <c r="H132" s="120"/>
      <c r="I132" s="69"/>
      <c r="J132" s="70">
        <f>SUM(BM49:BM120)+SUM(BN49:BN120)+SUM(BO49:BO120)+SUM(BP49:BP120)</f>
        <v>0</v>
      </c>
      <c r="K132" s="70"/>
      <c r="L132" s="70">
        <f>Source!P86</f>
        <v>0</v>
      </c>
    </row>
    <row r="133" spans="1:12" ht="15">
      <c r="A133" s="63"/>
      <c r="B133" s="64"/>
      <c r="C133" s="122" t="s">
        <v>446</v>
      </c>
      <c r="D133" s="122"/>
      <c r="E133" s="122"/>
      <c r="F133" s="122"/>
      <c r="G133" s="122"/>
      <c r="H133" s="122"/>
      <c r="I133" s="65"/>
      <c r="J133" s="66">
        <f>J122+J129+J130+J131</f>
        <v>27775.700000000004</v>
      </c>
      <c r="K133" s="66"/>
      <c r="L133" s="66">
        <f>Source!P95</f>
        <v>650940.08</v>
      </c>
    </row>
    <row r="134" spans="1:12" ht="13.5" customHeight="1" hidden="1">
      <c r="A134" s="67"/>
      <c r="B134" s="68"/>
      <c r="C134" s="121" t="s">
        <v>447</v>
      </c>
      <c r="D134" s="120"/>
      <c r="E134" s="120"/>
      <c r="F134" s="120"/>
      <c r="G134" s="120"/>
      <c r="H134" s="120"/>
      <c r="I134" s="69"/>
      <c r="J134" s="70"/>
      <c r="K134" s="70"/>
      <c r="L134" s="70"/>
    </row>
    <row r="135" spans="1:12" ht="13.5" customHeight="1" hidden="1">
      <c r="A135" s="67"/>
      <c r="B135" s="68"/>
      <c r="C135" s="120" t="s">
        <v>448</v>
      </c>
      <c r="D135" s="120"/>
      <c r="E135" s="120"/>
      <c r="F135" s="120"/>
      <c r="G135" s="120"/>
      <c r="H135" s="120"/>
      <c r="I135" s="69"/>
      <c r="J135" s="70"/>
      <c r="K135" s="70"/>
      <c r="L135" s="70">
        <f>SUM(BS49:BS120)</f>
        <v>0</v>
      </c>
    </row>
    <row r="136" spans="1:12" ht="13.5" customHeight="1" hidden="1">
      <c r="A136" s="67"/>
      <c r="B136" s="68"/>
      <c r="C136" s="120" t="s">
        <v>449</v>
      </c>
      <c r="D136" s="120"/>
      <c r="E136" s="120"/>
      <c r="F136" s="120"/>
      <c r="G136" s="120"/>
      <c r="H136" s="120"/>
      <c r="I136" s="69"/>
      <c r="J136" s="70"/>
      <c r="K136" s="70"/>
      <c r="L136" s="70">
        <f>SUM(BT49:BT120)</f>
        <v>0</v>
      </c>
    </row>
    <row r="138" spans="1:12" ht="16.5">
      <c r="A138" s="132" t="s">
        <v>450</v>
      </c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</row>
    <row r="139" spans="1:56" ht="117.75">
      <c r="A139" s="72">
        <v>5</v>
      </c>
      <c r="B139" s="72" t="s">
        <v>451</v>
      </c>
      <c r="C139" s="72" t="s">
        <v>452</v>
      </c>
      <c r="D139" s="53" t="str">
        <f>Source!DW102</f>
        <v>100 ШТ</v>
      </c>
      <c r="E139" s="54">
        <f>Source!K102</f>
        <v>0.07</v>
      </c>
      <c r="F139" s="54"/>
      <c r="G139" s="54">
        <f>Source!I102</f>
        <v>0.07</v>
      </c>
      <c r="H139" s="55"/>
      <c r="I139" s="56"/>
      <c r="J139" s="55"/>
      <c r="K139" s="56"/>
      <c r="L139" s="55"/>
      <c r="AG139">
        <f>ROUND((Source!AT102/100)*((ROUND(Source!AF102*Source!I102,2)+ROUND(Source!AE102*Source!I102,2))),2)</f>
        <v>31.48</v>
      </c>
      <c r="AH139">
        <f>Source!X102</f>
        <v>1215.03</v>
      </c>
      <c r="AI139">
        <f>ROUND((Source!AU102/100)*((ROUND(Source!AF102*Source!I102,2)+ROUND(Source!AE102*Source!I102,2))),2)</f>
        <v>16.03</v>
      </c>
      <c r="AJ139">
        <f>Source!Y102</f>
        <v>618.77</v>
      </c>
      <c r="AS139">
        <f>IF(Source!BI102&lt;=1,AH139,0)</f>
        <v>1215.03</v>
      </c>
      <c r="AT139">
        <f>IF(Source!BI102&lt;=1,AJ139,0)</f>
        <v>618.77</v>
      </c>
      <c r="BC139">
        <f>IF(Source!BI102=2,AH139,0)</f>
        <v>0</v>
      </c>
      <c r="BD139">
        <f>IF(Source!BI102=2,AJ139,0)</f>
        <v>0</v>
      </c>
    </row>
    <row r="140" ht="25.5">
      <c r="B140" s="48" t="str">
        <f>Source!EO102</f>
        <v>Поправка: МР 571/пр Табл.2, п.4</v>
      </c>
    </row>
    <row r="141" ht="12.75">
      <c r="C141" s="45" t="str">
        <f>"Объем: "&amp;Source!K102&amp;"=7/"&amp;"100"</f>
        <v>Объем: 0,07=7/100</v>
      </c>
    </row>
    <row r="142" spans="1:12" ht="14.25">
      <c r="A142" s="72"/>
      <c r="B142" s="73">
        <v>1</v>
      </c>
      <c r="C142" s="72" t="s">
        <v>408</v>
      </c>
      <c r="D142" s="53"/>
      <c r="E142" s="54"/>
      <c r="F142" s="54"/>
      <c r="G142" s="54"/>
      <c r="H142" s="55">
        <f>Source!AO102</f>
        <v>542.95</v>
      </c>
      <c r="I142" s="56">
        <f>ROUND(0.7,7)</f>
        <v>0.7</v>
      </c>
      <c r="J142" s="55">
        <f>ROUND(Source!AF102*Source!I102,2)</f>
        <v>26.6</v>
      </c>
      <c r="K142" s="56">
        <f>IF(Source!BA102&lt;&gt;0,Source!BA102,1)</f>
        <v>38.59</v>
      </c>
      <c r="L142" s="55">
        <f>Source!S102</f>
        <v>1026.68</v>
      </c>
    </row>
    <row r="143" spans="1:12" ht="14.25">
      <c r="A143" s="72"/>
      <c r="B143" s="73">
        <v>3</v>
      </c>
      <c r="C143" s="72" t="s">
        <v>409</v>
      </c>
      <c r="D143" s="53"/>
      <c r="E143" s="54"/>
      <c r="F143" s="54"/>
      <c r="G143" s="54"/>
      <c r="H143" s="55">
        <f>Source!AM102</f>
        <v>216.38</v>
      </c>
      <c r="I143" s="56">
        <f>ROUND(0.7,7)</f>
        <v>0.7</v>
      </c>
      <c r="J143" s="55">
        <f>ROUND(((((Source!ET102*ROUND(0.7,7)))-((Source!EU102*ROUND(0.7,7))))+Source!AE102)*Source!I102,2)</f>
        <v>10.6</v>
      </c>
      <c r="K143" s="56">
        <f>IF(Source!BB102&lt;&gt;0,Source!BB102,1)</f>
        <v>13.43</v>
      </c>
      <c r="L143" s="55">
        <f>Source!Q102</f>
        <v>142.4</v>
      </c>
    </row>
    <row r="144" spans="1:12" ht="14.25">
      <c r="A144" s="72"/>
      <c r="B144" s="73">
        <v>2</v>
      </c>
      <c r="C144" s="72" t="s">
        <v>410</v>
      </c>
      <c r="D144" s="53"/>
      <c r="E144" s="54"/>
      <c r="F144" s="54"/>
      <c r="G144" s="54"/>
      <c r="H144" s="55">
        <f>Source!AN102</f>
        <v>52.01</v>
      </c>
      <c r="I144" s="56">
        <f>ROUND(0.7,7)</f>
        <v>0.7</v>
      </c>
      <c r="J144" s="57">
        <f>ROUND(Source!AE102*Source!I102,2)</f>
        <v>2.55</v>
      </c>
      <c r="K144" s="56">
        <f>IF(Source!BS102&lt;&gt;0,Source!BS102,1)</f>
        <v>38.59</v>
      </c>
      <c r="L144" s="57">
        <f>Source!R102</f>
        <v>98.35</v>
      </c>
    </row>
    <row r="145" spans="1:12" ht="14.25">
      <c r="A145" s="72"/>
      <c r="B145" s="73">
        <v>4</v>
      </c>
      <c r="C145" s="72" t="s">
        <v>411</v>
      </c>
      <c r="D145" s="53"/>
      <c r="E145" s="54"/>
      <c r="F145" s="54"/>
      <c r="G145" s="54"/>
      <c r="H145" s="55">
        <f>Source!AL102</f>
        <v>1633.36</v>
      </c>
      <c r="I145" s="56">
        <f>ROUND(0,7)</f>
        <v>0</v>
      </c>
      <c r="J145" s="55">
        <f>ROUND(Source!AC102*Source!I102,2)</f>
        <v>0</v>
      </c>
      <c r="K145" s="56">
        <f>IF(Source!BC102&lt;&gt;0,Source!BC102,1)</f>
        <v>6.82</v>
      </c>
      <c r="L145" s="55">
        <f>Source!P102</f>
        <v>0</v>
      </c>
    </row>
    <row r="146" spans="1:12" ht="14.25">
      <c r="A146" s="72"/>
      <c r="B146" s="100"/>
      <c r="C146" s="72" t="s">
        <v>412</v>
      </c>
      <c r="D146" s="53" t="s">
        <v>413</v>
      </c>
      <c r="E146" s="54">
        <f>Source!AQ102</f>
        <v>67.7</v>
      </c>
      <c r="F146" s="54">
        <f>ROUND(0.7,7)</f>
        <v>0.7</v>
      </c>
      <c r="G146" s="98">
        <f>ROUND(Source!U102,7)</f>
        <v>3.3173</v>
      </c>
      <c r="H146" s="55"/>
      <c r="I146" s="56"/>
      <c r="J146" s="55"/>
      <c r="K146" s="56"/>
      <c r="L146" s="55"/>
    </row>
    <row r="147" spans="1:12" ht="14.25">
      <c r="A147" s="72"/>
      <c r="B147" s="72"/>
      <c r="C147" s="74" t="s">
        <v>414</v>
      </c>
      <c r="D147" s="58" t="s">
        <v>413</v>
      </c>
      <c r="E147" s="59">
        <f>Source!AR102</f>
        <v>4.2</v>
      </c>
      <c r="F147" s="59">
        <f>ROUND(0.7,7)</f>
        <v>0.7</v>
      </c>
      <c r="G147" s="99">
        <f>ROUND(Source!V102,7)</f>
        <v>0.2058</v>
      </c>
      <c r="H147" s="60"/>
      <c r="I147" s="61"/>
      <c r="J147" s="60"/>
      <c r="K147" s="61"/>
      <c r="L147" s="60"/>
    </row>
    <row r="148" spans="1:12" ht="14.25">
      <c r="A148" s="72"/>
      <c r="B148" s="72"/>
      <c r="C148" s="72" t="s">
        <v>415</v>
      </c>
      <c r="D148" s="53"/>
      <c r="E148" s="54"/>
      <c r="F148" s="54"/>
      <c r="G148" s="54"/>
      <c r="H148" s="55">
        <f>H142+H143+H145</f>
        <v>2392.69</v>
      </c>
      <c r="I148" s="56"/>
      <c r="J148" s="55">
        <f>J142+J143+J145</f>
        <v>37.2</v>
      </c>
      <c r="K148" s="56"/>
      <c r="L148" s="55">
        <f>L142+L143+L145</f>
        <v>1169.0800000000002</v>
      </c>
    </row>
    <row r="149" spans="1:12" ht="14.25">
      <c r="A149" s="72"/>
      <c r="B149" s="72"/>
      <c r="C149" s="72" t="s">
        <v>416</v>
      </c>
      <c r="D149" s="53"/>
      <c r="E149" s="54"/>
      <c r="F149" s="54"/>
      <c r="G149" s="54"/>
      <c r="H149" s="55"/>
      <c r="I149" s="56"/>
      <c r="J149" s="55">
        <f>SUM(Q139:Q152)+SUM(V139:V152)+SUM(X139:X152)+SUM(Y139:Y152)</f>
        <v>29.150000000000002</v>
      </c>
      <c r="K149" s="56"/>
      <c r="L149" s="55">
        <f>SUM(U139:U152)+SUM(W139:W152)+SUM(Z139:Z152)+SUM(AA139:AA152)</f>
        <v>1125.03</v>
      </c>
    </row>
    <row r="150" spans="1:12" ht="14.25">
      <c r="A150" s="72"/>
      <c r="B150" s="72" t="s">
        <v>167</v>
      </c>
      <c r="C150" s="72" t="s">
        <v>453</v>
      </c>
      <c r="D150" s="53" t="s">
        <v>418</v>
      </c>
      <c r="E150" s="54">
        <f>Source!BZ102</f>
        <v>108</v>
      </c>
      <c r="F150" s="54"/>
      <c r="G150" s="54">
        <f>Source!AT102</f>
        <v>108</v>
      </c>
      <c r="H150" s="55"/>
      <c r="I150" s="56"/>
      <c r="J150" s="55">
        <f>SUM(AG139:AG152)</f>
        <v>31.48</v>
      </c>
      <c r="K150" s="56"/>
      <c r="L150" s="55">
        <f>SUM(AH139:AH152)</f>
        <v>1215.03</v>
      </c>
    </row>
    <row r="151" spans="1:12" ht="14.25">
      <c r="A151" s="74"/>
      <c r="B151" s="74" t="s">
        <v>168</v>
      </c>
      <c r="C151" s="74" t="s">
        <v>454</v>
      </c>
      <c r="D151" s="58" t="s">
        <v>418</v>
      </c>
      <c r="E151" s="59">
        <f>Source!CA102</f>
        <v>55</v>
      </c>
      <c r="F151" s="59"/>
      <c r="G151" s="59">
        <f>Source!AU102</f>
        <v>55</v>
      </c>
      <c r="H151" s="60"/>
      <c r="I151" s="61"/>
      <c r="J151" s="60">
        <f>SUM(AI139:AI152)</f>
        <v>16.03</v>
      </c>
      <c r="K151" s="61"/>
      <c r="L151" s="60">
        <f>SUM(AJ139:AJ152)</f>
        <v>618.77</v>
      </c>
    </row>
    <row r="152" spans="3:53" ht="15">
      <c r="C152" s="133" t="s">
        <v>420</v>
      </c>
      <c r="D152" s="133"/>
      <c r="E152" s="133"/>
      <c r="F152" s="133"/>
      <c r="G152" s="133"/>
      <c r="H152" s="133"/>
      <c r="I152" s="133">
        <f>J142+J143+J145+J150+J151</f>
        <v>84.71000000000001</v>
      </c>
      <c r="J152" s="133"/>
      <c r="K152" s="133">
        <f>L142+L143+L145+L150+L151</f>
        <v>3002.88</v>
      </c>
      <c r="L152" s="133"/>
      <c r="O152" s="47">
        <f>I152</f>
        <v>84.71000000000001</v>
      </c>
      <c r="P152" s="47">
        <f>K152</f>
        <v>3002.88</v>
      </c>
      <c r="Q152" s="47">
        <f>J142</f>
        <v>26.6</v>
      </c>
      <c r="R152" s="47">
        <f>J142</f>
        <v>26.6</v>
      </c>
      <c r="U152" s="47">
        <f>L142</f>
        <v>1026.68</v>
      </c>
      <c r="X152" s="47">
        <f>J144</f>
        <v>2.55</v>
      </c>
      <c r="Z152" s="47">
        <f>L144</f>
        <v>98.35</v>
      </c>
      <c r="AB152" s="47">
        <f>J143</f>
        <v>10.6</v>
      </c>
      <c r="AD152" s="47">
        <f>L143</f>
        <v>142.4</v>
      </c>
      <c r="AF152" s="47">
        <f>J145</f>
        <v>0</v>
      </c>
      <c r="AN152">
        <f>IF(Source!BI102&lt;=1,J142+J143+J145+J150+J151,0)</f>
        <v>84.71000000000001</v>
      </c>
      <c r="AO152">
        <f>IF(Source!BI102&lt;=1,J145,0)</f>
        <v>0</v>
      </c>
      <c r="AP152">
        <f>IF(Source!BI102&lt;=1,J143,0)</f>
        <v>10.6</v>
      </c>
      <c r="AQ152">
        <f>IF(Source!BI102&lt;=1,J142,0)</f>
        <v>26.6</v>
      </c>
      <c r="AX152">
        <f>IF(Source!BI102=2,J142+J143+J145+J150+J151,0)</f>
        <v>0</v>
      </c>
      <c r="AY152">
        <f>IF(Source!BI102=2,J145,0)</f>
        <v>0</v>
      </c>
      <c r="AZ152">
        <f>IF(Source!BI102=2,J143,0)</f>
        <v>0</v>
      </c>
      <c r="BA152">
        <f>IF(Source!BI102=2,J142,0)</f>
        <v>0</v>
      </c>
    </row>
    <row r="153" spans="1:56" ht="42.75">
      <c r="A153" s="72">
        <v>6</v>
      </c>
      <c r="B153" s="72" t="s">
        <v>455</v>
      </c>
      <c r="C153" s="72" t="str">
        <f>Source!G104</f>
        <v>Установка шкафов металлических для санитарно-технических систем: на стене или в нише массой до 10 кг</v>
      </c>
      <c r="D153" s="53" t="str">
        <f>Source!DW104</f>
        <v>100 ШТ</v>
      </c>
      <c r="E153" s="54">
        <f>Source!K104</f>
        <v>0.07</v>
      </c>
      <c r="F153" s="54"/>
      <c r="G153" s="54">
        <f>Source!I104</f>
        <v>0.07</v>
      </c>
      <c r="H153" s="55"/>
      <c r="I153" s="56"/>
      <c r="J153" s="55"/>
      <c r="K153" s="56"/>
      <c r="L153" s="55"/>
      <c r="AG153">
        <f>ROUND((Source!AT104/100)*((ROUND(Source!AF104*Source!I104,2)+ROUND(Source!AE104*Source!I104,2))),2)</f>
        <v>105.6</v>
      </c>
      <c r="AH153">
        <f>Source!X104</f>
        <v>4074.66</v>
      </c>
      <c r="AI153">
        <f>ROUND((Source!AU104/100)*((ROUND(Source!AF104*Source!I104,2)+ROUND(Source!AE104*Source!I104,2))),2)</f>
        <v>62.83</v>
      </c>
      <c r="AJ153">
        <f>Source!Y104</f>
        <v>2424.59</v>
      </c>
      <c r="AS153">
        <f>IF(Source!BI104&lt;=1,AH153,0)</f>
        <v>4074.66</v>
      </c>
      <c r="AT153">
        <f>IF(Source!BI104&lt;=1,AJ153,0)</f>
        <v>2424.59</v>
      </c>
      <c r="BC153">
        <f>IF(Source!BI104=2,AH153,0)</f>
        <v>0</v>
      </c>
      <c r="BD153">
        <f>IF(Source!BI104=2,AJ153,0)</f>
        <v>0</v>
      </c>
    </row>
    <row r="155" ht="12.75">
      <c r="C155" s="45" t="str">
        <f>"Объем: "&amp;Source!K104&amp;"=7/"&amp;"100"</f>
        <v>Объем: 0,07=7/100</v>
      </c>
    </row>
    <row r="156" spans="1:12" ht="14.25">
      <c r="A156" s="72"/>
      <c r="B156" s="73">
        <v>1</v>
      </c>
      <c r="C156" s="72" t="s">
        <v>408</v>
      </c>
      <c r="D156" s="53"/>
      <c r="E156" s="54"/>
      <c r="F156" s="54"/>
      <c r="G156" s="54"/>
      <c r="H156" s="55">
        <f>Source!AO104</f>
        <v>1239.09</v>
      </c>
      <c r="I156" s="56"/>
      <c r="J156" s="55">
        <f>ROUND(Source!AF104*Source!I104,2)</f>
        <v>86.74</v>
      </c>
      <c r="K156" s="56">
        <f>IF(Source!BA104&lt;&gt;0,Source!BA104,1)</f>
        <v>38.59</v>
      </c>
      <c r="L156" s="55">
        <f>Source!S104</f>
        <v>3347.15</v>
      </c>
    </row>
    <row r="157" spans="1:12" ht="14.25">
      <c r="A157" s="72"/>
      <c r="B157" s="73">
        <v>3</v>
      </c>
      <c r="C157" s="72" t="s">
        <v>409</v>
      </c>
      <c r="D157" s="53"/>
      <c r="E157" s="54"/>
      <c r="F157" s="54"/>
      <c r="G157" s="54"/>
      <c r="H157" s="55">
        <f>Source!AM104</f>
        <v>54.33</v>
      </c>
      <c r="I157" s="56"/>
      <c r="J157" s="55">
        <f>ROUND((((Source!ET104)-(Source!EU104))+Source!AE104)*Source!I104,2)</f>
        <v>3.8</v>
      </c>
      <c r="K157" s="56">
        <f>IF(Source!BB104&lt;&gt;0,Source!BB104,1)</f>
        <v>13.43</v>
      </c>
      <c r="L157" s="55">
        <f>Source!Q104</f>
        <v>51.08</v>
      </c>
    </row>
    <row r="158" spans="1:12" ht="14.25">
      <c r="A158" s="72"/>
      <c r="B158" s="73">
        <v>2</v>
      </c>
      <c r="C158" s="72" t="s">
        <v>410</v>
      </c>
      <c r="D158" s="53"/>
      <c r="E158" s="54"/>
      <c r="F158" s="54"/>
      <c r="G158" s="54"/>
      <c r="H158" s="55">
        <f>Source!AN104</f>
        <v>7.53</v>
      </c>
      <c r="I158" s="56"/>
      <c r="J158" s="57">
        <f>ROUND(Source!AE104*Source!I104,2)</f>
        <v>0.53</v>
      </c>
      <c r="K158" s="56">
        <f>IF(Source!BS104&lt;&gt;0,Source!BS104,1)</f>
        <v>38.59</v>
      </c>
      <c r="L158" s="57">
        <f>Source!R104</f>
        <v>20.34</v>
      </c>
    </row>
    <row r="159" spans="1:12" ht="14.25">
      <c r="A159" s="72"/>
      <c r="B159" s="73">
        <v>4</v>
      </c>
      <c r="C159" s="72" t="s">
        <v>411</v>
      </c>
      <c r="D159" s="53"/>
      <c r="E159" s="54"/>
      <c r="F159" s="54"/>
      <c r="G159" s="54"/>
      <c r="H159" s="55">
        <f>Source!AL104</f>
        <v>131.6</v>
      </c>
      <c r="I159" s="56"/>
      <c r="J159" s="55">
        <f>ROUND(Source!AC104*Source!I104,2)</f>
        <v>9.21</v>
      </c>
      <c r="K159" s="56">
        <f>IF(Source!BC104&lt;&gt;0,Source!BC104,1)</f>
        <v>6.82</v>
      </c>
      <c r="L159" s="55">
        <f>Source!P104</f>
        <v>62.83</v>
      </c>
    </row>
    <row r="160" spans="1:12" ht="14.25">
      <c r="A160" s="72"/>
      <c r="B160" s="72"/>
      <c r="C160" s="72" t="s">
        <v>412</v>
      </c>
      <c r="D160" s="53" t="s">
        <v>413</v>
      </c>
      <c r="E160" s="54">
        <f>Source!AQ104</f>
        <v>154.5</v>
      </c>
      <c r="F160" s="54"/>
      <c r="G160" s="98">
        <f>ROUND(Source!U104,7)</f>
        <v>10.815</v>
      </c>
      <c r="H160" s="55"/>
      <c r="I160" s="56"/>
      <c r="J160" s="55"/>
      <c r="K160" s="56"/>
      <c r="L160" s="55"/>
    </row>
    <row r="161" spans="1:12" ht="14.25">
      <c r="A161" s="72"/>
      <c r="B161" s="72"/>
      <c r="C161" s="74" t="s">
        <v>414</v>
      </c>
      <c r="D161" s="58" t="s">
        <v>413</v>
      </c>
      <c r="E161" s="59">
        <f>Source!AR104</f>
        <v>0.6</v>
      </c>
      <c r="F161" s="59"/>
      <c r="G161" s="99">
        <f>ROUND(Source!V104,7)</f>
        <v>0.042</v>
      </c>
      <c r="H161" s="60"/>
      <c r="I161" s="61"/>
      <c r="J161" s="60"/>
      <c r="K161" s="61"/>
      <c r="L161" s="60"/>
    </row>
    <row r="162" spans="1:12" ht="14.25">
      <c r="A162" s="72"/>
      <c r="B162" s="72"/>
      <c r="C162" s="72" t="s">
        <v>415</v>
      </c>
      <c r="D162" s="53"/>
      <c r="E162" s="54"/>
      <c r="F162" s="54"/>
      <c r="G162" s="54"/>
      <c r="H162" s="55">
        <f>H156+H157+H159</f>
        <v>1425.0199999999998</v>
      </c>
      <c r="I162" s="56"/>
      <c r="J162" s="55">
        <f>J156+J157+J159</f>
        <v>99.75</v>
      </c>
      <c r="K162" s="56"/>
      <c r="L162" s="55">
        <f>L156+L157+L159</f>
        <v>3461.06</v>
      </c>
    </row>
    <row r="163" spans="1:56" ht="28.5">
      <c r="A163" s="72" t="s">
        <v>178</v>
      </c>
      <c r="B163" s="72" t="s">
        <v>52</v>
      </c>
      <c r="C163" s="72" t="str">
        <f>Source!G106</f>
        <v>Шкаф пожарный ШП-К-310ВЗБ, 00-000000000015053</v>
      </c>
      <c r="D163" s="53" t="str">
        <f>Source!DW106</f>
        <v>ШТ</v>
      </c>
      <c r="E163" s="54">
        <f>SmtRes!AT94</f>
        <v>100</v>
      </c>
      <c r="F163" s="54"/>
      <c r="G163" s="54">
        <f>Source!I106</f>
        <v>7</v>
      </c>
      <c r="H163" s="55">
        <f>Source!AL106+Source!AO106+Source!AM106</f>
        <v>0</v>
      </c>
      <c r="I163" s="56"/>
      <c r="J163" s="55">
        <f>ROUND(Source!AC106*Source!I106,2)+ROUND((((Source!ET106)-(Source!EU106))+Source!AE106)*Source!I106,2)+ROUND(Source!AF106*Source!I106,2)</f>
        <v>0</v>
      </c>
      <c r="K163" s="56"/>
      <c r="L163" s="55"/>
      <c r="AF163" s="47">
        <f>J163</f>
        <v>0</v>
      </c>
      <c r="AG163">
        <f>ROUND((Source!AT106/100)*((ROUND(Source!AF106*Source!I106,2)+ROUND(Source!AE106*Source!I106,2))),2)</f>
        <v>0</v>
      </c>
      <c r="AH163">
        <f>Source!X106</f>
        <v>0</v>
      </c>
      <c r="AI163">
        <f>ROUND((Source!AU106/100)*((ROUND(Source!AF106*Source!I106,2)+ROUND(Source!AE106*Source!I106,2))),2)</f>
        <v>0</v>
      </c>
      <c r="AJ163">
        <f>Source!Y106</f>
        <v>0</v>
      </c>
      <c r="AN163">
        <f>IF(Source!BI106&lt;=1,J163,0)</f>
        <v>0</v>
      </c>
      <c r="AO163">
        <f>IF(Source!BI106&lt;=1,J163,0)</f>
        <v>0</v>
      </c>
      <c r="AS163">
        <f>IF(Source!BI106&lt;=1,AH163,0)</f>
        <v>0</v>
      </c>
      <c r="AT163">
        <f>IF(Source!BI106&lt;=1,AJ163,0)</f>
        <v>0</v>
      </c>
      <c r="AX163">
        <f>IF(Source!BI106=2,J163,0)</f>
        <v>0</v>
      </c>
      <c r="AY163">
        <f>IF(Source!BI106=2,J163,0)</f>
        <v>0</v>
      </c>
      <c r="BC163">
        <f>IF(Source!BI106=2,AH163,0)</f>
        <v>0</v>
      </c>
      <c r="BD163">
        <f>IF(Source!BI106=2,AJ163,0)</f>
        <v>0</v>
      </c>
    </row>
    <row r="164" spans="1:12" ht="14.25">
      <c r="A164" s="72"/>
      <c r="B164" s="72"/>
      <c r="C164" s="72" t="s">
        <v>416</v>
      </c>
      <c r="D164" s="53"/>
      <c r="E164" s="54"/>
      <c r="F164" s="54"/>
      <c r="G164" s="54"/>
      <c r="H164" s="55"/>
      <c r="I164" s="56"/>
      <c r="J164" s="55">
        <f>SUM(Q153:Q167)+SUM(V153:V167)+SUM(X153:X167)+SUM(Y153:Y167)</f>
        <v>87.27</v>
      </c>
      <c r="K164" s="56"/>
      <c r="L164" s="55">
        <f>SUM(U153:U167)+SUM(W153:W167)+SUM(Z153:Z167)+SUM(AA153:AA167)</f>
        <v>3367.4900000000002</v>
      </c>
    </row>
    <row r="165" spans="1:12" ht="71.25">
      <c r="A165" s="72"/>
      <c r="B165" s="72" t="s">
        <v>176</v>
      </c>
      <c r="C165" s="72" t="s">
        <v>456</v>
      </c>
      <c r="D165" s="53" t="s">
        <v>418</v>
      </c>
      <c r="E165" s="54">
        <f>Source!BZ104</f>
        <v>121</v>
      </c>
      <c r="F165" s="54"/>
      <c r="G165" s="54">
        <f>Source!AT104</f>
        <v>121</v>
      </c>
      <c r="H165" s="55"/>
      <c r="I165" s="56"/>
      <c r="J165" s="55">
        <f>SUM(AG153:AG167)</f>
        <v>105.6</v>
      </c>
      <c r="K165" s="56"/>
      <c r="L165" s="55">
        <f>SUM(AH153:AH167)</f>
        <v>4074.66</v>
      </c>
    </row>
    <row r="166" spans="1:12" ht="71.25">
      <c r="A166" s="74"/>
      <c r="B166" s="74" t="s">
        <v>177</v>
      </c>
      <c r="C166" s="74" t="s">
        <v>457</v>
      </c>
      <c r="D166" s="58" t="s">
        <v>418</v>
      </c>
      <c r="E166" s="59">
        <f>Source!CA104</f>
        <v>72</v>
      </c>
      <c r="F166" s="59"/>
      <c r="G166" s="59">
        <f>Source!AU104</f>
        <v>72</v>
      </c>
      <c r="H166" s="60"/>
      <c r="I166" s="61"/>
      <c r="J166" s="60">
        <f>SUM(AI153:AI167)</f>
        <v>62.83</v>
      </c>
      <c r="K166" s="61"/>
      <c r="L166" s="60">
        <f>SUM(AJ153:AJ167)</f>
        <v>2424.59</v>
      </c>
    </row>
    <row r="167" spans="3:53" ht="15">
      <c r="C167" s="133" t="s">
        <v>420</v>
      </c>
      <c r="D167" s="133"/>
      <c r="E167" s="133"/>
      <c r="F167" s="133"/>
      <c r="G167" s="133"/>
      <c r="H167" s="133"/>
      <c r="I167" s="133">
        <f>J156+J157+J159+J165+J166+SUM(J163:J163)</f>
        <v>268.18</v>
      </c>
      <c r="J167" s="133"/>
      <c r="K167" s="133">
        <f>L156+L157+L159+L165+L166+SUM(L163:L163)</f>
        <v>9960.31</v>
      </c>
      <c r="L167" s="133"/>
      <c r="O167" s="47">
        <f>I167</f>
        <v>268.18</v>
      </c>
      <c r="P167" s="47">
        <f>K167</f>
        <v>9960.31</v>
      </c>
      <c r="Q167" s="47">
        <f>J156</f>
        <v>86.74</v>
      </c>
      <c r="R167" s="47">
        <f>J156</f>
        <v>86.74</v>
      </c>
      <c r="U167" s="47">
        <f>L156</f>
        <v>3347.15</v>
      </c>
      <c r="X167" s="47">
        <f>J158</f>
        <v>0.53</v>
      </c>
      <c r="Z167" s="47">
        <f>L158</f>
        <v>20.34</v>
      </c>
      <c r="AB167" s="47">
        <f>J157</f>
        <v>3.8</v>
      </c>
      <c r="AD167" s="47">
        <f>L157</f>
        <v>51.08</v>
      </c>
      <c r="AF167" s="47">
        <f>J159</f>
        <v>9.21</v>
      </c>
      <c r="AN167">
        <f>IF(Source!BI104&lt;=1,J156+J157+J159+J165+J166,0)</f>
        <v>268.18</v>
      </c>
      <c r="AO167">
        <f>IF(Source!BI104&lt;=1,J159,0)</f>
        <v>9.21</v>
      </c>
      <c r="AP167">
        <f>IF(Source!BI104&lt;=1,J157,0)</f>
        <v>3.8</v>
      </c>
      <c r="AQ167">
        <f>IF(Source!BI104&lt;=1,J156,0)</f>
        <v>86.74</v>
      </c>
      <c r="AX167">
        <f>IF(Source!BI104=2,J156+J157+J159+J165+J166,0)</f>
        <v>0</v>
      </c>
      <c r="AY167">
        <f>IF(Source!BI104=2,J159,0)</f>
        <v>0</v>
      </c>
      <c r="AZ167">
        <f>IF(Source!BI104=2,J157,0)</f>
        <v>0</v>
      </c>
      <c r="BA167">
        <f>IF(Source!BI104=2,J156,0)</f>
        <v>0</v>
      </c>
    </row>
    <row r="169" spans="1:95" ht="15">
      <c r="A169" s="63"/>
      <c r="B169" s="64"/>
      <c r="C169" s="122" t="s">
        <v>435</v>
      </c>
      <c r="D169" s="122"/>
      <c r="E169" s="122"/>
      <c r="F169" s="122"/>
      <c r="G169" s="122"/>
      <c r="H169" s="122"/>
      <c r="I169" s="65"/>
      <c r="J169" s="66">
        <f>J171+J172+J173+J174</f>
        <v>136.95000000000002</v>
      </c>
      <c r="K169" s="66"/>
      <c r="L169" s="66">
        <f>L171+L172+L173+L174</f>
        <v>4630.139999999999</v>
      </c>
      <c r="CQ169" s="76" t="s">
        <v>435</v>
      </c>
    </row>
    <row r="170" spans="1:12" ht="14.25">
      <c r="A170" s="67"/>
      <c r="B170" s="68"/>
      <c r="C170" s="121" t="s">
        <v>436</v>
      </c>
      <c r="D170" s="120"/>
      <c r="E170" s="120"/>
      <c r="F170" s="120"/>
      <c r="G170" s="120"/>
      <c r="H170" s="120"/>
      <c r="I170" s="69"/>
      <c r="J170" s="70"/>
      <c r="K170" s="70"/>
      <c r="L170" s="70"/>
    </row>
    <row r="171" spans="1:12" ht="14.25">
      <c r="A171" s="67"/>
      <c r="B171" s="68"/>
      <c r="C171" s="120" t="s">
        <v>437</v>
      </c>
      <c r="D171" s="120"/>
      <c r="E171" s="120"/>
      <c r="F171" s="120"/>
      <c r="G171" s="120"/>
      <c r="H171" s="120"/>
      <c r="I171" s="69"/>
      <c r="J171" s="70">
        <f>SUM(Q138:Q167)</f>
        <v>113.34</v>
      </c>
      <c r="K171" s="70"/>
      <c r="L171" s="70">
        <f>SUM(U138:U167)</f>
        <v>4373.83</v>
      </c>
    </row>
    <row r="172" spans="1:12" ht="14.25">
      <c r="A172" s="67"/>
      <c r="B172" s="68"/>
      <c r="C172" s="120" t="s">
        <v>438</v>
      </c>
      <c r="D172" s="120"/>
      <c r="E172" s="120"/>
      <c r="F172" s="120"/>
      <c r="G172" s="120"/>
      <c r="H172" s="120"/>
      <c r="I172" s="69"/>
      <c r="J172" s="70">
        <f>SUM(AB138:AB167)</f>
        <v>14.399999999999999</v>
      </c>
      <c r="K172" s="70"/>
      <c r="L172" s="70">
        <f>SUM(AD138:AD167)</f>
        <v>193.48000000000002</v>
      </c>
    </row>
    <row r="173" spans="1:12" ht="14.25">
      <c r="A173" s="67"/>
      <c r="B173" s="68"/>
      <c r="C173" s="120" t="s">
        <v>439</v>
      </c>
      <c r="D173" s="120"/>
      <c r="E173" s="120"/>
      <c r="F173" s="120"/>
      <c r="G173" s="120"/>
      <c r="H173" s="120"/>
      <c r="I173" s="69"/>
      <c r="J173" s="70">
        <f>SUM(AF138:AF167)-J178</f>
        <v>9.21</v>
      </c>
      <c r="K173" s="70"/>
      <c r="L173" s="70">
        <f>Source!P111-L178</f>
        <v>62.83</v>
      </c>
    </row>
    <row r="174" spans="1:12" ht="13.5" customHeight="1" hidden="1">
      <c r="A174" s="67"/>
      <c r="B174" s="68"/>
      <c r="C174" s="120" t="s">
        <v>440</v>
      </c>
      <c r="D174" s="120"/>
      <c r="E174" s="120"/>
      <c r="F174" s="120"/>
      <c r="G174" s="120"/>
      <c r="H174" s="120"/>
      <c r="I174" s="69"/>
      <c r="J174" s="70">
        <f>SUM(AR138:AR167)+SUM(BB138:BB167)+SUM(BI138:BI167)+SUM(BP138:BP167)</f>
        <v>0</v>
      </c>
      <c r="K174" s="70"/>
      <c r="L174" s="70">
        <f>Source!P133</f>
        <v>0</v>
      </c>
    </row>
    <row r="175" spans="1:12" ht="14.25">
      <c r="A175" s="67"/>
      <c r="B175" s="68"/>
      <c r="C175" s="120" t="s">
        <v>441</v>
      </c>
      <c r="D175" s="120"/>
      <c r="E175" s="120"/>
      <c r="F175" s="120"/>
      <c r="G175" s="120"/>
      <c r="H175" s="120"/>
      <c r="I175" s="69"/>
      <c r="J175" s="70">
        <f>SUM(Q138:Q167)+SUM(X138:X167)</f>
        <v>116.42</v>
      </c>
      <c r="K175" s="70"/>
      <c r="L175" s="70">
        <f>SUM(U138:U167)+SUM(Z138:Z167)</f>
        <v>4492.5199999999995</v>
      </c>
    </row>
    <row r="176" spans="1:12" ht="14.25">
      <c r="A176" s="67"/>
      <c r="B176" s="68"/>
      <c r="C176" s="120" t="s">
        <v>442</v>
      </c>
      <c r="D176" s="120"/>
      <c r="E176" s="120"/>
      <c r="F176" s="120"/>
      <c r="G176" s="120"/>
      <c r="H176" s="120"/>
      <c r="I176" s="69"/>
      <c r="J176" s="70">
        <f>SUM(AG138:AG167)</f>
        <v>137.07999999999998</v>
      </c>
      <c r="K176" s="70"/>
      <c r="L176" s="70">
        <f>Source!P134</f>
        <v>5289.69</v>
      </c>
    </row>
    <row r="177" spans="1:12" ht="14.25">
      <c r="A177" s="67"/>
      <c r="B177" s="68"/>
      <c r="C177" s="120" t="s">
        <v>443</v>
      </c>
      <c r="D177" s="120"/>
      <c r="E177" s="120"/>
      <c r="F177" s="120"/>
      <c r="G177" s="120"/>
      <c r="H177" s="120"/>
      <c r="I177" s="69"/>
      <c r="J177" s="70">
        <f>SUM(AI138:AI167)</f>
        <v>78.86</v>
      </c>
      <c r="K177" s="70"/>
      <c r="L177" s="70">
        <f>Source!P135</f>
        <v>3043.36</v>
      </c>
    </row>
    <row r="178" spans="1:12" ht="13.5" customHeight="1" hidden="1">
      <c r="A178" s="67"/>
      <c r="B178" s="68"/>
      <c r="C178" s="120" t="s">
        <v>444</v>
      </c>
      <c r="D178" s="120"/>
      <c r="E178" s="120"/>
      <c r="F178" s="120"/>
      <c r="G178" s="120"/>
      <c r="H178" s="120"/>
      <c r="I178" s="69"/>
      <c r="J178" s="70">
        <f>SUM(BH138:BH167)</f>
        <v>0</v>
      </c>
      <c r="K178" s="70"/>
      <c r="L178" s="70">
        <f>Source!P117</f>
        <v>0</v>
      </c>
    </row>
    <row r="179" spans="1:12" ht="13.5" customHeight="1" hidden="1">
      <c r="A179" s="67"/>
      <c r="B179" s="68"/>
      <c r="C179" s="120" t="s">
        <v>445</v>
      </c>
      <c r="D179" s="120"/>
      <c r="E179" s="120"/>
      <c r="F179" s="120"/>
      <c r="G179" s="120"/>
      <c r="H179" s="120"/>
      <c r="I179" s="69"/>
      <c r="J179" s="70">
        <f>SUM(BM138:BM167)+SUM(BN138:BN167)+SUM(BO138:BO167)+SUM(BP138:BP167)</f>
        <v>0</v>
      </c>
      <c r="K179" s="70"/>
      <c r="L179" s="70">
        <f>Source!P127</f>
        <v>0</v>
      </c>
    </row>
    <row r="180" spans="1:12" ht="15">
      <c r="A180" s="63"/>
      <c r="B180" s="64"/>
      <c r="C180" s="122" t="s">
        <v>446</v>
      </c>
      <c r="D180" s="122"/>
      <c r="E180" s="122"/>
      <c r="F180" s="122"/>
      <c r="G180" s="122"/>
      <c r="H180" s="122"/>
      <c r="I180" s="65"/>
      <c r="J180" s="66">
        <f>J169+J176+J177+J178</f>
        <v>352.89</v>
      </c>
      <c r="K180" s="66"/>
      <c r="L180" s="66">
        <f>Source!P136</f>
        <v>12963.19</v>
      </c>
    </row>
    <row r="181" spans="1:12" ht="13.5" customHeight="1" hidden="1">
      <c r="A181" s="67"/>
      <c r="B181" s="68"/>
      <c r="C181" s="121" t="s">
        <v>447</v>
      </c>
      <c r="D181" s="120"/>
      <c r="E181" s="120"/>
      <c r="F181" s="120"/>
      <c r="G181" s="120"/>
      <c r="H181" s="120"/>
      <c r="I181" s="69"/>
      <c r="J181" s="70"/>
      <c r="K181" s="70"/>
      <c r="L181" s="70"/>
    </row>
    <row r="182" spans="1:12" ht="13.5" customHeight="1" hidden="1">
      <c r="A182" s="67"/>
      <c r="B182" s="68"/>
      <c r="C182" s="120" t="s">
        <v>448</v>
      </c>
      <c r="D182" s="120"/>
      <c r="E182" s="120"/>
      <c r="F182" s="120"/>
      <c r="G182" s="120"/>
      <c r="H182" s="120"/>
      <c r="I182" s="69"/>
      <c r="J182" s="70"/>
      <c r="K182" s="70"/>
      <c r="L182" s="70">
        <f>SUM(BS138:BS167)</f>
        <v>0</v>
      </c>
    </row>
    <row r="183" spans="1:12" ht="13.5" customHeight="1" hidden="1">
      <c r="A183" s="67"/>
      <c r="B183" s="68"/>
      <c r="C183" s="120" t="s">
        <v>449</v>
      </c>
      <c r="D183" s="120"/>
      <c r="E183" s="120"/>
      <c r="F183" s="120"/>
      <c r="G183" s="120"/>
      <c r="H183" s="120"/>
      <c r="I183" s="69"/>
      <c r="J183" s="70"/>
      <c r="K183" s="70"/>
      <c r="L183" s="70">
        <f>SUM(BT138:BT167)</f>
        <v>0</v>
      </c>
    </row>
    <row r="185" spans="1:12" ht="16.5">
      <c r="A185" s="132" t="s">
        <v>458</v>
      </c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</row>
    <row r="186" spans="1:56" ht="28.5">
      <c r="A186" s="72">
        <v>7</v>
      </c>
      <c r="B186" s="72" t="s">
        <v>459</v>
      </c>
      <c r="C186" s="72" t="str">
        <f>Source!G143</f>
        <v>Очистка помещений от строительного мусора</v>
      </c>
      <c r="D186" s="53" t="str">
        <f>Source!DW143</f>
        <v>100 т</v>
      </c>
      <c r="E186" s="54">
        <f>Source!K143</f>
        <v>0.0104</v>
      </c>
      <c r="F186" s="54"/>
      <c r="G186" s="54">
        <f>Source!I143</f>
        <v>0.0104</v>
      </c>
      <c r="H186" s="55"/>
      <c r="I186" s="56"/>
      <c r="J186" s="55"/>
      <c r="K186" s="56"/>
      <c r="L186" s="55"/>
      <c r="AG186">
        <f>ROUND((Source!AT143/100)*((ROUND(Source!AF143*Source!I143,2)+ROUND(Source!AE143*Source!I143,2))),2)</f>
        <v>13.05</v>
      </c>
      <c r="AH186">
        <f>Source!X143</f>
        <v>503.26</v>
      </c>
      <c r="AI186">
        <f>ROUND((Source!AU143/100)*((ROUND(Source!AF143*Source!I143,2)+ROUND(Source!AE143*Source!I143,2))),2)</f>
        <v>6.24</v>
      </c>
      <c r="AJ186">
        <f>Source!Y143</f>
        <v>240.69</v>
      </c>
      <c r="AS186">
        <f>IF(Source!BI143&lt;=1,AH186,0)</f>
        <v>503.26</v>
      </c>
      <c r="AT186">
        <f>IF(Source!BI143&lt;=1,AJ186,0)</f>
        <v>240.69</v>
      </c>
      <c r="BC186">
        <f>IF(Source!BI143=2,AH186,0)</f>
        <v>0</v>
      </c>
      <c r="BD186">
        <f>IF(Source!BI143=2,AJ186,0)</f>
        <v>0</v>
      </c>
    </row>
    <row r="188" ht="12.75">
      <c r="C188" s="45" t="str">
        <f>"Объем: "&amp;Source!K143&amp;"=1,04/"&amp;"100"</f>
        <v>Объем: 0,0104=1,04/100</v>
      </c>
    </row>
    <row r="189" spans="1:12" ht="14.25">
      <c r="A189" s="72"/>
      <c r="B189" s="73">
        <v>1</v>
      </c>
      <c r="C189" s="72" t="s">
        <v>408</v>
      </c>
      <c r="D189" s="53"/>
      <c r="E189" s="54"/>
      <c r="F189" s="54"/>
      <c r="G189" s="54"/>
      <c r="H189" s="55">
        <f>Source!AO143</f>
        <v>1363</v>
      </c>
      <c r="I189" s="56"/>
      <c r="J189" s="55">
        <f>ROUND(Source!AF143*Source!I143,2)</f>
        <v>14.18</v>
      </c>
      <c r="K189" s="56">
        <f>IF(Source!BA143&lt;&gt;0,Source!BA143,1)</f>
        <v>38.59</v>
      </c>
      <c r="L189" s="55">
        <f>Source!S143</f>
        <v>547.02</v>
      </c>
    </row>
    <row r="190" spans="1:12" ht="14.25">
      <c r="A190" s="72"/>
      <c r="B190" s="73">
        <v>3</v>
      </c>
      <c r="C190" s="72" t="s">
        <v>409</v>
      </c>
      <c r="D190" s="53"/>
      <c r="E190" s="54"/>
      <c r="F190" s="54"/>
      <c r="G190" s="54"/>
      <c r="H190" s="55">
        <f>Source!AM143</f>
        <v>0</v>
      </c>
      <c r="I190" s="56"/>
      <c r="J190" s="55">
        <f>ROUND((((Source!ET143)-(Source!EU143))+Source!AE143)*Source!I143,2)</f>
        <v>0</v>
      </c>
      <c r="K190" s="56">
        <f>IF(Source!BB143&lt;&gt;0,Source!BB143,1)</f>
        <v>13.43</v>
      </c>
      <c r="L190" s="55">
        <f>Source!Q143</f>
        <v>0</v>
      </c>
    </row>
    <row r="191" spans="1:12" ht="14.25">
      <c r="A191" s="72"/>
      <c r="B191" s="73">
        <v>2</v>
      </c>
      <c r="C191" s="72" t="s">
        <v>410</v>
      </c>
      <c r="D191" s="53"/>
      <c r="E191" s="54"/>
      <c r="F191" s="54"/>
      <c r="G191" s="54"/>
      <c r="H191" s="55">
        <f>Source!AN143</f>
        <v>0</v>
      </c>
      <c r="I191" s="56"/>
      <c r="J191" s="57">
        <f>ROUND(Source!AE143*Source!I143,2)</f>
        <v>0</v>
      </c>
      <c r="K191" s="56">
        <f>IF(Source!BS143&lt;&gt;0,Source!BS143,1)</f>
        <v>38.59</v>
      </c>
      <c r="L191" s="57">
        <f>Source!R143</f>
        <v>0</v>
      </c>
    </row>
    <row r="192" spans="1:12" ht="14.25">
      <c r="A192" s="72"/>
      <c r="B192" s="73">
        <v>4</v>
      </c>
      <c r="C192" s="72" t="s">
        <v>411</v>
      </c>
      <c r="D192" s="53"/>
      <c r="E192" s="54"/>
      <c r="F192" s="54"/>
      <c r="G192" s="54"/>
      <c r="H192" s="55">
        <f>Source!AL143</f>
        <v>0</v>
      </c>
      <c r="I192" s="56"/>
      <c r="J192" s="55">
        <f>ROUND(Source!AC143*Source!I143,2)</f>
        <v>0</v>
      </c>
      <c r="K192" s="56">
        <f>IF(Source!BC143&lt;&gt;0,Source!BC143,1)</f>
        <v>6.82</v>
      </c>
      <c r="L192" s="55">
        <f>Source!P143</f>
        <v>0</v>
      </c>
    </row>
    <row r="193" spans="1:12" ht="14.25">
      <c r="A193" s="72"/>
      <c r="B193" s="72"/>
      <c r="C193" s="72" t="s">
        <v>412</v>
      </c>
      <c r="D193" s="53" t="s">
        <v>413</v>
      </c>
      <c r="E193" s="54">
        <f>Source!AQ143</f>
        <v>188</v>
      </c>
      <c r="F193" s="54"/>
      <c r="G193" s="98">
        <f>ROUND(Source!U143,7)</f>
        <v>1.9552</v>
      </c>
      <c r="H193" s="55"/>
      <c r="I193" s="56"/>
      <c r="J193" s="55"/>
      <c r="K193" s="56"/>
      <c r="L193" s="55"/>
    </row>
    <row r="194" spans="1:12" ht="14.25">
      <c r="A194" s="72"/>
      <c r="B194" s="72"/>
      <c r="C194" s="74" t="s">
        <v>414</v>
      </c>
      <c r="D194" s="58" t="s">
        <v>413</v>
      </c>
      <c r="E194" s="59">
        <f>Source!AR143</f>
        <v>0</v>
      </c>
      <c r="F194" s="59"/>
      <c r="G194" s="59">
        <f>ROUND(Source!V143,7)</f>
        <v>0</v>
      </c>
      <c r="H194" s="60"/>
      <c r="I194" s="61"/>
      <c r="J194" s="60"/>
      <c r="K194" s="61"/>
      <c r="L194" s="60"/>
    </row>
    <row r="195" spans="1:12" ht="14.25">
      <c r="A195" s="72"/>
      <c r="B195" s="72"/>
      <c r="C195" s="72" t="s">
        <v>415</v>
      </c>
      <c r="D195" s="53"/>
      <c r="E195" s="54"/>
      <c r="F195" s="54"/>
      <c r="G195" s="54"/>
      <c r="H195" s="55">
        <f>H189+H190+H192</f>
        <v>1363</v>
      </c>
      <c r="I195" s="56"/>
      <c r="J195" s="55">
        <f>J189+J190+J192</f>
        <v>14.18</v>
      </c>
      <c r="K195" s="56"/>
      <c r="L195" s="55">
        <f>L189+L190+L192</f>
        <v>547.02</v>
      </c>
    </row>
    <row r="196" spans="1:12" ht="14.25">
      <c r="A196" s="72"/>
      <c r="B196" s="72"/>
      <c r="C196" s="72" t="s">
        <v>416</v>
      </c>
      <c r="D196" s="53"/>
      <c r="E196" s="54"/>
      <c r="F196" s="54"/>
      <c r="G196" s="54"/>
      <c r="H196" s="55"/>
      <c r="I196" s="56"/>
      <c r="J196" s="55">
        <f>SUM(Q186:Q199)+SUM(V186:V199)+SUM(X186:X199)+SUM(Y186:Y199)</f>
        <v>14.18</v>
      </c>
      <c r="K196" s="56"/>
      <c r="L196" s="55">
        <f>SUM(U186:U199)+SUM(W186:W199)+SUM(Z186:Z199)+SUM(AA186:AA199)</f>
        <v>547.02</v>
      </c>
    </row>
    <row r="197" spans="1:12" ht="28.5">
      <c r="A197" s="72"/>
      <c r="B197" s="72" t="s">
        <v>188</v>
      </c>
      <c r="C197" s="72" t="s">
        <v>460</v>
      </c>
      <c r="D197" s="53" t="s">
        <v>418</v>
      </c>
      <c r="E197" s="54">
        <f>Source!BZ143</f>
        <v>92</v>
      </c>
      <c r="F197" s="54"/>
      <c r="G197" s="54">
        <f>Source!AT143</f>
        <v>92</v>
      </c>
      <c r="H197" s="55"/>
      <c r="I197" s="56"/>
      <c r="J197" s="55">
        <f>SUM(AG186:AG199)</f>
        <v>13.05</v>
      </c>
      <c r="K197" s="56"/>
      <c r="L197" s="55">
        <f>SUM(AH186:AH199)</f>
        <v>503.26</v>
      </c>
    </row>
    <row r="198" spans="1:12" ht="28.5">
      <c r="A198" s="74"/>
      <c r="B198" s="74" t="s">
        <v>189</v>
      </c>
      <c r="C198" s="74" t="s">
        <v>461</v>
      </c>
      <c r="D198" s="58" t="s">
        <v>418</v>
      </c>
      <c r="E198" s="59">
        <f>Source!CA143</f>
        <v>44</v>
      </c>
      <c r="F198" s="59"/>
      <c r="G198" s="59">
        <f>Source!AU143</f>
        <v>44</v>
      </c>
      <c r="H198" s="60"/>
      <c r="I198" s="61"/>
      <c r="J198" s="60">
        <f>SUM(AI186:AI199)</f>
        <v>6.24</v>
      </c>
      <c r="K198" s="61"/>
      <c r="L198" s="60">
        <f>SUM(AJ186:AJ199)</f>
        <v>240.69</v>
      </c>
    </row>
    <row r="199" spans="3:53" ht="15">
      <c r="C199" s="133" t="s">
        <v>420</v>
      </c>
      <c r="D199" s="133"/>
      <c r="E199" s="133"/>
      <c r="F199" s="133"/>
      <c r="G199" s="133"/>
      <c r="H199" s="133"/>
      <c r="I199" s="133">
        <f>J189+J190+J192+J197+J198</f>
        <v>33.47</v>
      </c>
      <c r="J199" s="133"/>
      <c r="K199" s="133">
        <f>L189+L190+L192+L197+L198</f>
        <v>1290.97</v>
      </c>
      <c r="L199" s="133"/>
      <c r="O199" s="47">
        <f>I199</f>
        <v>33.47</v>
      </c>
      <c r="P199" s="47">
        <f>K199</f>
        <v>1290.97</v>
      </c>
      <c r="Q199" s="47">
        <f>J189</f>
        <v>14.18</v>
      </c>
      <c r="R199" s="47">
        <f>J189</f>
        <v>14.18</v>
      </c>
      <c r="U199" s="47">
        <f>L189</f>
        <v>547.02</v>
      </c>
      <c r="X199" s="47">
        <f>J191</f>
        <v>0</v>
      </c>
      <c r="Z199" s="47">
        <f>L191</f>
        <v>0</v>
      </c>
      <c r="AB199" s="47">
        <f>J190</f>
        <v>0</v>
      </c>
      <c r="AD199" s="47">
        <f>L190</f>
        <v>0</v>
      </c>
      <c r="AF199" s="47">
        <f>J192</f>
        <v>0</v>
      </c>
      <c r="AN199">
        <f>IF(Source!BI143&lt;=1,J189+J190+J192+J197+J198,0)</f>
        <v>33.47</v>
      </c>
      <c r="AO199">
        <f>IF(Source!BI143&lt;=1,J192,0)</f>
        <v>0</v>
      </c>
      <c r="AP199">
        <f>IF(Source!BI143&lt;=1,J190,0)</f>
        <v>0</v>
      </c>
      <c r="AQ199">
        <f>IF(Source!BI143&lt;=1,J189,0)</f>
        <v>14.18</v>
      </c>
      <c r="AX199">
        <f>IF(Source!BI143=2,J189+J190+J192+J197+J198,0)</f>
        <v>0</v>
      </c>
      <c r="AY199">
        <f>IF(Source!BI143=2,J192,0)</f>
        <v>0</v>
      </c>
      <c r="AZ199">
        <f>IF(Source!BI143=2,J190,0)</f>
        <v>0</v>
      </c>
      <c r="BA199">
        <f>IF(Source!BI143=2,J189,0)</f>
        <v>0</v>
      </c>
    </row>
    <row r="200" spans="1:56" ht="28.5">
      <c r="A200" s="72">
        <v>8</v>
      </c>
      <c r="B200" s="72" t="s">
        <v>462</v>
      </c>
      <c r="C200" s="72" t="str">
        <f>Source!G147</f>
        <v>Затаривание строительного мусора в мешки</v>
      </c>
      <c r="D200" s="53" t="str">
        <f>Source!DW147</f>
        <v>т</v>
      </c>
      <c r="E200" s="54">
        <f>Source!K147</f>
        <v>1.04</v>
      </c>
      <c r="F200" s="54"/>
      <c r="G200" s="54">
        <f>Source!I147</f>
        <v>1.04</v>
      </c>
      <c r="H200" s="55"/>
      <c r="I200" s="56"/>
      <c r="J200" s="55"/>
      <c r="K200" s="56"/>
      <c r="L200" s="55"/>
      <c r="AG200">
        <f>ROUND((Source!AT147/100)*((ROUND(Source!AF147*Source!I147,2)+ROUND(Source!AE147*Source!I147,2))),2)</f>
        <v>7.09</v>
      </c>
      <c r="AH200">
        <f>Source!X147</f>
        <v>273.6</v>
      </c>
      <c r="AI200">
        <f>ROUND((Source!AU147/100)*((ROUND(Source!AF147*Source!I147,2)+ROUND(Source!AE147*Source!I147,2))),2)</f>
        <v>3.39</v>
      </c>
      <c r="AJ200">
        <f>Source!Y147</f>
        <v>130.85</v>
      </c>
      <c r="AS200">
        <f>IF(Source!BI147&lt;=1,AH200,0)</f>
        <v>273.6</v>
      </c>
      <c r="AT200">
        <f>IF(Source!BI147&lt;=1,AJ200,0)</f>
        <v>130.85</v>
      </c>
      <c r="BC200">
        <f>IF(Source!BI147=2,AH200,0)</f>
        <v>0</v>
      </c>
      <c r="BD200">
        <f>IF(Source!BI147=2,AJ200,0)</f>
        <v>0</v>
      </c>
    </row>
    <row r="202" spans="1:12" ht="14.25">
      <c r="A202" s="72"/>
      <c r="B202" s="73">
        <v>1</v>
      </c>
      <c r="C202" s="72" t="s">
        <v>408</v>
      </c>
      <c r="D202" s="53"/>
      <c r="E202" s="54"/>
      <c r="F202" s="54"/>
      <c r="G202" s="54"/>
      <c r="H202" s="55">
        <f>Source!AO147</f>
        <v>7.41</v>
      </c>
      <c r="I202" s="56"/>
      <c r="J202" s="55">
        <f>ROUND(Source!AF147*Source!I147,2)</f>
        <v>7.71</v>
      </c>
      <c r="K202" s="56">
        <f>IF(Source!BA147&lt;&gt;0,Source!BA147,1)</f>
        <v>38.59</v>
      </c>
      <c r="L202" s="55">
        <f>Source!S147</f>
        <v>297.39</v>
      </c>
    </row>
    <row r="203" spans="1:12" ht="14.25">
      <c r="A203" s="72"/>
      <c r="B203" s="73">
        <v>3</v>
      </c>
      <c r="C203" s="72" t="s">
        <v>409</v>
      </c>
      <c r="D203" s="53"/>
      <c r="E203" s="54"/>
      <c r="F203" s="54"/>
      <c r="G203" s="54"/>
      <c r="H203" s="55">
        <f>Source!AM147</f>
        <v>0</v>
      </c>
      <c r="I203" s="56"/>
      <c r="J203" s="55">
        <f>ROUND((((Source!ET147)-(Source!EU147))+Source!AE147)*Source!I147,2)</f>
        <v>0</v>
      </c>
      <c r="K203" s="56">
        <f>IF(Source!BB147&lt;&gt;0,Source!BB147,1)</f>
        <v>13.43</v>
      </c>
      <c r="L203" s="55">
        <f>Source!Q147</f>
        <v>0</v>
      </c>
    </row>
    <row r="204" spans="1:12" ht="14.25">
      <c r="A204" s="72"/>
      <c r="B204" s="73">
        <v>2</v>
      </c>
      <c r="C204" s="72" t="s">
        <v>410</v>
      </c>
      <c r="D204" s="53"/>
      <c r="E204" s="54"/>
      <c r="F204" s="54"/>
      <c r="G204" s="54"/>
      <c r="H204" s="55">
        <f>Source!AN147</f>
        <v>0</v>
      </c>
      <c r="I204" s="56"/>
      <c r="J204" s="57">
        <f>ROUND(Source!AE147*Source!I147,2)</f>
        <v>0</v>
      </c>
      <c r="K204" s="56">
        <f>IF(Source!BS147&lt;&gt;0,Source!BS147,1)</f>
        <v>38.59</v>
      </c>
      <c r="L204" s="57">
        <f>Source!R147</f>
        <v>0</v>
      </c>
    </row>
    <row r="205" spans="1:12" ht="14.25">
      <c r="A205" s="72"/>
      <c r="B205" s="73">
        <v>4</v>
      </c>
      <c r="C205" s="72" t="s">
        <v>411</v>
      </c>
      <c r="D205" s="53"/>
      <c r="E205" s="54"/>
      <c r="F205" s="54"/>
      <c r="G205" s="54"/>
      <c r="H205" s="55">
        <f>Source!AL147</f>
        <v>16.4</v>
      </c>
      <c r="I205" s="56"/>
      <c r="J205" s="55">
        <f>ROUND(Source!AC147*Source!I147,2)</f>
        <v>17.06</v>
      </c>
      <c r="K205" s="56">
        <f>IF(Source!BC147&lt;&gt;0,Source!BC147,1)</f>
        <v>6.82</v>
      </c>
      <c r="L205" s="55">
        <f>Source!P147</f>
        <v>116.32</v>
      </c>
    </row>
    <row r="206" spans="1:12" ht="14.25">
      <c r="A206" s="72"/>
      <c r="B206" s="72"/>
      <c r="C206" s="72" t="s">
        <v>412</v>
      </c>
      <c r="D206" s="53" t="s">
        <v>413</v>
      </c>
      <c r="E206" s="54">
        <f>Source!AQ147</f>
        <v>1.03</v>
      </c>
      <c r="F206" s="54"/>
      <c r="G206" s="98">
        <f>ROUND(Source!U147,7)</f>
        <v>1.0712</v>
      </c>
      <c r="H206" s="55"/>
      <c r="I206" s="56"/>
      <c r="J206" s="55"/>
      <c r="K206" s="56"/>
      <c r="L206" s="55"/>
    </row>
    <row r="207" spans="1:12" ht="14.25">
      <c r="A207" s="72"/>
      <c r="B207" s="72"/>
      <c r="C207" s="74" t="s">
        <v>414</v>
      </c>
      <c r="D207" s="58" t="s">
        <v>413</v>
      </c>
      <c r="E207" s="59">
        <f>Source!AR147</f>
        <v>0</v>
      </c>
      <c r="F207" s="59"/>
      <c r="G207" s="59">
        <f>ROUND(Source!V147,7)</f>
        <v>0</v>
      </c>
      <c r="H207" s="60"/>
      <c r="I207" s="61"/>
      <c r="J207" s="60"/>
      <c r="K207" s="61"/>
      <c r="L207" s="60"/>
    </row>
    <row r="208" spans="1:12" ht="14.25">
      <c r="A208" s="72"/>
      <c r="B208" s="72"/>
      <c r="C208" s="72" t="s">
        <v>415</v>
      </c>
      <c r="D208" s="53"/>
      <c r="E208" s="54"/>
      <c r="F208" s="54"/>
      <c r="G208" s="54"/>
      <c r="H208" s="55">
        <f>H202+H203+H205</f>
        <v>23.81</v>
      </c>
      <c r="I208" s="56"/>
      <c r="J208" s="55">
        <f>J202+J203+J205</f>
        <v>24.77</v>
      </c>
      <c r="K208" s="56"/>
      <c r="L208" s="55">
        <f>L202+L203+L205</f>
        <v>413.71</v>
      </c>
    </row>
    <row r="209" spans="1:12" ht="14.25">
      <c r="A209" s="72"/>
      <c r="B209" s="72"/>
      <c r="C209" s="72" t="s">
        <v>416</v>
      </c>
      <c r="D209" s="53"/>
      <c r="E209" s="54"/>
      <c r="F209" s="54"/>
      <c r="G209" s="54"/>
      <c r="H209" s="55"/>
      <c r="I209" s="56"/>
      <c r="J209" s="55">
        <f>SUM(Q200:Q212)+SUM(V200:V212)+SUM(X200:X212)+SUM(Y200:Y212)</f>
        <v>7.71</v>
      </c>
      <c r="K209" s="56"/>
      <c r="L209" s="55">
        <f>SUM(U200:U212)+SUM(W200:W212)+SUM(Z200:Z212)+SUM(AA200:AA212)</f>
        <v>297.39</v>
      </c>
    </row>
    <row r="210" spans="1:12" ht="28.5">
      <c r="A210" s="72"/>
      <c r="B210" s="72" t="s">
        <v>188</v>
      </c>
      <c r="C210" s="72" t="s">
        <v>460</v>
      </c>
      <c r="D210" s="53" t="s">
        <v>418</v>
      </c>
      <c r="E210" s="54">
        <f>Source!BZ147</f>
        <v>92</v>
      </c>
      <c r="F210" s="54"/>
      <c r="G210" s="54">
        <f>Source!AT147</f>
        <v>92</v>
      </c>
      <c r="H210" s="55"/>
      <c r="I210" s="56"/>
      <c r="J210" s="55">
        <f>SUM(AG200:AG212)</f>
        <v>7.09</v>
      </c>
      <c r="K210" s="56"/>
      <c r="L210" s="55">
        <f>SUM(AH200:AH212)</f>
        <v>273.6</v>
      </c>
    </row>
    <row r="211" spans="1:12" ht="28.5">
      <c r="A211" s="74"/>
      <c r="B211" s="74" t="s">
        <v>189</v>
      </c>
      <c r="C211" s="74" t="s">
        <v>461</v>
      </c>
      <c r="D211" s="58" t="s">
        <v>418</v>
      </c>
      <c r="E211" s="59">
        <f>Source!CA147</f>
        <v>44</v>
      </c>
      <c r="F211" s="59"/>
      <c r="G211" s="59">
        <f>Source!AU147</f>
        <v>44</v>
      </c>
      <c r="H211" s="60"/>
      <c r="I211" s="61"/>
      <c r="J211" s="60">
        <f>SUM(AI200:AI212)</f>
        <v>3.39</v>
      </c>
      <c r="K211" s="61"/>
      <c r="L211" s="60">
        <f>SUM(AJ200:AJ212)</f>
        <v>130.85</v>
      </c>
    </row>
    <row r="212" spans="3:53" ht="15">
      <c r="C212" s="133" t="s">
        <v>420</v>
      </c>
      <c r="D212" s="133"/>
      <c r="E212" s="133"/>
      <c r="F212" s="133"/>
      <c r="G212" s="133"/>
      <c r="H212" s="133"/>
      <c r="I212" s="133">
        <f>J202+J203+J205+J210+J211</f>
        <v>35.25</v>
      </c>
      <c r="J212" s="133"/>
      <c r="K212" s="133">
        <f>L202+L203+L205+L210+L211</f>
        <v>818.16</v>
      </c>
      <c r="L212" s="133"/>
      <c r="O212" s="47">
        <f>I212</f>
        <v>35.25</v>
      </c>
      <c r="P212" s="47">
        <f>K212</f>
        <v>818.16</v>
      </c>
      <c r="Q212" s="47">
        <f>J202</f>
        <v>7.71</v>
      </c>
      <c r="R212" s="47">
        <f>J202</f>
        <v>7.71</v>
      </c>
      <c r="U212" s="47">
        <f>L202</f>
        <v>297.39</v>
      </c>
      <c r="X212" s="47">
        <f>J204</f>
        <v>0</v>
      </c>
      <c r="Z212" s="47">
        <f>L204</f>
        <v>0</v>
      </c>
      <c r="AB212" s="47">
        <f>J203</f>
        <v>0</v>
      </c>
      <c r="AD212" s="47">
        <f>L203</f>
        <v>0</v>
      </c>
      <c r="AF212" s="47">
        <f>J205</f>
        <v>17.06</v>
      </c>
      <c r="AN212">
        <f>IF(Source!BI147&lt;=1,J202+J203+J205+J210+J211,0)</f>
        <v>35.25</v>
      </c>
      <c r="AO212">
        <f>IF(Source!BI147&lt;=1,J205,0)</f>
        <v>17.06</v>
      </c>
      <c r="AP212">
        <f>IF(Source!BI147&lt;=1,J203,0)</f>
        <v>0</v>
      </c>
      <c r="AQ212">
        <f>IF(Source!BI147&lt;=1,J202,0)</f>
        <v>7.71</v>
      </c>
      <c r="AX212">
        <f>IF(Source!BI147=2,J202+J203+J205+J210+J211,0)</f>
        <v>0</v>
      </c>
      <c r="AY212">
        <f>IF(Source!BI147=2,J205,0)</f>
        <v>0</v>
      </c>
      <c r="AZ212">
        <f>IF(Source!BI147=2,J203,0)</f>
        <v>0</v>
      </c>
      <c r="BA212">
        <f>IF(Source!BI147=2,J202,0)</f>
        <v>0</v>
      </c>
    </row>
    <row r="213" spans="1:56" ht="57">
      <c r="A213" s="72">
        <v>9</v>
      </c>
      <c r="B213" s="72" t="s">
        <v>463</v>
      </c>
      <c r="C213" s="72" t="str">
        <f>Source!G149</f>
        <v>Перевозка грузов I класса автомобилями бортовыми грузоподъемностью до 5 т на расстояние: до 50 км</v>
      </c>
      <c r="D213" s="53" t="str">
        <f>Source!DW149</f>
        <v>1 Т ГРУЗА</v>
      </c>
      <c r="E213" s="54">
        <f>Source!K149</f>
        <v>1.04</v>
      </c>
      <c r="F213" s="54"/>
      <c r="G213" s="54">
        <f>Source!I149</f>
        <v>1.04</v>
      </c>
      <c r="H213" s="55">
        <f>Source!AK149</f>
        <v>46.37</v>
      </c>
      <c r="I213" s="56"/>
      <c r="J213" s="55">
        <f>ROUND(Source!AB149*Source!I149,2)</f>
        <v>48.22</v>
      </c>
      <c r="K213" s="56">
        <f>Source!AZ149</f>
        <v>13.43</v>
      </c>
      <c r="L213" s="55">
        <f>Source!GM149</f>
        <v>647.66</v>
      </c>
      <c r="AG213">
        <f>ROUND((Source!AT149/100)*((ROUND(0*Source!I149,2)+ROUND(0*Source!I149,2))),2)</f>
        <v>0</v>
      </c>
      <c r="AH213">
        <f>Source!X149</f>
        <v>0</v>
      </c>
      <c r="AI213">
        <f>ROUND((Source!AU149/100)*((ROUND(0*Source!I149,2)+ROUND(0*Source!I149,2))),2)</f>
        <v>0</v>
      </c>
      <c r="AJ213">
        <f>Source!Y149</f>
        <v>0</v>
      </c>
      <c r="AS213">
        <f>IF(Source!BI149&lt;=1,AH213,0)</f>
        <v>0</v>
      </c>
      <c r="AT213">
        <f>IF(Source!BI149&lt;=1,AJ213,0)</f>
        <v>0</v>
      </c>
      <c r="BC213">
        <f>IF(Source!BI149=2,AH213,0)</f>
        <v>0</v>
      </c>
      <c r="BD213">
        <f>IF(Source!BI149=2,AJ213,0)</f>
        <v>0</v>
      </c>
    </row>
    <row r="215" spans="1:12" ht="14.25">
      <c r="A215" s="72"/>
      <c r="B215" s="73">
        <v>1</v>
      </c>
      <c r="C215" s="72" t="s">
        <v>408</v>
      </c>
      <c r="D215" s="53"/>
      <c r="E215" s="54"/>
      <c r="F215" s="54"/>
      <c r="G215" s="54"/>
      <c r="H215" s="55">
        <f>Source!AO149</f>
        <v>0</v>
      </c>
      <c r="I215" s="56"/>
      <c r="J215" s="55">
        <f>ROUND(0*Source!I149,2)</f>
        <v>0</v>
      </c>
      <c r="K215" s="56">
        <f>IF(Source!AZ149&lt;&gt;0,Source!AZ149,1)</f>
        <v>13.43</v>
      </c>
      <c r="L215" s="55">
        <f>Source!S149</f>
        <v>0</v>
      </c>
    </row>
    <row r="216" spans="1:12" ht="14.25">
      <c r="A216" s="72"/>
      <c r="B216" s="73">
        <v>3</v>
      </c>
      <c r="C216" s="72" t="s">
        <v>409</v>
      </c>
      <c r="D216" s="53"/>
      <c r="E216" s="54"/>
      <c r="F216" s="54"/>
      <c r="G216" s="54"/>
      <c r="H216" s="55">
        <f>Source!AM149</f>
        <v>0</v>
      </c>
      <c r="I216" s="56"/>
      <c r="J216" s="55">
        <f>ROUND(0*Source!I149,2)</f>
        <v>0</v>
      </c>
      <c r="K216" s="56">
        <f>IF(Source!AZ149&lt;&gt;0,Source!AZ149,1)</f>
        <v>13.43</v>
      </c>
      <c r="L216" s="55">
        <f>Source!Q149</f>
        <v>0</v>
      </c>
    </row>
    <row r="217" spans="1:12" ht="14.25">
      <c r="A217" s="72"/>
      <c r="B217" s="73">
        <v>2</v>
      </c>
      <c r="C217" s="72" t="s">
        <v>410</v>
      </c>
      <c r="D217" s="53"/>
      <c r="E217" s="54"/>
      <c r="F217" s="54"/>
      <c r="G217" s="54"/>
      <c r="H217" s="55">
        <f>Source!AN149</f>
        <v>0</v>
      </c>
      <c r="I217" s="56"/>
      <c r="J217" s="57">
        <f>ROUND(0*Source!I149,2)</f>
        <v>0</v>
      </c>
      <c r="K217" s="56">
        <f>IF(Source!AZ149&lt;&gt;0,Source!AZ149,1)</f>
        <v>13.43</v>
      </c>
      <c r="L217" s="57">
        <f>Source!R149</f>
        <v>0</v>
      </c>
    </row>
    <row r="218" spans="1:12" ht="14.25">
      <c r="A218" s="72"/>
      <c r="B218" s="73">
        <v>4</v>
      </c>
      <c r="C218" s="72" t="s">
        <v>411</v>
      </c>
      <c r="D218" s="53"/>
      <c r="E218" s="54"/>
      <c r="F218" s="54"/>
      <c r="G218" s="54"/>
      <c r="H218" s="55">
        <f>Source!AL149</f>
        <v>0</v>
      </c>
      <c r="I218" s="56"/>
      <c r="J218" s="55">
        <f>ROUND(0*Source!I149,2)</f>
        <v>0</v>
      </c>
      <c r="K218" s="56">
        <f>IF(Source!AZ149&lt;&gt;0,Source!AZ149,1)</f>
        <v>13.43</v>
      </c>
      <c r="L218" s="55">
        <f>Source!P149</f>
        <v>0</v>
      </c>
    </row>
    <row r="219" spans="1:12" ht="14.25">
      <c r="A219" s="72"/>
      <c r="B219" s="72"/>
      <c r="C219" s="72" t="s">
        <v>412</v>
      </c>
      <c r="D219" s="53" t="s">
        <v>413</v>
      </c>
      <c r="E219" s="54">
        <f>Source!AQ149</f>
        <v>0</v>
      </c>
      <c r="F219" s="54"/>
      <c r="G219" s="54">
        <f>ROUND(Source!U149,7)</f>
        <v>0</v>
      </c>
      <c r="H219" s="55"/>
      <c r="I219" s="56"/>
      <c r="J219" s="55"/>
      <c r="K219" s="56"/>
      <c r="L219" s="55"/>
    </row>
    <row r="220" spans="1:12" ht="14.25">
      <c r="A220" s="72"/>
      <c r="B220" s="72"/>
      <c r="C220" s="74" t="s">
        <v>414</v>
      </c>
      <c r="D220" s="58" t="s">
        <v>413</v>
      </c>
      <c r="E220" s="59">
        <f>Source!AR149</f>
        <v>0</v>
      </c>
      <c r="F220" s="59"/>
      <c r="G220" s="59">
        <f>ROUND(Source!V149,7)</f>
        <v>0</v>
      </c>
      <c r="H220" s="60"/>
      <c r="I220" s="61"/>
      <c r="J220" s="60"/>
      <c r="K220" s="61"/>
      <c r="L220" s="60"/>
    </row>
    <row r="221" spans="1:12" ht="14.25">
      <c r="A221" s="72"/>
      <c r="B221" s="72"/>
      <c r="C221" s="72" t="s">
        <v>415</v>
      </c>
      <c r="D221" s="53"/>
      <c r="E221" s="54"/>
      <c r="F221" s="54"/>
      <c r="G221" s="54"/>
      <c r="H221" s="55">
        <f>H215+H216+H218</f>
        <v>0</v>
      </c>
      <c r="I221" s="56"/>
      <c r="J221" s="55">
        <f>J215+J216+J218</f>
        <v>0</v>
      </c>
      <c r="K221" s="56"/>
      <c r="L221" s="55">
        <f>L215+L216+L218</f>
        <v>0</v>
      </c>
    </row>
    <row r="222" spans="1:12" ht="14.25">
      <c r="A222" s="72"/>
      <c r="B222" s="72"/>
      <c r="C222" s="72" t="s">
        <v>416</v>
      </c>
      <c r="D222" s="53"/>
      <c r="E222" s="54"/>
      <c r="F222" s="54"/>
      <c r="G222" s="54"/>
      <c r="H222" s="55"/>
      <c r="I222" s="56"/>
      <c r="J222" s="55">
        <f>SUM(Q213:Q225)+SUM(V213:V225)+SUM(X213:X225)+SUM(Y213:Y225)</f>
        <v>0</v>
      </c>
      <c r="K222" s="56"/>
      <c r="L222" s="55">
        <f>SUM(U213:U225)+SUM(W213:W225)+SUM(Z213:Z225)+SUM(AA213:AA225)</f>
        <v>0</v>
      </c>
    </row>
    <row r="223" spans="1:12" ht="28.5">
      <c r="A223" s="72"/>
      <c r="B223" s="72"/>
      <c r="C223" s="72" t="s">
        <v>464</v>
      </c>
      <c r="D223" s="53" t="s">
        <v>418</v>
      </c>
      <c r="E223" s="54">
        <f>Source!BZ149</f>
        <v>0</v>
      </c>
      <c r="F223" s="54"/>
      <c r="G223" s="54">
        <f>Source!AT149</f>
        <v>0</v>
      </c>
      <c r="H223" s="55"/>
      <c r="I223" s="56"/>
      <c r="J223" s="55">
        <f>SUM(AG213:AG225)</f>
        <v>0</v>
      </c>
      <c r="K223" s="56"/>
      <c r="L223" s="55">
        <f>SUM(AH213:AH225)</f>
        <v>0</v>
      </c>
    </row>
    <row r="224" spans="1:12" ht="28.5">
      <c r="A224" s="74"/>
      <c r="B224" s="74"/>
      <c r="C224" s="74" t="s">
        <v>465</v>
      </c>
      <c r="D224" s="58" t="s">
        <v>418</v>
      </c>
      <c r="E224" s="59">
        <f>Source!CA149</f>
        <v>0</v>
      </c>
      <c r="F224" s="59"/>
      <c r="G224" s="59">
        <f>Source!AU149</f>
        <v>0</v>
      </c>
      <c r="H224" s="60"/>
      <c r="I224" s="61"/>
      <c r="J224" s="60">
        <f>SUM(AI213:AI225)</f>
        <v>0</v>
      </c>
      <c r="K224" s="61"/>
      <c r="L224" s="60">
        <f>SUM(AJ213:AJ225)</f>
        <v>0</v>
      </c>
    </row>
    <row r="225" spans="3:61" ht="15">
      <c r="C225" s="133" t="s">
        <v>420</v>
      </c>
      <c r="D225" s="133"/>
      <c r="E225" s="133"/>
      <c r="F225" s="133"/>
      <c r="G225" s="133"/>
      <c r="H225" s="133"/>
      <c r="I225" s="133">
        <f>J213</f>
        <v>48.22</v>
      </c>
      <c r="J225" s="133"/>
      <c r="K225" s="133">
        <f>L213</f>
        <v>647.66</v>
      </c>
      <c r="L225" s="133"/>
      <c r="O225" s="47">
        <f>I225</f>
        <v>48.22</v>
      </c>
      <c r="P225" s="47">
        <f>K225</f>
        <v>647.66</v>
      </c>
      <c r="R225" s="47">
        <f>J215</f>
        <v>0</v>
      </c>
      <c r="V225" s="47">
        <f>J215</f>
        <v>0</v>
      </c>
      <c r="W225" s="47">
        <f>L215</f>
        <v>0</v>
      </c>
      <c r="Y225" s="47">
        <f>J217</f>
        <v>0</v>
      </c>
      <c r="AA225" s="47">
        <f>L217</f>
        <v>0</v>
      </c>
      <c r="AC225" s="47">
        <f>J216</f>
        <v>0</v>
      </c>
      <c r="AE225" s="47">
        <f>L216</f>
        <v>0</v>
      </c>
      <c r="AF225" s="47">
        <f>J218</f>
        <v>0</v>
      </c>
      <c r="AO225">
        <f>IF(Source!BI149&lt;=1,J218,0)</f>
        <v>0</v>
      </c>
      <c r="AR225">
        <f>IF(Source!BI149&lt;=1,J213,0)</f>
        <v>48.22</v>
      </c>
      <c r="AY225">
        <f>IF(Source!BI149=2,J218,0)</f>
        <v>0</v>
      </c>
      <c r="BB225">
        <f>IF(Source!BI149=2,J213,0)</f>
        <v>0</v>
      </c>
      <c r="BI225">
        <f>IF(Source!BI149=3,J213,0)</f>
        <v>0</v>
      </c>
    </row>
    <row r="227" spans="1:95" ht="15">
      <c r="A227" s="63"/>
      <c r="B227" s="64"/>
      <c r="C227" s="122" t="s">
        <v>435</v>
      </c>
      <c r="D227" s="122"/>
      <c r="E227" s="122"/>
      <c r="F227" s="122"/>
      <c r="G227" s="122"/>
      <c r="H227" s="122"/>
      <c r="I227" s="65"/>
      <c r="J227" s="66">
        <f>J229+J230+J231+J232</f>
        <v>87.17</v>
      </c>
      <c r="K227" s="66"/>
      <c r="L227" s="66">
        <f>L229+L230+L231+L232</f>
        <v>1608.3899999999999</v>
      </c>
      <c r="CQ227" s="76" t="s">
        <v>435</v>
      </c>
    </row>
    <row r="228" spans="1:12" ht="14.25">
      <c r="A228" s="67"/>
      <c r="B228" s="68"/>
      <c r="C228" s="121" t="s">
        <v>436</v>
      </c>
      <c r="D228" s="120"/>
      <c r="E228" s="120"/>
      <c r="F228" s="120"/>
      <c r="G228" s="120"/>
      <c r="H228" s="120"/>
      <c r="I228" s="69"/>
      <c r="J228" s="70"/>
      <c r="K228" s="70"/>
      <c r="L228" s="70"/>
    </row>
    <row r="229" spans="1:12" ht="14.25">
      <c r="A229" s="67"/>
      <c r="B229" s="68"/>
      <c r="C229" s="120" t="s">
        <v>437</v>
      </c>
      <c r="D229" s="120"/>
      <c r="E229" s="120"/>
      <c r="F229" s="120"/>
      <c r="G229" s="120"/>
      <c r="H229" s="120"/>
      <c r="I229" s="69"/>
      <c r="J229" s="70">
        <f>SUM(Q185:Q225)</f>
        <v>21.89</v>
      </c>
      <c r="K229" s="70"/>
      <c r="L229" s="70">
        <f>SUM(U185:U225)</f>
        <v>844.41</v>
      </c>
    </row>
    <row r="230" spans="1:12" ht="13.5" customHeight="1" hidden="1">
      <c r="A230" s="67"/>
      <c r="B230" s="68"/>
      <c r="C230" s="120" t="s">
        <v>438</v>
      </c>
      <c r="D230" s="120"/>
      <c r="E230" s="120"/>
      <c r="F230" s="120"/>
      <c r="G230" s="120"/>
      <c r="H230" s="120"/>
      <c r="I230" s="69"/>
      <c r="J230" s="70">
        <f>SUM(AB185:AB225)</f>
        <v>0</v>
      </c>
      <c r="K230" s="70"/>
      <c r="L230" s="70">
        <f>SUM(AD185:AD225)</f>
        <v>0</v>
      </c>
    </row>
    <row r="231" spans="1:12" ht="14.25">
      <c r="A231" s="67"/>
      <c r="B231" s="68"/>
      <c r="C231" s="120" t="s">
        <v>439</v>
      </c>
      <c r="D231" s="120"/>
      <c r="E231" s="120"/>
      <c r="F231" s="120"/>
      <c r="G231" s="120"/>
      <c r="H231" s="120"/>
      <c r="I231" s="69"/>
      <c r="J231" s="70">
        <f>SUM(AF185:AF225)-J236</f>
        <v>17.06</v>
      </c>
      <c r="K231" s="70"/>
      <c r="L231" s="70">
        <f>Source!P154-L236</f>
        <v>116.32</v>
      </c>
    </row>
    <row r="232" spans="1:12" ht="14.25">
      <c r="A232" s="67"/>
      <c r="B232" s="68"/>
      <c r="C232" s="120" t="s">
        <v>440</v>
      </c>
      <c r="D232" s="120"/>
      <c r="E232" s="120"/>
      <c r="F232" s="120"/>
      <c r="G232" s="120"/>
      <c r="H232" s="120"/>
      <c r="I232" s="69"/>
      <c r="J232" s="70">
        <f>SUM(AR185:AR225)+SUM(BB185:BB225)+SUM(BI185:BI225)+SUM(BP185:BP225)</f>
        <v>48.22</v>
      </c>
      <c r="K232" s="70"/>
      <c r="L232" s="70">
        <f>Source!P176</f>
        <v>647.66</v>
      </c>
    </row>
    <row r="233" spans="1:12" ht="14.25">
      <c r="A233" s="67"/>
      <c r="B233" s="68"/>
      <c r="C233" s="120" t="s">
        <v>441</v>
      </c>
      <c r="D233" s="120"/>
      <c r="E233" s="120"/>
      <c r="F233" s="120"/>
      <c r="G233" s="120"/>
      <c r="H233" s="120"/>
      <c r="I233" s="69"/>
      <c r="J233" s="70">
        <f>SUM(Q185:Q225)+SUM(X185:X225)</f>
        <v>21.89</v>
      </c>
      <c r="K233" s="70"/>
      <c r="L233" s="70">
        <f>SUM(U185:U225)+SUM(Z185:Z225)</f>
        <v>844.41</v>
      </c>
    </row>
    <row r="234" spans="1:12" ht="14.25">
      <c r="A234" s="67"/>
      <c r="B234" s="68"/>
      <c r="C234" s="120" t="s">
        <v>442</v>
      </c>
      <c r="D234" s="120"/>
      <c r="E234" s="120"/>
      <c r="F234" s="120"/>
      <c r="G234" s="120"/>
      <c r="H234" s="120"/>
      <c r="I234" s="69"/>
      <c r="J234" s="70">
        <f>SUM(AG185:AG225)</f>
        <v>20.14</v>
      </c>
      <c r="K234" s="70"/>
      <c r="L234" s="70">
        <f>Source!P177</f>
        <v>776.86</v>
      </c>
    </row>
    <row r="235" spans="1:12" ht="14.25">
      <c r="A235" s="67"/>
      <c r="B235" s="68"/>
      <c r="C235" s="120" t="s">
        <v>443</v>
      </c>
      <c r="D235" s="120"/>
      <c r="E235" s="120"/>
      <c r="F235" s="120"/>
      <c r="G235" s="120"/>
      <c r="H235" s="120"/>
      <c r="I235" s="69"/>
      <c r="J235" s="70">
        <f>SUM(AI185:AI225)</f>
        <v>9.63</v>
      </c>
      <c r="K235" s="70"/>
      <c r="L235" s="70">
        <f>Source!P178</f>
        <v>371.54</v>
      </c>
    </row>
    <row r="236" spans="1:12" ht="13.5" customHeight="1" hidden="1">
      <c r="A236" s="67"/>
      <c r="B236" s="68"/>
      <c r="C236" s="120" t="s">
        <v>444</v>
      </c>
      <c r="D236" s="120"/>
      <c r="E236" s="120"/>
      <c r="F236" s="120"/>
      <c r="G236" s="120"/>
      <c r="H236" s="120"/>
      <c r="I236" s="69"/>
      <c r="J236" s="70">
        <f>SUM(BH185:BH225)</f>
        <v>0</v>
      </c>
      <c r="K236" s="70"/>
      <c r="L236" s="70">
        <f>Source!P160</f>
        <v>0</v>
      </c>
    </row>
    <row r="237" spans="1:12" ht="13.5" customHeight="1" hidden="1">
      <c r="A237" s="67"/>
      <c r="B237" s="68"/>
      <c r="C237" s="120" t="s">
        <v>445</v>
      </c>
      <c r="D237" s="120"/>
      <c r="E237" s="120"/>
      <c r="F237" s="120"/>
      <c r="G237" s="120"/>
      <c r="H237" s="120"/>
      <c r="I237" s="69"/>
      <c r="J237" s="70">
        <f>SUM(BM185:BM225)+SUM(BN185:BN225)+SUM(BO185:BO225)+SUM(BP185:BP225)</f>
        <v>0</v>
      </c>
      <c r="K237" s="70"/>
      <c r="L237" s="70">
        <f>Source!P170</f>
        <v>0</v>
      </c>
    </row>
    <row r="238" spans="1:12" ht="15">
      <c r="A238" s="63"/>
      <c r="B238" s="64"/>
      <c r="C238" s="122" t="s">
        <v>446</v>
      </c>
      <c r="D238" s="122"/>
      <c r="E238" s="122"/>
      <c r="F238" s="122"/>
      <c r="G238" s="122"/>
      <c r="H238" s="122"/>
      <c r="I238" s="65"/>
      <c r="J238" s="66">
        <f>J227+J234+J235+J236</f>
        <v>116.94</v>
      </c>
      <c r="K238" s="66"/>
      <c r="L238" s="66">
        <f>Source!P179</f>
        <v>2756.79</v>
      </c>
    </row>
    <row r="239" spans="1:12" ht="13.5" customHeight="1" hidden="1">
      <c r="A239" s="67"/>
      <c r="B239" s="68"/>
      <c r="C239" s="121" t="s">
        <v>447</v>
      </c>
      <c r="D239" s="120"/>
      <c r="E239" s="120"/>
      <c r="F239" s="120"/>
      <c r="G239" s="120"/>
      <c r="H239" s="120"/>
      <c r="I239" s="69"/>
      <c r="J239" s="70"/>
      <c r="K239" s="70"/>
      <c r="L239" s="70"/>
    </row>
    <row r="240" spans="1:12" ht="13.5" customHeight="1" hidden="1">
      <c r="A240" s="67"/>
      <c r="B240" s="68"/>
      <c r="C240" s="120" t="s">
        <v>448</v>
      </c>
      <c r="D240" s="120"/>
      <c r="E240" s="120"/>
      <c r="F240" s="120"/>
      <c r="G240" s="120"/>
      <c r="H240" s="120"/>
      <c r="I240" s="69"/>
      <c r="J240" s="70"/>
      <c r="K240" s="70"/>
      <c r="L240" s="70">
        <f>SUM(BS185:BS225)</f>
        <v>0</v>
      </c>
    </row>
    <row r="241" spans="1:12" ht="13.5" customHeight="1" hidden="1">
      <c r="A241" s="67"/>
      <c r="B241" s="68"/>
      <c r="C241" s="120" t="s">
        <v>449</v>
      </c>
      <c r="D241" s="120"/>
      <c r="E241" s="120"/>
      <c r="F241" s="120"/>
      <c r="G241" s="120"/>
      <c r="H241" s="120"/>
      <c r="I241" s="69"/>
      <c r="J241" s="70"/>
      <c r="K241" s="70"/>
      <c r="L241" s="70">
        <f>SUM(BT185:BT225)</f>
        <v>0</v>
      </c>
    </row>
    <row r="243" spans="1:12" ht="15">
      <c r="A243" s="63"/>
      <c r="B243" s="64"/>
      <c r="C243" s="122" t="s">
        <v>466</v>
      </c>
      <c r="D243" s="122"/>
      <c r="E243" s="122"/>
      <c r="F243" s="122"/>
      <c r="G243" s="122"/>
      <c r="H243" s="122"/>
      <c r="I243" s="65"/>
      <c r="J243" s="66"/>
      <c r="K243" s="66"/>
      <c r="L243" s="66"/>
    </row>
    <row r="244" spans="1:12" ht="15">
      <c r="A244" s="63"/>
      <c r="B244" s="64"/>
      <c r="C244" s="122" t="s">
        <v>467</v>
      </c>
      <c r="D244" s="122"/>
      <c r="E244" s="122"/>
      <c r="F244" s="122"/>
      <c r="G244" s="122"/>
      <c r="H244" s="122"/>
      <c r="I244" s="65"/>
      <c r="J244" s="66">
        <f>J246+J247+J248+J249</f>
        <v>19747.56</v>
      </c>
      <c r="K244" s="66"/>
      <c r="L244" s="66">
        <f>L246+L247+L248+L249</f>
        <v>338723.72</v>
      </c>
    </row>
    <row r="245" spans="1:12" ht="14.25">
      <c r="A245" s="67"/>
      <c r="B245" s="68"/>
      <c r="C245" s="121" t="s">
        <v>436</v>
      </c>
      <c r="D245" s="120"/>
      <c r="E245" s="120"/>
      <c r="F245" s="120"/>
      <c r="G245" s="120"/>
      <c r="H245" s="120"/>
      <c r="I245" s="69"/>
      <c r="J245" s="70"/>
      <c r="K245" s="70"/>
      <c r="L245" s="70"/>
    </row>
    <row r="246" spans="1:12" ht="14.25">
      <c r="A246" s="67"/>
      <c r="B246" s="68"/>
      <c r="C246" s="120" t="s">
        <v>437</v>
      </c>
      <c r="D246" s="120"/>
      <c r="E246" s="120"/>
      <c r="F246" s="120"/>
      <c r="G246" s="120"/>
      <c r="H246" s="120"/>
      <c r="I246" s="69"/>
      <c r="J246" s="70">
        <f>SUM(Q48:Q241)</f>
        <v>6191.240000000001</v>
      </c>
      <c r="K246" s="70"/>
      <c r="L246" s="70">
        <f>SUM(U48:U241)</f>
        <v>238919.78999999998</v>
      </c>
    </row>
    <row r="247" spans="1:12" ht="14.25">
      <c r="A247" s="67"/>
      <c r="B247" s="68"/>
      <c r="C247" s="120" t="s">
        <v>438</v>
      </c>
      <c r="D247" s="120"/>
      <c r="E247" s="120"/>
      <c r="F247" s="120"/>
      <c r="G247" s="120"/>
      <c r="H247" s="120"/>
      <c r="I247" s="69"/>
      <c r="J247" s="70">
        <f>SUM(AB48:AB241)</f>
        <v>1063.7299999999998</v>
      </c>
      <c r="K247" s="70"/>
      <c r="L247" s="70">
        <f>SUM(AD48:AD241)</f>
        <v>14285.67</v>
      </c>
    </row>
    <row r="248" spans="1:12" ht="14.25">
      <c r="A248" s="67"/>
      <c r="B248" s="68"/>
      <c r="C248" s="120" t="s">
        <v>439</v>
      </c>
      <c r="D248" s="120"/>
      <c r="E248" s="120"/>
      <c r="F248" s="120"/>
      <c r="G248" s="120"/>
      <c r="H248" s="120"/>
      <c r="I248" s="69"/>
      <c r="J248" s="70">
        <f>SUM(AF48:AF241)-J253</f>
        <v>12444.37</v>
      </c>
      <c r="K248" s="70"/>
      <c r="L248" s="70">
        <f>Source!P184-L253</f>
        <v>84870.6</v>
      </c>
    </row>
    <row r="249" spans="1:12" ht="14.25">
      <c r="A249" s="67"/>
      <c r="B249" s="68"/>
      <c r="C249" s="120" t="s">
        <v>440</v>
      </c>
      <c r="D249" s="120"/>
      <c r="E249" s="120"/>
      <c r="F249" s="120"/>
      <c r="G249" s="120"/>
      <c r="H249" s="120"/>
      <c r="I249" s="69"/>
      <c r="J249" s="70">
        <f>SUM(AR48:AR241)+SUM(BB48:BB241)+SUM(BI48:BI241)+SUM(BP48:BP241)</f>
        <v>48.22</v>
      </c>
      <c r="K249" s="70"/>
      <c r="L249" s="70">
        <f>Source!P206</f>
        <v>647.66</v>
      </c>
    </row>
    <row r="250" spans="1:12" ht="14.25">
      <c r="A250" s="67"/>
      <c r="B250" s="68"/>
      <c r="C250" s="120" t="s">
        <v>468</v>
      </c>
      <c r="D250" s="120"/>
      <c r="E250" s="120"/>
      <c r="F250" s="120"/>
      <c r="G250" s="120"/>
      <c r="H250" s="120"/>
      <c r="I250" s="69"/>
      <c r="J250" s="70">
        <f>SUM(Q48:Q241)+SUM(X48:X241)</f>
        <v>6400.330000000001</v>
      </c>
      <c r="K250" s="70"/>
      <c r="L250" s="70">
        <f>SUM(U48:U241)+SUM(Z48:Z241)</f>
        <v>246988.24</v>
      </c>
    </row>
    <row r="251" spans="1:12" ht="14.25">
      <c r="A251" s="67"/>
      <c r="B251" s="68"/>
      <c r="C251" s="120" t="s">
        <v>469</v>
      </c>
      <c r="D251" s="120"/>
      <c r="E251" s="120"/>
      <c r="F251" s="120"/>
      <c r="G251" s="120"/>
      <c r="H251" s="120"/>
      <c r="I251" s="69"/>
      <c r="J251" s="70">
        <f>SUM(AG48:AG241)</f>
        <v>5787.670000000001</v>
      </c>
      <c r="K251" s="70"/>
      <c r="L251" s="70">
        <f>Source!P207</f>
        <v>223345.77</v>
      </c>
    </row>
    <row r="252" spans="1:12" ht="14.25">
      <c r="A252" s="67"/>
      <c r="B252" s="68"/>
      <c r="C252" s="120" t="s">
        <v>470</v>
      </c>
      <c r="D252" s="120"/>
      <c r="E252" s="120"/>
      <c r="F252" s="120"/>
      <c r="G252" s="120"/>
      <c r="H252" s="120"/>
      <c r="I252" s="69"/>
      <c r="J252" s="70">
        <f>SUM(AI48:AI241)</f>
        <v>2710.3</v>
      </c>
      <c r="K252" s="70"/>
      <c r="L252" s="70">
        <f>Source!P208</f>
        <v>104590.57</v>
      </c>
    </row>
    <row r="253" spans="1:12" ht="13.5" customHeight="1" hidden="1">
      <c r="A253" s="67"/>
      <c r="B253" s="68"/>
      <c r="C253" s="120" t="s">
        <v>471</v>
      </c>
      <c r="D253" s="120"/>
      <c r="E253" s="120"/>
      <c r="F253" s="120"/>
      <c r="G253" s="120"/>
      <c r="H253" s="120"/>
      <c r="I253" s="69"/>
      <c r="J253" s="70">
        <f>SUM(BH48:BH241)</f>
        <v>0</v>
      </c>
      <c r="K253" s="70"/>
      <c r="L253" s="70">
        <f>Source!P190</f>
        <v>0</v>
      </c>
    </row>
    <row r="254" spans="1:12" ht="13.5" customHeight="1" hidden="1">
      <c r="A254" s="67"/>
      <c r="B254" s="68"/>
      <c r="C254" s="120" t="s">
        <v>472</v>
      </c>
      <c r="D254" s="120"/>
      <c r="E254" s="120"/>
      <c r="F254" s="120"/>
      <c r="G254" s="120"/>
      <c r="H254" s="120"/>
      <c r="I254" s="69"/>
      <c r="J254" s="70">
        <f>SUM(BM48:BM241)+SUM(BN48:BN241)+SUM(BO48:BO241)+SUM(BP48:BP241)</f>
        <v>0</v>
      </c>
      <c r="K254" s="70"/>
      <c r="L254" s="70">
        <f>Source!P200</f>
        <v>0</v>
      </c>
    </row>
    <row r="255" spans="1:12" ht="15">
      <c r="A255" s="63"/>
      <c r="B255" s="64"/>
      <c r="C255" s="122" t="s">
        <v>466</v>
      </c>
      <c r="D255" s="122"/>
      <c r="E255" s="122"/>
      <c r="F255" s="122"/>
      <c r="G255" s="122"/>
      <c r="H255" s="122"/>
      <c r="I255" s="65"/>
      <c r="J255" s="66">
        <f>J244+J251+J252+J253</f>
        <v>28245.530000000002</v>
      </c>
      <c r="K255" s="66"/>
      <c r="L255" s="66">
        <f>Source!P209</f>
        <v>666660.06</v>
      </c>
    </row>
    <row r="256" spans="1:12" ht="13.5" customHeight="1" hidden="1">
      <c r="A256" s="67"/>
      <c r="B256" s="68"/>
      <c r="C256" s="121" t="s">
        <v>436</v>
      </c>
      <c r="D256" s="120"/>
      <c r="E256" s="120"/>
      <c r="F256" s="120"/>
      <c r="G256" s="120"/>
      <c r="H256" s="120"/>
      <c r="I256" s="69"/>
      <c r="J256" s="70"/>
      <c r="K256" s="70"/>
      <c r="L256" s="70"/>
    </row>
    <row r="257" spans="1:12" ht="13.5" customHeight="1" hidden="1">
      <c r="A257" s="67"/>
      <c r="B257" s="68"/>
      <c r="C257" s="120" t="s">
        <v>448</v>
      </c>
      <c r="D257" s="120"/>
      <c r="E257" s="120"/>
      <c r="F257" s="120"/>
      <c r="G257" s="120"/>
      <c r="H257" s="120"/>
      <c r="I257" s="69"/>
      <c r="J257" s="70"/>
      <c r="K257" s="70"/>
      <c r="L257" s="70">
        <f>SUM(BS48:BS241)</f>
        <v>0</v>
      </c>
    </row>
    <row r="258" spans="1:12" ht="13.5" customHeight="1" hidden="1">
      <c r="A258" s="67"/>
      <c r="B258" s="68"/>
      <c r="C258" s="120" t="s">
        <v>449</v>
      </c>
      <c r="D258" s="120"/>
      <c r="E258" s="120"/>
      <c r="F258" s="120"/>
      <c r="G258" s="120"/>
      <c r="H258" s="120"/>
      <c r="I258" s="69"/>
      <c r="J258" s="70"/>
      <c r="K258" s="70"/>
      <c r="L258" s="70">
        <f>SUM(BT48:BT241)</f>
        <v>0</v>
      </c>
    </row>
    <row r="259" spans="1:12" ht="14.25">
      <c r="A259" s="67"/>
      <c r="B259" s="68"/>
      <c r="C259" s="120" t="s">
        <v>473</v>
      </c>
      <c r="D259" s="120"/>
      <c r="E259" s="120"/>
      <c r="F259" s="120"/>
      <c r="G259" s="120"/>
      <c r="H259" s="120"/>
      <c r="I259" s="69"/>
      <c r="J259" s="70"/>
      <c r="K259" s="71">
        <v>0.2</v>
      </c>
      <c r="L259" s="70">
        <f>ROUND(L255*K259,2)</f>
        <v>133332.01</v>
      </c>
    </row>
    <row r="260" spans="1:12" ht="15">
      <c r="A260" s="63"/>
      <c r="B260" s="64"/>
      <c r="C260" s="122" t="s">
        <v>474</v>
      </c>
      <c r="D260" s="122"/>
      <c r="E260" s="122"/>
      <c r="F260" s="122"/>
      <c r="G260" s="122"/>
      <c r="H260" s="122"/>
      <c r="I260" s="65"/>
      <c r="J260" s="66"/>
      <c r="K260" s="66"/>
      <c r="L260" s="66">
        <f>L255+L259</f>
        <v>799992.0700000001</v>
      </c>
    </row>
    <row r="263" spans="1:11" ht="14.25">
      <c r="A263" s="118" t="s">
        <v>475</v>
      </c>
      <c r="B263" s="118"/>
      <c r="C263" s="46" t="str">
        <f>IF(Source!AC12&lt;&gt;"",Source!AC12," ")</f>
        <v>Ведущий инженер РеСО</v>
      </c>
      <c r="D263" s="46"/>
      <c r="E263" s="46"/>
      <c r="F263" s="46"/>
      <c r="G263" s="46"/>
      <c r="H263" s="107" t="str">
        <f>IF(Source!AB12&lt;&gt;"",Source!AB12," ")</f>
        <v>Степанова А.М.</v>
      </c>
      <c r="I263" s="107"/>
      <c r="J263" s="107"/>
      <c r="K263" s="107"/>
    </row>
    <row r="264" spans="1:11" ht="14.25">
      <c r="A264" s="14"/>
      <c r="B264" s="14"/>
      <c r="C264" s="119" t="s">
        <v>476</v>
      </c>
      <c r="D264" s="119"/>
      <c r="E264" s="119"/>
      <c r="F264" s="119"/>
      <c r="G264" s="119"/>
      <c r="H264" s="14"/>
      <c r="I264" s="14"/>
      <c r="J264" s="14"/>
      <c r="K264" s="14"/>
    </row>
    <row r="265" spans="1:11" ht="14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</row>
    <row r="266" spans="1:11" ht="14.25">
      <c r="A266" s="118" t="s">
        <v>477</v>
      </c>
      <c r="B266" s="118"/>
      <c r="C266" s="46" t="str">
        <f>IF(Source!AE12&lt;&gt;"",Source!AE12," ")</f>
        <v>Заведующий РеСО</v>
      </c>
      <c r="D266" s="46"/>
      <c r="E266" s="46"/>
      <c r="F266" s="46"/>
      <c r="G266" s="46"/>
      <c r="H266" s="107" t="str">
        <f>IF(Source!AD12&lt;&gt;"",Source!AD12," ")</f>
        <v>Покшин В.И.</v>
      </c>
      <c r="I266" s="107"/>
      <c r="J266" s="107"/>
      <c r="K266" s="107"/>
    </row>
    <row r="267" spans="1:11" ht="14.25">
      <c r="A267" s="14"/>
      <c r="B267" s="14"/>
      <c r="C267" s="119" t="s">
        <v>476</v>
      </c>
      <c r="D267" s="119"/>
      <c r="E267" s="119"/>
      <c r="F267" s="119"/>
      <c r="G267" s="119"/>
      <c r="H267" s="14"/>
      <c r="I267" s="14"/>
      <c r="J267" s="14"/>
      <c r="K267" s="14"/>
    </row>
  </sheetData>
  <sheetProtection/>
  <mergeCells count="132">
    <mergeCell ref="C245:H245"/>
    <mergeCell ref="C244:H244"/>
    <mergeCell ref="C243:H243"/>
    <mergeCell ref="C241:H241"/>
    <mergeCell ref="C260:H260"/>
    <mergeCell ref="C259:H259"/>
    <mergeCell ref="C258:H258"/>
    <mergeCell ref="C251:H251"/>
    <mergeCell ref="C250:H250"/>
    <mergeCell ref="C249:H249"/>
    <mergeCell ref="C248:H248"/>
    <mergeCell ref="C247:H247"/>
    <mergeCell ref="C246:H246"/>
    <mergeCell ref="C257:H257"/>
    <mergeCell ref="C256:H256"/>
    <mergeCell ref="C255:H255"/>
    <mergeCell ref="C254:H254"/>
    <mergeCell ref="C253:H253"/>
    <mergeCell ref="C252:H252"/>
    <mergeCell ref="C231:H231"/>
    <mergeCell ref="C230:H230"/>
    <mergeCell ref="C229:H229"/>
    <mergeCell ref="C228:H228"/>
    <mergeCell ref="C227:H227"/>
    <mergeCell ref="K225:L225"/>
    <mergeCell ref="I225:J225"/>
    <mergeCell ref="C225:H225"/>
    <mergeCell ref="C173:H173"/>
    <mergeCell ref="C179:H179"/>
    <mergeCell ref="C178:H178"/>
    <mergeCell ref="C177:H177"/>
    <mergeCell ref="C176:H176"/>
    <mergeCell ref="C175:H175"/>
    <mergeCell ref="C174:H174"/>
    <mergeCell ref="C199:H199"/>
    <mergeCell ref="A185:L185"/>
    <mergeCell ref="C183:H183"/>
    <mergeCell ref="C182:H182"/>
    <mergeCell ref="C181:H181"/>
    <mergeCell ref="C180:H180"/>
    <mergeCell ref="C240:H240"/>
    <mergeCell ref="C239:H239"/>
    <mergeCell ref="C238:H238"/>
    <mergeCell ref="C237:H237"/>
    <mergeCell ref="C236:H236"/>
    <mergeCell ref="C235:H235"/>
    <mergeCell ref="C234:H234"/>
    <mergeCell ref="C233:H233"/>
    <mergeCell ref="C232:H232"/>
    <mergeCell ref="I120:J120"/>
    <mergeCell ref="C120:H120"/>
    <mergeCell ref="K105:L105"/>
    <mergeCell ref="I105:J105"/>
    <mergeCell ref="C105:H105"/>
    <mergeCell ref="C134:H134"/>
    <mergeCell ref="C133:H133"/>
    <mergeCell ref="C132:H132"/>
    <mergeCell ref="C131:H131"/>
    <mergeCell ref="C130:H130"/>
    <mergeCell ref="C267:G267"/>
    <mergeCell ref="C129:H129"/>
    <mergeCell ref="C128:H128"/>
    <mergeCell ref="C127:H127"/>
    <mergeCell ref="C126:H126"/>
    <mergeCell ref="C125:H125"/>
    <mergeCell ref="C152:H152"/>
    <mergeCell ref="A138:L138"/>
    <mergeCell ref="C136:H136"/>
    <mergeCell ref="C135:H135"/>
    <mergeCell ref="C172:H172"/>
    <mergeCell ref="C171:H171"/>
    <mergeCell ref="C170:H170"/>
    <mergeCell ref="C169:H169"/>
    <mergeCell ref="K167:L167"/>
    <mergeCell ref="I167:J167"/>
    <mergeCell ref="C167:H167"/>
    <mergeCell ref="K152:L152"/>
    <mergeCell ref="I152:J152"/>
    <mergeCell ref="K212:L212"/>
    <mergeCell ref="I212:J212"/>
    <mergeCell ref="C212:H212"/>
    <mergeCell ref="K199:L199"/>
    <mergeCell ref="I199:J199"/>
    <mergeCell ref="K43:K46"/>
    <mergeCell ref="L43:L46"/>
    <mergeCell ref="A263:B263"/>
    <mergeCell ref="H263:K263"/>
    <mergeCell ref="C264:G264"/>
    <mergeCell ref="A266:B266"/>
    <mergeCell ref="H266:K266"/>
    <mergeCell ref="C124:H124"/>
    <mergeCell ref="C123:H123"/>
    <mergeCell ref="C122:H122"/>
    <mergeCell ref="A43:A46"/>
    <mergeCell ref="B43:B46"/>
    <mergeCell ref="C43:C46"/>
    <mergeCell ref="D43:D46"/>
    <mergeCell ref="E43:G45"/>
    <mergeCell ref="H43:J45"/>
    <mergeCell ref="A49:L49"/>
    <mergeCell ref="K90:L90"/>
    <mergeCell ref="I90:J90"/>
    <mergeCell ref="C90:H90"/>
    <mergeCell ref="K64:L64"/>
    <mergeCell ref="I64:J64"/>
    <mergeCell ref="C64:H64"/>
    <mergeCell ref="K120:L120"/>
    <mergeCell ref="C31:G31"/>
    <mergeCell ref="D35:E35"/>
    <mergeCell ref="D38:E38"/>
    <mergeCell ref="D39:E39"/>
    <mergeCell ref="D40:E40"/>
    <mergeCell ref="D41:E41"/>
    <mergeCell ref="B19:K19"/>
    <mergeCell ref="B20:K20"/>
    <mergeCell ref="B22:K22"/>
    <mergeCell ref="B24:K24"/>
    <mergeCell ref="B25:K25"/>
    <mergeCell ref="C30:G30"/>
    <mergeCell ref="H1:L1"/>
    <mergeCell ref="B8:E8"/>
    <mergeCell ref="H8:L8"/>
    <mergeCell ref="A11:L11"/>
    <mergeCell ref="A13:K13"/>
    <mergeCell ref="B16:K16"/>
    <mergeCell ref="B17:K17"/>
    <mergeCell ref="B4:E4"/>
    <mergeCell ref="H4:L4"/>
    <mergeCell ref="B5:E5"/>
    <mergeCell ref="H5:L5"/>
    <mergeCell ref="B7:E7"/>
    <mergeCell ref="H7:L7"/>
  </mergeCells>
  <printOptions/>
  <pageMargins left="0.4" right="0.2" top="0.2" bottom="0.4" header="0.2" footer="0.2"/>
  <pageSetup fitToHeight="0" fitToWidth="1" horizontalDpi="600" verticalDpi="600" orientation="portrait" paperSize="9" scale="5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75.7109375" style="0" customWidth="1"/>
    <col min="4" max="8" width="15.7109375" style="0" customWidth="1"/>
    <col min="30" max="32" width="0" style="0" hidden="1" customWidth="1"/>
  </cols>
  <sheetData>
    <row r="1" ht="12.75">
      <c r="A1" s="12" t="str">
        <f>Source!B1</f>
        <v>Smeta.RU  (495) 974-1589</v>
      </c>
    </row>
    <row r="2" spans="4:5" ht="14.25">
      <c r="D2" s="14"/>
      <c r="E2" s="14"/>
    </row>
    <row r="3" spans="4:5" ht="15">
      <c r="D3" s="14"/>
      <c r="E3" s="62" t="s">
        <v>367</v>
      </c>
    </row>
    <row r="4" spans="4:5" ht="15">
      <c r="D4" s="62"/>
      <c r="E4" s="62"/>
    </row>
    <row r="5" spans="4:5" ht="15">
      <c r="D5" s="135" t="s">
        <v>478</v>
      </c>
      <c r="E5" s="135"/>
    </row>
    <row r="6" spans="4:5" ht="15">
      <c r="D6" s="77"/>
      <c r="E6" s="77"/>
    </row>
    <row r="7" spans="4:5" ht="15">
      <c r="D7" s="135" t="s">
        <v>478</v>
      </c>
      <c r="E7" s="135"/>
    </row>
    <row r="8" spans="4:5" ht="15">
      <c r="D8" s="77"/>
      <c r="E8" s="77"/>
    </row>
    <row r="9" spans="4:5" ht="15">
      <c r="D9" s="62" t="s">
        <v>479</v>
      </c>
      <c r="E9" s="14"/>
    </row>
    <row r="10" spans="4:5" ht="14.25">
      <c r="D10" s="14"/>
      <c r="E10" s="14"/>
    </row>
    <row r="12" spans="2:5" ht="15.75">
      <c r="B12" s="136" t="str">
        <f>CONCATENATE("Ведомость объемов работ ",IF(Source!AN15&lt;&gt;"",Source!AN15," "))</f>
        <v>Ведомость объемов работ  </v>
      </c>
      <c r="C12" s="136"/>
      <c r="D12" s="136"/>
      <c r="E12" s="136"/>
    </row>
    <row r="13" spans="2:5" ht="15">
      <c r="B13" s="137" t="str">
        <f>CONCATENATE(Source!F12," ",Source!G12)</f>
        <v> Ремонт коридора 6 эт. строения 1 (ЛПК)</v>
      </c>
      <c r="C13" s="137"/>
      <c r="D13" s="137"/>
      <c r="E13" s="137"/>
    </row>
    <row r="14" ht="12.75" hidden="1"/>
    <row r="16" spans="1:8" ht="99.75">
      <c r="A16" s="79" t="s">
        <v>391</v>
      </c>
      <c r="B16" s="79" t="s">
        <v>480</v>
      </c>
      <c r="C16" s="79" t="s">
        <v>393</v>
      </c>
      <c r="D16" s="79" t="s">
        <v>394</v>
      </c>
      <c r="E16" s="79" t="s">
        <v>395</v>
      </c>
      <c r="F16" s="79" t="s">
        <v>481</v>
      </c>
      <c r="G16" s="79" t="s">
        <v>482</v>
      </c>
      <c r="H16" s="79" t="s">
        <v>483</v>
      </c>
    </row>
    <row r="17" spans="1:8" ht="14.25">
      <c r="A17" s="79">
        <v>1</v>
      </c>
      <c r="B17" s="79">
        <v>2</v>
      </c>
      <c r="C17" s="79">
        <v>3</v>
      </c>
      <c r="D17" s="79">
        <v>4</v>
      </c>
      <c r="E17" s="79">
        <v>5</v>
      </c>
      <c r="F17" s="79">
        <v>6</v>
      </c>
      <c r="G17" s="79">
        <v>7</v>
      </c>
      <c r="H17" s="79">
        <v>8</v>
      </c>
    </row>
    <row r="18" spans="1:8" ht="16.5">
      <c r="A18" s="134" t="str">
        <f>CONCATENATE("Локальная смета: ",Source!G20)</f>
        <v>Локальная смета: </v>
      </c>
      <c r="B18" s="134"/>
      <c r="C18" s="134"/>
      <c r="D18" s="134"/>
      <c r="E18" s="134"/>
      <c r="F18" s="134"/>
      <c r="G18" s="134"/>
      <c r="H18" s="134"/>
    </row>
    <row r="19" spans="1:8" ht="16.5">
      <c r="A19" s="134" t="str">
        <f>CONCATENATE("Раздел: ",Source!G24)</f>
        <v>Раздел: Ремонтные работы</v>
      </c>
      <c r="B19" s="134"/>
      <c r="C19" s="134"/>
      <c r="D19" s="134"/>
      <c r="E19" s="134"/>
      <c r="F19" s="134"/>
      <c r="G19" s="134"/>
      <c r="H19" s="134"/>
    </row>
    <row r="20" spans="1:8" ht="28.5">
      <c r="A20" s="79">
        <v>1</v>
      </c>
      <c r="B20" s="79" t="str">
        <f>Source!E28</f>
        <v>1</v>
      </c>
      <c r="C20" s="82" t="str">
        <f>Source!G28</f>
        <v>Разборка элементов облицовки потолков с разборкой каркаса (Применительно)</v>
      </c>
      <c r="D20" s="79" t="s">
        <v>24</v>
      </c>
      <c r="E20" s="83">
        <f>Source!I28</f>
        <v>0.11</v>
      </c>
      <c r="F20" s="79">
        <f>Source!U24</f>
      </c>
      <c r="G20" s="79" t="str">
        <f>"=11/"&amp;"100"</f>
        <v>=11/100</v>
      </c>
      <c r="H20" s="82"/>
    </row>
    <row r="21" spans="1:8" ht="14.25">
      <c r="A21" s="79">
        <v>1.1</v>
      </c>
      <c r="B21" s="79" t="str">
        <f>Source!E30</f>
        <v>1,1</v>
      </c>
      <c r="C21" s="82" t="str">
        <f>Source!G30</f>
        <v>Строительный мусор и масса возвратных материалов</v>
      </c>
      <c r="D21" s="79" t="s">
        <v>36</v>
      </c>
      <c r="E21" s="83">
        <f>Source!I30</f>
        <v>0.03916</v>
      </c>
      <c r="F21" s="79">
        <f>Source!U24</f>
      </c>
      <c r="G21" s="79"/>
      <c r="H21" s="82"/>
    </row>
    <row r="22" spans="1:8" ht="28.5">
      <c r="A22" s="79">
        <v>2</v>
      </c>
      <c r="B22" s="79" t="str">
        <f>Source!E32</f>
        <v>2</v>
      </c>
      <c r="C22" s="82" t="str">
        <f>Source!G32</f>
        <v>Устройство потолков: плитно-ячеистых по каркасу из оцинкованного профиля</v>
      </c>
      <c r="D22" s="79" t="s">
        <v>24</v>
      </c>
      <c r="E22" s="83">
        <f>Source!I32</f>
        <v>2.36</v>
      </c>
      <c r="F22" s="79">
        <f>Source!U24</f>
      </c>
      <c r="G22" s="79" t="str">
        <f>"=236/"&amp;"100"</f>
        <v>=236/100</v>
      </c>
      <c r="H22" s="82"/>
    </row>
    <row r="23" spans="1:8" ht="14.25">
      <c r="A23" s="79">
        <v>2.1</v>
      </c>
      <c r="B23" s="79" t="str">
        <f>Source!E34</f>
        <v>2,1</v>
      </c>
      <c r="C23" s="82" t="str">
        <f>Source!G34</f>
        <v>Основная направляющая, 24х35х3700 мм., цвет белый</v>
      </c>
      <c r="D23" s="79" t="s">
        <v>54</v>
      </c>
      <c r="E23" s="83">
        <f>Source!I34</f>
        <v>32</v>
      </c>
      <c r="F23" s="79">
        <f>Source!U24</f>
      </c>
      <c r="G23" s="79"/>
      <c r="H23" s="82"/>
    </row>
    <row r="24" spans="1:8" ht="14.25">
      <c r="A24" s="79">
        <v>2.2</v>
      </c>
      <c r="B24" s="79" t="str">
        <f>Source!E36</f>
        <v>2,2</v>
      </c>
      <c r="C24" s="82" t="str">
        <f>Source!G36</f>
        <v>Дюбель-гвоздь тип 2</v>
      </c>
      <c r="D24" s="79" t="s">
        <v>54</v>
      </c>
      <c r="E24" s="83">
        <f>Source!I36</f>
        <v>800</v>
      </c>
      <c r="F24" s="79">
        <f>Source!U24</f>
      </c>
      <c r="G24" s="79"/>
      <c r="H24" s="82"/>
    </row>
    <row r="25" spans="1:8" ht="28.5">
      <c r="A25" s="79">
        <v>2.3</v>
      </c>
      <c r="B25" s="79" t="str">
        <f>Source!E38</f>
        <v>2,3</v>
      </c>
      <c r="C25" s="82" t="str">
        <f>Source!G38</f>
        <v>Основная направляющая (профиль главный) "Асбес", цвет белый, 3700х29х24мм.</v>
      </c>
      <c r="D25" s="79" t="s">
        <v>54</v>
      </c>
      <c r="E25" s="83">
        <f>Source!I38</f>
        <v>2</v>
      </c>
      <c r="F25" s="79">
        <f>Source!U24</f>
      </c>
      <c r="G25" s="79"/>
      <c r="H25" s="82"/>
    </row>
    <row r="26" spans="1:8" ht="14.25">
      <c r="A26" s="79">
        <v>2.4</v>
      </c>
      <c r="B26" s="79" t="str">
        <f>Source!E40</f>
        <v>2,4</v>
      </c>
      <c r="C26" s="82" t="str">
        <f>Source!G40</f>
        <v>Поперечная планка, 24х28х1200 мм., цвет белый</v>
      </c>
      <c r="D26" s="79" t="s">
        <v>54</v>
      </c>
      <c r="E26" s="83">
        <f>Source!I40</f>
        <v>190.00000000000003</v>
      </c>
      <c r="F26" s="79">
        <f>Source!U24</f>
      </c>
      <c r="G26" s="79"/>
      <c r="H26" s="82"/>
    </row>
    <row r="27" spans="1:8" ht="14.25">
      <c r="A27" s="79">
        <v>2.5</v>
      </c>
      <c r="B27" s="79" t="str">
        <f>Source!E42</f>
        <v>2,5</v>
      </c>
      <c r="C27" s="82" t="str">
        <f>Source!G42</f>
        <v>Поперечный профиль "Асбес", цвет белый, длина 1200мм.</v>
      </c>
      <c r="D27" s="79" t="s">
        <v>54</v>
      </c>
      <c r="E27" s="83">
        <f>Source!I42</f>
        <v>20</v>
      </c>
      <c r="F27" s="79">
        <f>Source!U24</f>
      </c>
      <c r="G27" s="79"/>
      <c r="H27" s="82"/>
    </row>
    <row r="28" spans="1:8" ht="14.25">
      <c r="A28" s="79">
        <v>2.6</v>
      </c>
      <c r="B28" s="79" t="str">
        <f>Source!E44</f>
        <v>2,6</v>
      </c>
      <c r="C28" s="82" t="str">
        <f>Source!G44</f>
        <v>Поперечная планка, 24х28х600 мм., цвет белый</v>
      </c>
      <c r="D28" s="79" t="s">
        <v>54</v>
      </c>
      <c r="E28" s="83">
        <f>Source!I44</f>
        <v>190.00000000000003</v>
      </c>
      <c r="F28" s="79">
        <f>Source!U24</f>
      </c>
      <c r="G28" s="79"/>
      <c r="H28" s="82"/>
    </row>
    <row r="29" spans="1:8" ht="14.25">
      <c r="A29" s="79">
        <v>2.7</v>
      </c>
      <c r="B29" s="79" t="str">
        <f>Source!E46</f>
        <v>2,7</v>
      </c>
      <c r="C29" s="82" t="str">
        <f>Source!G46</f>
        <v>Поперечный профиль тип "Асбес", цвет белый, длина 600мм.</v>
      </c>
      <c r="D29" s="79" t="s">
        <v>54</v>
      </c>
      <c r="E29" s="83">
        <f>Source!I46</f>
        <v>28</v>
      </c>
      <c r="F29" s="79">
        <f>Source!U24</f>
      </c>
      <c r="G29" s="79"/>
      <c r="H29" s="82"/>
    </row>
    <row r="30" spans="1:8" ht="14.25">
      <c r="A30" s="79">
        <v>2.8</v>
      </c>
      <c r="B30" s="79" t="str">
        <f>Source!E48</f>
        <v>2,8</v>
      </c>
      <c r="C30" s="82" t="str">
        <f>Source!G48</f>
        <v>Угол периметральный (пристенный) 19х3000 мм., цвет белый</v>
      </c>
      <c r="D30" s="79" t="s">
        <v>54</v>
      </c>
      <c r="E30" s="83">
        <f>Source!I48</f>
        <v>25</v>
      </c>
      <c r="F30" s="79">
        <f>Source!U24</f>
      </c>
      <c r="G30" s="79"/>
      <c r="H30" s="82"/>
    </row>
    <row r="31" spans="1:8" ht="14.25">
      <c r="A31" s="79">
        <v>2.9</v>
      </c>
      <c r="B31" s="79" t="str">
        <f>Source!E50</f>
        <v>2,9</v>
      </c>
      <c r="C31" s="82" t="str">
        <f>Source!G50</f>
        <v>Плита потолочная, 595х595х10 мм., цвет белый</v>
      </c>
      <c r="D31" s="79" t="s">
        <v>72</v>
      </c>
      <c r="E31" s="83">
        <f>Source!I50</f>
        <v>136.8</v>
      </c>
      <c r="F31" s="79">
        <f>Source!U24</f>
      </c>
      <c r="G31" s="79"/>
      <c r="H31" s="82"/>
    </row>
    <row r="32" spans="1:8" ht="14.25">
      <c r="A32" s="79">
        <v>2.1</v>
      </c>
      <c r="B32" s="79" t="str">
        <f>Source!E52</f>
        <v>2,10</v>
      </c>
      <c r="C32" s="82" t="str">
        <f>Source!G52</f>
        <v>Плита потолочная "Байкал", белая 600х600 мм.</v>
      </c>
      <c r="D32" s="79" t="s">
        <v>72</v>
      </c>
      <c r="E32" s="83">
        <f>Source!I52</f>
        <v>13.32</v>
      </c>
      <c r="F32" s="79">
        <f>Source!U24</f>
      </c>
      <c r="G32" s="79"/>
      <c r="H32" s="82"/>
    </row>
    <row r="33" spans="1:8" ht="14.25">
      <c r="A33" s="79">
        <v>2.11</v>
      </c>
      <c r="B33" s="79" t="str">
        <f>Source!E54</f>
        <v>2,11</v>
      </c>
      <c r="C33" s="82" t="str">
        <f>Source!G54</f>
        <v>Панели потолочные с комплектующими</v>
      </c>
      <c r="D33" s="79" t="s">
        <v>72</v>
      </c>
      <c r="E33" s="83">
        <f>Source!I54</f>
        <v>93.08</v>
      </c>
      <c r="F33" s="79">
        <f>Source!U24</f>
      </c>
      <c r="G33" s="79"/>
      <c r="H33" s="82"/>
    </row>
    <row r="34" spans="1:8" ht="14.25">
      <c r="A34" s="79">
        <v>2.12</v>
      </c>
      <c r="B34" s="79" t="str">
        <f>Source!E56</f>
        <v>2,12</v>
      </c>
      <c r="C34" s="82" t="str">
        <f>Source!G56</f>
        <v>Панели потолочные с комплектующими</v>
      </c>
      <c r="D34" s="79" t="s">
        <v>72</v>
      </c>
      <c r="E34" s="83">
        <f>Source!I56</f>
        <v>-243.07999999999998</v>
      </c>
      <c r="F34" s="79">
        <f>Source!U24</f>
      </c>
      <c r="G34" s="79"/>
      <c r="H34" s="82"/>
    </row>
    <row r="35" spans="1:8" ht="28.5">
      <c r="A35" s="79">
        <v>3</v>
      </c>
      <c r="B35" s="79" t="str">
        <f>Source!E58</f>
        <v>3</v>
      </c>
      <c r="C35" s="82" t="str">
        <f>Source!G58</f>
        <v>Ремонт штукатурки внутренних стен по камню известковым раствором площадью отдельных мест до 1 м2 толщиной слоя до 20 мм</v>
      </c>
      <c r="D35" s="79" t="s">
        <v>24</v>
      </c>
      <c r="E35" s="83">
        <f>Source!I58</f>
        <v>0.2966</v>
      </c>
      <c r="F35" s="79">
        <f>Source!U24</f>
      </c>
      <c r="G35" s="79" t="str">
        <f>"=29,66/"&amp;"100"</f>
        <v>=29,66/100</v>
      </c>
      <c r="H35" s="82"/>
    </row>
    <row r="36" spans="1:8" ht="14.25">
      <c r="A36" s="79">
        <v>3.1</v>
      </c>
      <c r="B36" s="79" t="str">
        <f>Source!E60</f>
        <v>3,1</v>
      </c>
      <c r="C36" s="82" t="str">
        <f>Source!G60</f>
        <v>Строительный мусор</v>
      </c>
      <c r="D36" s="79" t="s">
        <v>36</v>
      </c>
      <c r="E36" s="83">
        <f>Source!I60</f>
        <v>1.002508</v>
      </c>
      <c r="F36" s="79">
        <f>Source!U24</f>
      </c>
      <c r="G36" s="79"/>
      <c r="H36" s="82"/>
    </row>
    <row r="37" spans="1:8" ht="28.5">
      <c r="A37" s="79">
        <v>4</v>
      </c>
      <c r="B37" s="79" t="str">
        <f>Source!E62</f>
        <v>4</v>
      </c>
      <c r="C37" s="82" t="str">
        <f>Source!G62</f>
        <v>Окраска поливинилацетатными водоэмульсионными составами улучшенная: по штукатурке стен</v>
      </c>
      <c r="D37" s="79" t="s">
        <v>24</v>
      </c>
      <c r="E37" s="83">
        <f>Source!I62</f>
        <v>6.5</v>
      </c>
      <c r="F37" s="79">
        <f>Source!U24</f>
      </c>
      <c r="G37" s="79" t="str">
        <f>"=650/"&amp;"100"</f>
        <v>=650/100</v>
      </c>
      <c r="H37" s="82"/>
    </row>
    <row r="38" spans="1:8" ht="14.25">
      <c r="A38" s="79">
        <v>4.1</v>
      </c>
      <c r="B38" s="79" t="str">
        <f>Source!E64</f>
        <v>4,1</v>
      </c>
      <c r="C38" s="82" t="str">
        <f>Source!G64</f>
        <v>Краска акриловая: Alpina ULTRAWEISS, CAPAROL водно-дисперсионная</v>
      </c>
      <c r="D38" s="79" t="s">
        <v>36</v>
      </c>
      <c r="E38" s="83">
        <f>Source!I64</f>
        <v>0.4095</v>
      </c>
      <c r="F38" s="79">
        <f>Source!U24</f>
      </c>
      <c r="G38" s="79"/>
      <c r="H38" s="82"/>
    </row>
    <row r="39" spans="1:8" ht="16.5">
      <c r="A39" s="134" t="str">
        <f>CONCATENATE("Раздел: ",Source!G97)</f>
        <v>Раздел: Пожарные шкафы</v>
      </c>
      <c r="B39" s="134"/>
      <c r="C39" s="134"/>
      <c r="D39" s="134"/>
      <c r="E39" s="134"/>
      <c r="F39" s="134"/>
      <c r="G39" s="134"/>
      <c r="H39" s="134"/>
    </row>
    <row r="40" spans="1:8" ht="14.25">
      <c r="A40" s="79">
        <v>5</v>
      </c>
      <c r="B40" s="79" t="str">
        <f>Source!E101</f>
        <v>5</v>
      </c>
      <c r="C40" s="82" t="str">
        <f>Source!G101</f>
        <v>Демонтаж встроенных пожарных шкафов (Применительно)</v>
      </c>
      <c r="D40" s="79" t="s">
        <v>159</v>
      </c>
      <c r="E40" s="83">
        <f>Source!I101</f>
        <v>0.07</v>
      </c>
      <c r="F40" s="79">
        <f>Source!U97</f>
      </c>
      <c r="G40" s="79" t="str">
        <f>"=7/"&amp;"100"</f>
        <v>=7/100</v>
      </c>
      <c r="H40" s="82"/>
    </row>
    <row r="41" spans="1:8" ht="28.5">
      <c r="A41" s="79">
        <v>6</v>
      </c>
      <c r="B41" s="79" t="str">
        <f>Source!E103</f>
        <v>6</v>
      </c>
      <c r="C41" s="82" t="str">
        <f>Source!G103</f>
        <v>Установка шкафов металлических для санитарно-технических систем: на стене или в нише массой до 10 кг</v>
      </c>
      <c r="D41" s="79" t="s">
        <v>159</v>
      </c>
      <c r="E41" s="83">
        <f>Source!I103</f>
        <v>0.07</v>
      </c>
      <c r="F41" s="79">
        <f>Source!U97</f>
      </c>
      <c r="G41" s="79" t="str">
        <f>"=7/"&amp;"100"</f>
        <v>=7/100</v>
      </c>
      <c r="H41" s="82"/>
    </row>
    <row r="42" spans="1:8" ht="14.25">
      <c r="A42" s="79">
        <v>6.1</v>
      </c>
      <c r="B42" s="79" t="str">
        <f>Source!E105</f>
        <v>6,1</v>
      </c>
      <c r="C42" s="82" t="str">
        <f>Source!G105</f>
        <v>Шкаф пожарный ШП-К-310ВЗБ, 00-000000000015053</v>
      </c>
      <c r="D42" s="79" t="s">
        <v>54</v>
      </c>
      <c r="E42" s="83">
        <f>Source!I105</f>
        <v>7</v>
      </c>
      <c r="F42" s="79">
        <f>Source!U97</f>
      </c>
      <c r="G42" s="79"/>
      <c r="H42" s="82"/>
    </row>
    <row r="43" spans="1:8" ht="16.5">
      <c r="A43" s="134" t="str">
        <f>CONCATENATE("Раздел: ",Source!G138)</f>
        <v>Раздел: Разные работы</v>
      </c>
      <c r="B43" s="134"/>
      <c r="C43" s="134"/>
      <c r="D43" s="134"/>
      <c r="E43" s="134"/>
      <c r="F43" s="134"/>
      <c r="G43" s="134"/>
      <c r="H43" s="134"/>
    </row>
    <row r="44" spans="1:8" ht="14.25">
      <c r="A44" s="79">
        <v>7</v>
      </c>
      <c r="B44" s="79" t="str">
        <f>Source!E142</f>
        <v>7</v>
      </c>
      <c r="C44" s="82" t="str">
        <f>Source!G142</f>
        <v>Очистка помещений от строительного мусора</v>
      </c>
      <c r="D44" s="79" t="s">
        <v>184</v>
      </c>
      <c r="E44" s="83">
        <f>Source!I142</f>
        <v>0.0104</v>
      </c>
      <c r="F44" s="79">
        <f>Source!U138</f>
      </c>
      <c r="G44" s="79" t="str">
        <f>"=1,04/"&amp;"100"</f>
        <v>=1,04/100</v>
      </c>
      <c r="H44" s="82"/>
    </row>
    <row r="45" spans="1:8" ht="14.25">
      <c r="A45" s="79">
        <v>7.1</v>
      </c>
      <c r="B45" s="79" t="str">
        <f>Source!E144</f>
        <v>7,1</v>
      </c>
      <c r="C45" s="82" t="str">
        <f>Source!G144</f>
        <v>Строительный мусор</v>
      </c>
      <c r="D45" s="79" t="s">
        <v>36</v>
      </c>
      <c r="E45" s="83">
        <f>Source!I144</f>
        <v>1.04</v>
      </c>
      <c r="F45" s="79">
        <f>Source!U138</f>
      </c>
      <c r="G45" s="79"/>
      <c r="H45" s="82"/>
    </row>
    <row r="46" spans="1:8" ht="14.25">
      <c r="A46" s="79">
        <v>8</v>
      </c>
      <c r="B46" s="79" t="str">
        <f>Source!E146</f>
        <v>8</v>
      </c>
      <c r="C46" s="82" t="str">
        <f>Source!G146</f>
        <v>Затаривание строительного мусора в мешки</v>
      </c>
      <c r="D46" s="79" t="s">
        <v>36</v>
      </c>
      <c r="E46" s="83">
        <f>Source!I146</f>
        <v>1.04</v>
      </c>
      <c r="F46" s="79">
        <f>Source!U138</f>
      </c>
      <c r="G46" s="79">
        <f>Source!I146</f>
        <v>1.04</v>
      </c>
      <c r="H46" s="82"/>
    </row>
    <row r="47" spans="1:8" ht="28.5">
      <c r="A47" s="78">
        <v>9</v>
      </c>
      <c r="B47" s="78" t="str">
        <f>Source!E148</f>
        <v>9</v>
      </c>
      <c r="C47" s="80" t="str">
        <f>Source!G148</f>
        <v>Перевозка грузов I класса автомобилями бортовыми грузоподъемностью до 5 т на расстояние: до 50 км</v>
      </c>
      <c r="D47" s="78" t="s">
        <v>198</v>
      </c>
      <c r="E47" s="81">
        <f>Source!I148</f>
        <v>1.04</v>
      </c>
      <c r="F47" s="78">
        <f>Source!U138</f>
      </c>
      <c r="G47" s="78">
        <f>Source!I148</f>
        <v>1.04</v>
      </c>
      <c r="H47" s="80"/>
    </row>
    <row r="50" spans="2:5" ht="15">
      <c r="B50" s="84" t="s">
        <v>484</v>
      </c>
      <c r="C50" s="14"/>
      <c r="D50" s="85" t="s">
        <v>485</v>
      </c>
      <c r="E50" s="86"/>
    </row>
  </sheetData>
  <sheetProtection/>
  <mergeCells count="8">
    <mergeCell ref="A39:H39"/>
    <mergeCell ref="A43:H43"/>
    <mergeCell ref="D5:E5"/>
    <mergeCell ref="D7:E7"/>
    <mergeCell ref="B12:E12"/>
    <mergeCell ref="B13:E13"/>
    <mergeCell ref="A18:H18"/>
    <mergeCell ref="A19:H19"/>
  </mergeCells>
  <printOptions/>
  <pageMargins left="0.4" right="0.2" top="0.2" bottom="0.4" header="0.2" footer="0.2"/>
  <pageSetup fitToHeight="0" fitToWidth="1" horizontalDpi="600" verticalDpi="600" orientation="portrait" paperSize="9" scale="59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6.7109375" style="0" customWidth="1"/>
    <col min="2" max="2" width="75.7109375" style="0" customWidth="1"/>
    <col min="3" max="5" width="15.7109375" style="0" customWidth="1"/>
    <col min="30" max="32" width="0" style="0" hidden="1" customWidth="1"/>
  </cols>
  <sheetData>
    <row r="1" ht="12.75">
      <c r="A1" s="12" t="str">
        <f>Source!B1</f>
        <v>Smeta.RU  (495) 974-1589</v>
      </c>
    </row>
    <row r="2" spans="3:4" ht="14.25">
      <c r="C2" s="14"/>
      <c r="D2" s="14"/>
    </row>
    <row r="3" spans="3:4" ht="15">
      <c r="C3" s="14"/>
      <c r="D3" s="62" t="s">
        <v>367</v>
      </c>
    </row>
    <row r="4" spans="3:4" ht="15">
      <c r="C4" s="62"/>
      <c r="D4" s="62"/>
    </row>
    <row r="5" spans="3:4" ht="15">
      <c r="C5" s="135" t="s">
        <v>478</v>
      </c>
      <c r="D5" s="135"/>
    </row>
    <row r="6" spans="3:4" ht="15">
      <c r="C6" s="77"/>
      <c r="D6" s="77"/>
    </row>
    <row r="7" spans="3:4" ht="15">
      <c r="C7" s="135" t="s">
        <v>478</v>
      </c>
      <c r="D7" s="135"/>
    </row>
    <row r="8" spans="3:4" ht="15">
      <c r="C8" s="77"/>
      <c r="D8" s="77"/>
    </row>
    <row r="9" spans="3:4" ht="15">
      <c r="C9" s="62" t="s">
        <v>479</v>
      </c>
      <c r="D9" s="14"/>
    </row>
    <row r="10" spans="1:5" ht="14.25">
      <c r="A10" s="14"/>
      <c r="B10" s="14"/>
      <c r="C10" s="14"/>
      <c r="D10" s="14"/>
      <c r="E10" s="14"/>
    </row>
    <row r="11" spans="1:5" ht="15.75">
      <c r="A11" s="138" t="str">
        <f>CONCATENATE("Дефектный акт ",IF(Source!AN15&lt;&gt;"",Source!AN15," "))</f>
        <v>Дефектный акт  </v>
      </c>
      <c r="B11" s="138"/>
      <c r="C11" s="138"/>
      <c r="D11" s="138"/>
      <c r="E11" s="14"/>
    </row>
    <row r="12" spans="1:5" ht="15">
      <c r="A12" s="139" t="str">
        <f>CONCATENATE("На капитальный ремонт ",Source!F12," ",Source!G12)</f>
        <v>На капитальный ремонт  Ремонт коридора 6 эт. строения 1 (ЛПК)</v>
      </c>
      <c r="B12" s="139"/>
      <c r="C12" s="139"/>
      <c r="D12" s="139"/>
      <c r="E12" s="14"/>
    </row>
    <row r="13" spans="1:5" ht="14.25">
      <c r="A13" s="14"/>
      <c r="B13" s="14"/>
      <c r="C13" s="14"/>
      <c r="D13" s="14"/>
      <c r="E13" s="14"/>
    </row>
    <row r="14" spans="1:5" ht="15">
      <c r="A14" s="14"/>
      <c r="B14" s="87" t="s">
        <v>486</v>
      </c>
      <c r="C14" s="14"/>
      <c r="D14" s="14"/>
      <c r="E14" s="14"/>
    </row>
    <row r="15" spans="1:5" ht="15">
      <c r="A15" s="14"/>
      <c r="B15" s="87" t="s">
        <v>487</v>
      </c>
      <c r="C15" s="14"/>
      <c r="D15" s="14"/>
      <c r="E15" s="14"/>
    </row>
    <row r="16" spans="1:5" ht="15">
      <c r="A16" s="14"/>
      <c r="B16" s="87" t="s">
        <v>488</v>
      </c>
      <c r="C16" s="14"/>
      <c r="D16" s="14"/>
      <c r="E16" s="14"/>
    </row>
    <row r="17" spans="1:5" ht="28.5">
      <c r="A17" s="78" t="s">
        <v>391</v>
      </c>
      <c r="B17" s="78" t="s">
        <v>393</v>
      </c>
      <c r="C17" s="78" t="s">
        <v>394</v>
      </c>
      <c r="D17" s="78" t="s">
        <v>395</v>
      </c>
      <c r="E17" s="79" t="s">
        <v>483</v>
      </c>
    </row>
    <row r="18" spans="1:5" ht="14.25">
      <c r="A18" s="88">
        <v>1</v>
      </c>
      <c r="B18" s="88">
        <v>2</v>
      </c>
      <c r="C18" s="88">
        <v>3</v>
      </c>
      <c r="D18" s="88">
        <v>4</v>
      </c>
      <c r="E18" s="89">
        <v>5</v>
      </c>
    </row>
    <row r="19" spans="1:5" ht="16.5">
      <c r="A19" s="134" t="str">
        <f>CONCATENATE("Локальная смета: ",Source!G20)</f>
        <v>Локальная смета: </v>
      </c>
      <c r="B19" s="134"/>
      <c r="C19" s="134"/>
      <c r="D19" s="134"/>
      <c r="E19" s="134"/>
    </row>
    <row r="20" spans="1:5" ht="16.5">
      <c r="A20" s="134" t="str">
        <f>CONCATENATE("Раздел: ",Source!G24)</f>
        <v>Раздел: Ремонтные работы</v>
      </c>
      <c r="B20" s="134"/>
      <c r="C20" s="134"/>
      <c r="D20" s="134"/>
      <c r="E20" s="134"/>
    </row>
    <row r="21" spans="1:5" ht="28.5">
      <c r="A21" s="94">
        <v>1</v>
      </c>
      <c r="B21" s="95" t="str">
        <f>Source!G28</f>
        <v>Разборка элементов облицовки потолков с разборкой каркаса (Применительно)</v>
      </c>
      <c r="C21" s="96" t="str">
        <f>Source!H28</f>
        <v>100 м2</v>
      </c>
      <c r="D21" s="97">
        <f>Source!I28</f>
        <v>0.11</v>
      </c>
      <c r="E21" s="95"/>
    </row>
    <row r="22" spans="1:5" ht="14.25">
      <c r="A22" s="94">
        <v>1.1</v>
      </c>
      <c r="B22" s="95" t="str">
        <f>Source!G30</f>
        <v>Строительный мусор и масса возвратных материалов</v>
      </c>
      <c r="C22" s="96" t="str">
        <f>Source!H30</f>
        <v>т</v>
      </c>
      <c r="D22" s="97">
        <f>Source!I30</f>
        <v>0.03916</v>
      </c>
      <c r="E22" s="95"/>
    </row>
    <row r="23" spans="1:5" ht="28.5">
      <c r="A23" s="94">
        <v>2</v>
      </c>
      <c r="B23" s="95" t="str">
        <f>Source!G32</f>
        <v>Устройство потолков: плитно-ячеистых по каркасу из оцинкованного профиля</v>
      </c>
      <c r="C23" s="96" t="str">
        <f>Source!H32</f>
        <v>100 м2</v>
      </c>
      <c r="D23" s="97">
        <f>Source!I32</f>
        <v>2.36</v>
      </c>
      <c r="E23" s="95"/>
    </row>
    <row r="24" spans="1:5" ht="14.25">
      <c r="A24" s="94">
        <v>2.1</v>
      </c>
      <c r="B24" s="95" t="str">
        <f>Source!G34</f>
        <v>Основная направляющая, 24х35х3700 мм., цвет белый</v>
      </c>
      <c r="C24" s="96" t="str">
        <f>Source!H34</f>
        <v>ШТ</v>
      </c>
      <c r="D24" s="97">
        <f>Source!I34</f>
        <v>32</v>
      </c>
      <c r="E24" s="95"/>
    </row>
    <row r="25" spans="1:5" ht="14.25">
      <c r="A25" s="94">
        <v>2.2</v>
      </c>
      <c r="B25" s="95" t="str">
        <f>Source!G36</f>
        <v>Дюбель-гвоздь тип 2</v>
      </c>
      <c r="C25" s="96" t="str">
        <f>Source!H36</f>
        <v>ШТ</v>
      </c>
      <c r="D25" s="97">
        <f>Source!I36</f>
        <v>800</v>
      </c>
      <c r="E25" s="95"/>
    </row>
    <row r="26" spans="1:5" ht="28.5">
      <c r="A26" s="94">
        <v>2.3</v>
      </c>
      <c r="B26" s="95" t="str">
        <f>Source!G38</f>
        <v>Основная направляющая (профиль главный) "Асбес", цвет белый, 3700х29х24мм.</v>
      </c>
      <c r="C26" s="96" t="str">
        <f>Source!H38</f>
        <v>ШТ</v>
      </c>
      <c r="D26" s="97">
        <f>Source!I38</f>
        <v>2</v>
      </c>
      <c r="E26" s="95"/>
    </row>
    <row r="27" spans="1:5" ht="14.25">
      <c r="A27" s="94">
        <v>2.4</v>
      </c>
      <c r="B27" s="95" t="str">
        <f>Source!G40</f>
        <v>Поперечная планка, 24х28х1200 мм., цвет белый</v>
      </c>
      <c r="C27" s="96" t="str">
        <f>Source!H40</f>
        <v>ШТ</v>
      </c>
      <c r="D27" s="97">
        <f>Source!I40</f>
        <v>190.00000000000003</v>
      </c>
      <c r="E27" s="95"/>
    </row>
    <row r="28" spans="1:5" ht="14.25">
      <c r="A28" s="94">
        <v>2.5</v>
      </c>
      <c r="B28" s="95" t="str">
        <f>Source!G42</f>
        <v>Поперечный профиль "Асбес", цвет белый, длина 1200мм.</v>
      </c>
      <c r="C28" s="96" t="str">
        <f>Source!H42</f>
        <v>ШТ</v>
      </c>
      <c r="D28" s="97">
        <f>Source!I42</f>
        <v>20</v>
      </c>
      <c r="E28" s="95"/>
    </row>
    <row r="29" spans="1:5" ht="14.25">
      <c r="A29" s="94">
        <v>2.6</v>
      </c>
      <c r="B29" s="95" t="str">
        <f>Source!G44</f>
        <v>Поперечная планка, 24х28х600 мм., цвет белый</v>
      </c>
      <c r="C29" s="96" t="str">
        <f>Source!H44</f>
        <v>ШТ</v>
      </c>
      <c r="D29" s="97">
        <f>Source!I44</f>
        <v>190.00000000000003</v>
      </c>
      <c r="E29" s="95"/>
    </row>
    <row r="30" spans="1:5" ht="14.25">
      <c r="A30" s="94">
        <v>2.7</v>
      </c>
      <c r="B30" s="95" t="str">
        <f>Source!G46</f>
        <v>Поперечный профиль тип "Асбес", цвет белый, длина 600мм.</v>
      </c>
      <c r="C30" s="96" t="str">
        <f>Source!H46</f>
        <v>ШТ</v>
      </c>
      <c r="D30" s="97">
        <f>Source!I46</f>
        <v>28</v>
      </c>
      <c r="E30" s="95"/>
    </row>
    <row r="31" spans="1:5" ht="14.25">
      <c r="A31" s="94">
        <v>2.8</v>
      </c>
      <c r="B31" s="95" t="str">
        <f>Source!G48</f>
        <v>Угол периметральный (пристенный) 19х3000 мм., цвет белый</v>
      </c>
      <c r="C31" s="96" t="str">
        <f>Source!H48</f>
        <v>ШТ</v>
      </c>
      <c r="D31" s="97">
        <f>Source!I48</f>
        <v>25</v>
      </c>
      <c r="E31" s="95"/>
    </row>
    <row r="32" spans="1:5" ht="14.25">
      <c r="A32" s="94">
        <v>2.9</v>
      </c>
      <c r="B32" s="95" t="str">
        <f>Source!G50</f>
        <v>Плита потолочная, 595х595х10 мм., цвет белый</v>
      </c>
      <c r="C32" s="96" t="str">
        <f>Source!H50</f>
        <v>м2</v>
      </c>
      <c r="D32" s="97">
        <f>Source!I50</f>
        <v>136.8</v>
      </c>
      <c r="E32" s="95"/>
    </row>
    <row r="33" spans="1:5" ht="14.25">
      <c r="A33" s="94">
        <v>2.1</v>
      </c>
      <c r="B33" s="95" t="str">
        <f>Source!G52</f>
        <v>Плита потолочная "Байкал", белая 600х600 мм.</v>
      </c>
      <c r="C33" s="96" t="str">
        <f>Source!H52</f>
        <v>м2</v>
      </c>
      <c r="D33" s="97">
        <f>Source!I52</f>
        <v>13.32</v>
      </c>
      <c r="E33" s="95"/>
    </row>
    <row r="34" spans="1:5" ht="14.25">
      <c r="A34" s="94">
        <v>2.11</v>
      </c>
      <c r="B34" s="95" t="str">
        <f>Source!G54</f>
        <v>Панели потолочные с комплектующими</v>
      </c>
      <c r="C34" s="96" t="str">
        <f>Source!H54</f>
        <v>м2</v>
      </c>
      <c r="D34" s="97">
        <f>Source!I54</f>
        <v>93.08</v>
      </c>
      <c r="E34" s="95"/>
    </row>
    <row r="35" spans="1:5" ht="14.25">
      <c r="A35" s="94">
        <v>2.12</v>
      </c>
      <c r="B35" s="95" t="str">
        <f>Source!G56</f>
        <v>Панели потолочные с комплектующими</v>
      </c>
      <c r="C35" s="96" t="str">
        <f>Source!H56</f>
        <v>м2</v>
      </c>
      <c r="D35" s="97">
        <f>Source!I56</f>
        <v>-243.07999999999998</v>
      </c>
      <c r="E35" s="95"/>
    </row>
    <row r="36" spans="1:5" ht="28.5">
      <c r="A36" s="94">
        <v>3</v>
      </c>
      <c r="B36" s="95" t="str">
        <f>Source!G58</f>
        <v>Ремонт штукатурки внутренних стен по камню известковым раствором площадью отдельных мест до 1 м2 толщиной слоя до 20 мм</v>
      </c>
      <c r="C36" s="96" t="str">
        <f>Source!H58</f>
        <v>100 м2</v>
      </c>
      <c r="D36" s="97">
        <f>Source!I58</f>
        <v>0.2966</v>
      </c>
      <c r="E36" s="95"/>
    </row>
    <row r="37" spans="1:5" ht="14.25">
      <c r="A37" s="94">
        <v>3.1</v>
      </c>
      <c r="B37" s="95" t="str">
        <f>Source!G60</f>
        <v>Строительный мусор</v>
      </c>
      <c r="C37" s="96" t="str">
        <f>Source!H60</f>
        <v>т</v>
      </c>
      <c r="D37" s="97">
        <f>Source!I60</f>
        <v>1.002508</v>
      </c>
      <c r="E37" s="95"/>
    </row>
    <row r="38" spans="1:5" ht="28.5">
      <c r="A38" s="94">
        <v>4</v>
      </c>
      <c r="B38" s="95" t="str">
        <f>Source!G62</f>
        <v>Окраска поливинилацетатными водоэмульсионными составами улучшенная: по штукатурке стен</v>
      </c>
      <c r="C38" s="96" t="str">
        <f>Source!H62</f>
        <v>100 м2</v>
      </c>
      <c r="D38" s="97">
        <f>Source!I62</f>
        <v>6.5</v>
      </c>
      <c r="E38" s="95"/>
    </row>
    <row r="39" spans="1:5" ht="14.25">
      <c r="A39" s="94">
        <v>4.1</v>
      </c>
      <c r="B39" s="95" t="str">
        <f>Source!G64</f>
        <v>Краска акриловая: Alpina ULTRAWEISS, CAPAROL водно-дисперсионная</v>
      </c>
      <c r="C39" s="96" t="str">
        <f>Source!H64</f>
        <v>т</v>
      </c>
      <c r="D39" s="97">
        <f>Source!I64</f>
        <v>0.4095</v>
      </c>
      <c r="E39" s="95"/>
    </row>
    <row r="40" spans="1:5" ht="16.5">
      <c r="A40" s="134" t="str">
        <f>CONCATENATE("Раздел: ",Source!G97)</f>
        <v>Раздел: Пожарные шкафы</v>
      </c>
      <c r="B40" s="134"/>
      <c r="C40" s="134"/>
      <c r="D40" s="134"/>
      <c r="E40" s="134"/>
    </row>
    <row r="41" spans="1:5" ht="14.25">
      <c r="A41" s="94">
        <v>5</v>
      </c>
      <c r="B41" s="95" t="str">
        <f>Source!G101</f>
        <v>Демонтаж встроенных пожарных шкафов (Применительно)</v>
      </c>
      <c r="C41" s="96" t="str">
        <f>Source!H101</f>
        <v>100 ШТ</v>
      </c>
      <c r="D41" s="97">
        <f>Source!I101</f>
        <v>0.07</v>
      </c>
      <c r="E41" s="95"/>
    </row>
    <row r="42" spans="1:5" ht="28.5">
      <c r="A42" s="94">
        <v>6</v>
      </c>
      <c r="B42" s="95" t="str">
        <f>Source!G103</f>
        <v>Установка шкафов металлических для санитарно-технических систем: на стене или в нише массой до 10 кг</v>
      </c>
      <c r="C42" s="96" t="str">
        <f>Source!H103</f>
        <v>100 ШТ</v>
      </c>
      <c r="D42" s="97">
        <f>Source!I103</f>
        <v>0.07</v>
      </c>
      <c r="E42" s="95"/>
    </row>
    <row r="43" spans="1:5" ht="14.25">
      <c r="A43" s="94">
        <v>6.1</v>
      </c>
      <c r="B43" s="95" t="str">
        <f>Source!G105</f>
        <v>Шкаф пожарный ШП-К-310ВЗБ, 00-000000000015053</v>
      </c>
      <c r="C43" s="96" t="str">
        <f>Source!H105</f>
        <v>ШТ</v>
      </c>
      <c r="D43" s="97">
        <f>Source!I105</f>
        <v>7</v>
      </c>
      <c r="E43" s="95"/>
    </row>
    <row r="44" spans="1:5" ht="16.5">
      <c r="A44" s="134" t="str">
        <f>CONCATENATE("Раздел: ",Source!G138)</f>
        <v>Раздел: Разные работы</v>
      </c>
      <c r="B44" s="134"/>
      <c r="C44" s="134"/>
      <c r="D44" s="134"/>
      <c r="E44" s="134"/>
    </row>
    <row r="45" spans="1:5" ht="14.25">
      <c r="A45" s="94">
        <v>7</v>
      </c>
      <c r="B45" s="95" t="str">
        <f>Source!G142</f>
        <v>Очистка помещений от строительного мусора</v>
      </c>
      <c r="C45" s="96" t="str">
        <f>Source!H142</f>
        <v>100 т</v>
      </c>
      <c r="D45" s="97">
        <f>Source!I142</f>
        <v>0.0104</v>
      </c>
      <c r="E45" s="95"/>
    </row>
    <row r="46" spans="1:5" ht="14.25">
      <c r="A46" s="94">
        <v>7.1</v>
      </c>
      <c r="B46" s="95" t="str">
        <f>Source!G144</f>
        <v>Строительный мусор</v>
      </c>
      <c r="C46" s="96" t="str">
        <f>Source!H144</f>
        <v>т</v>
      </c>
      <c r="D46" s="97">
        <f>Source!I144</f>
        <v>1.04</v>
      </c>
      <c r="E46" s="95"/>
    </row>
    <row r="47" spans="1:5" ht="14.25">
      <c r="A47" s="94">
        <v>8</v>
      </c>
      <c r="B47" s="95" t="str">
        <f>Source!G146</f>
        <v>Затаривание строительного мусора в мешки</v>
      </c>
      <c r="C47" s="96" t="str">
        <f>Source!H146</f>
        <v>т</v>
      </c>
      <c r="D47" s="97">
        <f>Source!I146</f>
        <v>1.04</v>
      </c>
      <c r="E47" s="95"/>
    </row>
    <row r="48" spans="1:5" ht="28.5">
      <c r="A48" s="90">
        <v>9</v>
      </c>
      <c r="B48" s="91" t="str">
        <f>Source!G148</f>
        <v>Перевозка грузов I класса автомобилями бортовыми грузоподъемностью до 5 т на расстояние: до 50 км</v>
      </c>
      <c r="C48" s="92" t="str">
        <f>Source!H148</f>
        <v>1 Т ГРУЗА</v>
      </c>
      <c r="D48" s="93">
        <f>Source!I148</f>
        <v>1.04</v>
      </c>
      <c r="E48" s="91"/>
    </row>
    <row r="51" spans="1:5" ht="15">
      <c r="A51" s="52" t="s">
        <v>489</v>
      </c>
      <c r="B51" s="52"/>
      <c r="C51" s="52" t="s">
        <v>490</v>
      </c>
      <c r="D51" s="52"/>
      <c r="E51" s="52"/>
    </row>
  </sheetData>
  <sheetProtection/>
  <mergeCells count="8">
    <mergeCell ref="A40:E40"/>
    <mergeCell ref="A44:E44"/>
    <mergeCell ref="C5:D5"/>
    <mergeCell ref="C7:D7"/>
    <mergeCell ref="A11:D11"/>
    <mergeCell ref="A12:D12"/>
    <mergeCell ref="A19:E19"/>
    <mergeCell ref="A20:E20"/>
  </mergeCells>
  <printOptions/>
  <pageMargins left="0.4" right="0.2" top="0.2" bottom="0.4" header="0.2" footer="0.2"/>
  <pageSetup fitToHeight="0" fitToWidth="1" horizontalDpi="600" verticalDpi="600" orientation="portrait" paperSize="9" scale="76" r:id="rId1"/>
  <headerFooter>
    <oddHeader>&amp;L&amp;8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U285"/>
  <sheetViews>
    <sheetView zoomScalePageLayoutView="0" workbookViewId="0" topLeftCell="A1">
      <selection activeCell="A281" sqref="A281:AN281"/>
    </sheetView>
  </sheetViews>
  <sheetFormatPr defaultColWidth="9.140625" defaultRowHeight="12.75"/>
  <sheetData>
    <row r="1" spans="1:17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58091</v>
      </c>
      <c r="M1">
        <v>10</v>
      </c>
      <c r="N1">
        <v>11</v>
      </c>
      <c r="O1">
        <v>5</v>
      </c>
      <c r="P1">
        <v>3</v>
      </c>
      <c r="Q1">
        <v>2</v>
      </c>
    </row>
    <row r="12" spans="1:133" ht="12.75">
      <c r="A12" s="1">
        <v>1</v>
      </c>
      <c r="B12" s="1">
        <v>279</v>
      </c>
      <c r="C12" s="1">
        <v>0</v>
      </c>
      <c r="D12" s="1">
        <f>ROW(A215)</f>
        <v>215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131083</v>
      </c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4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3</v>
      </c>
      <c r="AG12" s="1" t="s">
        <v>3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>
        <v>2</v>
      </c>
      <c r="BC12" s="1"/>
      <c r="BD12" s="1"/>
      <c r="BE12" s="1"/>
      <c r="BF12" s="1"/>
      <c r="BG12" s="1"/>
      <c r="BH12" s="1" t="s">
        <v>12</v>
      </c>
      <c r="BI12" s="1" t="s">
        <v>13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14</v>
      </c>
      <c r="BZ12" s="1" t="s">
        <v>15</v>
      </c>
      <c r="CA12" s="1" t="s">
        <v>16</v>
      </c>
      <c r="CB12" s="1" t="s">
        <v>16</v>
      </c>
      <c r="CC12" s="1" t="s">
        <v>16</v>
      </c>
      <c r="CD12" s="1" t="s">
        <v>16</v>
      </c>
      <c r="CE12" s="1" t="s">
        <v>17</v>
      </c>
      <c r="CF12" s="1">
        <v>0</v>
      </c>
      <c r="CG12" s="1">
        <v>0</v>
      </c>
      <c r="CH12" s="1">
        <v>403185672</v>
      </c>
      <c r="CI12" s="1" t="s">
        <v>3</v>
      </c>
      <c r="CJ12" s="1" t="s">
        <v>3</v>
      </c>
      <c r="CK12" s="1">
        <v>9</v>
      </c>
      <c r="CL12" s="1"/>
      <c r="CM12" s="1"/>
      <c r="CN12" s="1"/>
      <c r="CO12" s="1"/>
      <c r="CP12" s="1"/>
      <c r="CQ12" s="1" t="s">
        <v>363</v>
      </c>
      <c r="CR12" s="1" t="s">
        <v>18</v>
      </c>
      <c r="CS12" s="1">
        <v>44551</v>
      </c>
      <c r="CT12" s="1">
        <v>395</v>
      </c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06" ht="12.75">
      <c r="A18" s="3">
        <v>52</v>
      </c>
      <c r="B18" s="3">
        <f aca="true" t="shared" si="0" ref="B18:G18">B215</f>
        <v>279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>
        <f t="shared" si="0"/>
      </c>
      <c r="G18" s="3" t="str">
        <f t="shared" si="0"/>
        <v>Ремонт коридора 6 эт. строения 1 (ЛПК)</v>
      </c>
      <c r="H18" s="3"/>
      <c r="I18" s="3"/>
      <c r="J18" s="3"/>
      <c r="K18" s="3"/>
      <c r="L18" s="3"/>
      <c r="M18" s="3"/>
      <c r="N18" s="3"/>
      <c r="O18" s="3">
        <f aca="true" t="shared" si="1" ref="O18:AT18">O215</f>
        <v>19699.34</v>
      </c>
      <c r="P18" s="3">
        <f t="shared" si="1"/>
        <v>12444.37</v>
      </c>
      <c r="Q18" s="3">
        <f t="shared" si="1"/>
        <v>1063.73</v>
      </c>
      <c r="R18" s="3">
        <f t="shared" si="1"/>
        <v>209.09</v>
      </c>
      <c r="S18" s="3">
        <f t="shared" si="1"/>
        <v>6191.24</v>
      </c>
      <c r="T18" s="3">
        <f t="shared" si="1"/>
        <v>0</v>
      </c>
      <c r="U18" s="3">
        <f t="shared" si="1"/>
        <v>678.594446</v>
      </c>
      <c r="V18" s="3">
        <f t="shared" si="1"/>
        <v>17.580772</v>
      </c>
      <c r="W18" s="3">
        <f t="shared" si="1"/>
        <v>0</v>
      </c>
      <c r="X18" s="3">
        <f t="shared" si="1"/>
        <v>5787.67</v>
      </c>
      <c r="Y18" s="3">
        <f t="shared" si="1"/>
        <v>2710.3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28245.53</v>
      </c>
      <c r="AS18" s="3">
        <f t="shared" si="1"/>
        <v>28245.53</v>
      </c>
      <c r="AT18" s="3">
        <f t="shared" si="1"/>
        <v>0</v>
      </c>
      <c r="AU18" s="3">
        <f aca="true" t="shared" si="2" ref="AU18:BZ18">AU215</f>
        <v>0</v>
      </c>
      <c r="AV18" s="3">
        <f t="shared" si="2"/>
        <v>12444.37</v>
      </c>
      <c r="AW18" s="3">
        <f t="shared" si="2"/>
        <v>12444.37</v>
      </c>
      <c r="AX18" s="3">
        <f t="shared" si="2"/>
        <v>0</v>
      </c>
      <c r="AY18" s="3">
        <f t="shared" si="2"/>
        <v>12444.37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48.22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aca="true" t="shared" si="3" ref="CA18:DF18">CA215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aca="true" t="shared" si="4" ref="DG18:EL18">DG215</f>
        <v>338076.06</v>
      </c>
      <c r="DH18" s="4">
        <f t="shared" si="4"/>
        <v>84870.6</v>
      </c>
      <c r="DI18" s="4">
        <f t="shared" si="4"/>
        <v>14285.67</v>
      </c>
      <c r="DJ18" s="4">
        <f t="shared" si="4"/>
        <v>8068.45</v>
      </c>
      <c r="DK18" s="4">
        <f t="shared" si="4"/>
        <v>238919.79</v>
      </c>
      <c r="DL18" s="4">
        <f t="shared" si="4"/>
        <v>0</v>
      </c>
      <c r="DM18" s="4">
        <f t="shared" si="4"/>
        <v>678.594446</v>
      </c>
      <c r="DN18" s="4">
        <f t="shared" si="4"/>
        <v>17.580772</v>
      </c>
      <c r="DO18" s="4">
        <f t="shared" si="4"/>
        <v>0</v>
      </c>
      <c r="DP18" s="4">
        <f t="shared" si="4"/>
        <v>223345.77</v>
      </c>
      <c r="DQ18" s="4">
        <f t="shared" si="4"/>
        <v>104590.57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666660.06</v>
      </c>
      <c r="EK18" s="4">
        <f t="shared" si="4"/>
        <v>666660.06</v>
      </c>
      <c r="EL18" s="4">
        <f t="shared" si="4"/>
        <v>0</v>
      </c>
      <c r="EM18" s="4">
        <f aca="true" t="shared" si="5" ref="EM18:FR18">EM215</f>
        <v>0</v>
      </c>
      <c r="EN18" s="4">
        <f t="shared" si="5"/>
        <v>84870.6</v>
      </c>
      <c r="EO18" s="4">
        <f t="shared" si="5"/>
        <v>84870.6</v>
      </c>
      <c r="EP18" s="4">
        <f t="shared" si="5"/>
        <v>0</v>
      </c>
      <c r="EQ18" s="4">
        <f t="shared" si="5"/>
        <v>84870.6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647.66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aca="true" t="shared" si="6" ref="FS18:GX18">FS215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95" ht="12.75">
      <c r="A20" s="1">
        <v>3</v>
      </c>
      <c r="B20" s="1">
        <v>1</v>
      </c>
      <c r="C20" s="1"/>
      <c r="D20" s="1">
        <f>ROW(A181)</f>
        <v>181</v>
      </c>
      <c r="E20" s="1"/>
      <c r="F20" s="1" t="s">
        <v>3</v>
      </c>
      <c r="G20" s="1" t="s">
        <v>3</v>
      </c>
      <c r="H20" s="1" t="s">
        <v>3</v>
      </c>
      <c r="I20" s="1">
        <v>0</v>
      </c>
      <c r="J20" s="1" t="s">
        <v>3</v>
      </c>
      <c r="K20" s="1">
        <v>-1</v>
      </c>
      <c r="L20" s="1" t="s">
        <v>3</v>
      </c>
      <c r="M20" s="1" t="s">
        <v>3</v>
      </c>
      <c r="N20" s="1"/>
      <c r="O20" s="1"/>
      <c r="P20" s="1"/>
      <c r="Q20" s="1"/>
      <c r="R20" s="1"/>
      <c r="S20" s="1">
        <v>0</v>
      </c>
      <c r="T20" s="1">
        <v>0</v>
      </c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06" ht="12.75">
      <c r="A22" s="3">
        <v>52</v>
      </c>
      <c r="B22" s="3">
        <f aca="true" t="shared" si="7" ref="B22:G22">B181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>
        <f t="shared" si="7"/>
      </c>
      <c r="G22" s="3">
        <f t="shared" si="7"/>
      </c>
      <c r="H22" s="3"/>
      <c r="I22" s="3"/>
      <c r="J22" s="3"/>
      <c r="K22" s="3"/>
      <c r="L22" s="3"/>
      <c r="M22" s="3"/>
      <c r="N22" s="3"/>
      <c r="O22" s="3">
        <f aca="true" t="shared" si="8" ref="O22:AT22">O181</f>
        <v>19699.34</v>
      </c>
      <c r="P22" s="3">
        <f t="shared" si="8"/>
        <v>12444.37</v>
      </c>
      <c r="Q22" s="3">
        <f t="shared" si="8"/>
        <v>1063.73</v>
      </c>
      <c r="R22" s="3">
        <f t="shared" si="8"/>
        <v>209.09</v>
      </c>
      <c r="S22" s="3">
        <f t="shared" si="8"/>
        <v>6191.24</v>
      </c>
      <c r="T22" s="3">
        <f t="shared" si="8"/>
        <v>0</v>
      </c>
      <c r="U22" s="3">
        <f t="shared" si="8"/>
        <v>678.594446</v>
      </c>
      <c r="V22" s="3">
        <f t="shared" si="8"/>
        <v>17.580772</v>
      </c>
      <c r="W22" s="3">
        <f t="shared" si="8"/>
        <v>0</v>
      </c>
      <c r="X22" s="3">
        <f t="shared" si="8"/>
        <v>5787.67</v>
      </c>
      <c r="Y22" s="3">
        <f t="shared" si="8"/>
        <v>2710.3</v>
      </c>
      <c r="Z22" s="3">
        <f t="shared" si="8"/>
        <v>0</v>
      </c>
      <c r="AA22" s="3">
        <f t="shared" si="8"/>
        <v>0</v>
      </c>
      <c r="AB22" s="3">
        <f t="shared" si="8"/>
        <v>0</v>
      </c>
      <c r="AC22" s="3">
        <f t="shared" si="8"/>
        <v>0</v>
      </c>
      <c r="AD22" s="3">
        <f t="shared" si="8"/>
        <v>0</v>
      </c>
      <c r="AE22" s="3">
        <f t="shared" si="8"/>
        <v>0</v>
      </c>
      <c r="AF22" s="3">
        <f t="shared" si="8"/>
        <v>0</v>
      </c>
      <c r="AG22" s="3">
        <f t="shared" si="8"/>
        <v>0</v>
      </c>
      <c r="AH22" s="3">
        <f t="shared" si="8"/>
        <v>0</v>
      </c>
      <c r="AI22" s="3">
        <f t="shared" si="8"/>
        <v>0</v>
      </c>
      <c r="AJ22" s="3">
        <f t="shared" si="8"/>
        <v>0</v>
      </c>
      <c r="AK22" s="3">
        <f t="shared" si="8"/>
        <v>0</v>
      </c>
      <c r="AL22" s="3">
        <f t="shared" si="8"/>
        <v>0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28245.53</v>
      </c>
      <c r="AS22" s="3">
        <f t="shared" si="8"/>
        <v>28245.53</v>
      </c>
      <c r="AT22" s="3">
        <f t="shared" si="8"/>
        <v>0</v>
      </c>
      <c r="AU22" s="3">
        <f aca="true" t="shared" si="9" ref="AU22:BZ22">AU181</f>
        <v>0</v>
      </c>
      <c r="AV22" s="3">
        <f t="shared" si="9"/>
        <v>12444.37</v>
      </c>
      <c r="AW22" s="3">
        <f t="shared" si="9"/>
        <v>12444.37</v>
      </c>
      <c r="AX22" s="3">
        <f t="shared" si="9"/>
        <v>0</v>
      </c>
      <c r="AY22" s="3">
        <f t="shared" si="9"/>
        <v>12444.37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48.22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aca="true" t="shared" si="10" ref="CA22:DF22">CA181</f>
        <v>0</v>
      </c>
      <c r="CB22" s="3">
        <f t="shared" si="10"/>
        <v>0</v>
      </c>
      <c r="CC22" s="3">
        <f t="shared" si="10"/>
        <v>0</v>
      </c>
      <c r="CD22" s="3">
        <f t="shared" si="10"/>
        <v>0</v>
      </c>
      <c r="CE22" s="3">
        <f t="shared" si="10"/>
        <v>0</v>
      </c>
      <c r="CF22" s="3">
        <f t="shared" si="10"/>
        <v>0</v>
      </c>
      <c r="CG22" s="3">
        <f t="shared" si="10"/>
        <v>0</v>
      </c>
      <c r="CH22" s="3">
        <f t="shared" si="10"/>
        <v>0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aca="true" t="shared" si="11" ref="DG22:EL22">DG181</f>
        <v>338076.06</v>
      </c>
      <c r="DH22" s="4">
        <f t="shared" si="11"/>
        <v>84870.6</v>
      </c>
      <c r="DI22" s="4">
        <f t="shared" si="11"/>
        <v>14285.67</v>
      </c>
      <c r="DJ22" s="4">
        <f t="shared" si="11"/>
        <v>8068.45</v>
      </c>
      <c r="DK22" s="4">
        <f t="shared" si="11"/>
        <v>238919.79</v>
      </c>
      <c r="DL22" s="4">
        <f t="shared" si="11"/>
        <v>0</v>
      </c>
      <c r="DM22" s="4">
        <f t="shared" si="11"/>
        <v>678.594446</v>
      </c>
      <c r="DN22" s="4">
        <f t="shared" si="11"/>
        <v>17.580772</v>
      </c>
      <c r="DO22" s="4">
        <f t="shared" si="11"/>
        <v>0</v>
      </c>
      <c r="DP22" s="4">
        <f t="shared" si="11"/>
        <v>223345.77</v>
      </c>
      <c r="DQ22" s="4">
        <f t="shared" si="11"/>
        <v>104590.57</v>
      </c>
      <c r="DR22" s="4">
        <f t="shared" si="11"/>
        <v>0</v>
      </c>
      <c r="DS22" s="4">
        <f t="shared" si="11"/>
        <v>0</v>
      </c>
      <c r="DT22" s="4">
        <f t="shared" si="11"/>
        <v>0</v>
      </c>
      <c r="DU22" s="4">
        <f t="shared" si="11"/>
        <v>0</v>
      </c>
      <c r="DV22" s="4">
        <f t="shared" si="11"/>
        <v>0</v>
      </c>
      <c r="DW22" s="4">
        <f t="shared" si="11"/>
        <v>0</v>
      </c>
      <c r="DX22" s="4">
        <f t="shared" si="11"/>
        <v>0</v>
      </c>
      <c r="DY22" s="4">
        <f t="shared" si="11"/>
        <v>0</v>
      </c>
      <c r="DZ22" s="4">
        <f t="shared" si="11"/>
        <v>0</v>
      </c>
      <c r="EA22" s="4">
        <f t="shared" si="11"/>
        <v>0</v>
      </c>
      <c r="EB22" s="4">
        <f t="shared" si="11"/>
        <v>0</v>
      </c>
      <c r="EC22" s="4">
        <f t="shared" si="11"/>
        <v>0</v>
      </c>
      <c r="ED22" s="4">
        <f t="shared" si="11"/>
        <v>0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666660.06</v>
      </c>
      <c r="EK22" s="4">
        <f t="shared" si="11"/>
        <v>666660.06</v>
      </c>
      <c r="EL22" s="4">
        <f t="shared" si="11"/>
        <v>0</v>
      </c>
      <c r="EM22" s="4">
        <f aca="true" t="shared" si="12" ref="EM22:FR22">EM181</f>
        <v>0</v>
      </c>
      <c r="EN22" s="4">
        <f t="shared" si="12"/>
        <v>84870.6</v>
      </c>
      <c r="EO22" s="4">
        <f t="shared" si="12"/>
        <v>84870.6</v>
      </c>
      <c r="EP22" s="4">
        <f t="shared" si="12"/>
        <v>0</v>
      </c>
      <c r="EQ22" s="4">
        <f t="shared" si="12"/>
        <v>84870.6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647.66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aca="true" t="shared" si="13" ref="FS22:GX22">FS181</f>
        <v>0</v>
      </c>
      <c r="FT22" s="4">
        <f t="shared" si="13"/>
        <v>0</v>
      </c>
      <c r="FU22" s="4">
        <f t="shared" si="13"/>
        <v>0</v>
      </c>
      <c r="FV22" s="4">
        <f t="shared" si="13"/>
        <v>0</v>
      </c>
      <c r="FW22" s="4">
        <f t="shared" si="13"/>
        <v>0</v>
      </c>
      <c r="FX22" s="4">
        <f t="shared" si="13"/>
        <v>0</v>
      </c>
      <c r="FY22" s="4">
        <f t="shared" si="13"/>
        <v>0</v>
      </c>
      <c r="FZ22" s="4">
        <f t="shared" si="13"/>
        <v>0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88" ht="12.75">
      <c r="A24" s="1">
        <v>4</v>
      </c>
      <c r="B24" s="1">
        <v>1</v>
      </c>
      <c r="C24" s="1"/>
      <c r="D24" s="1">
        <f>ROW(A67)</f>
        <v>67</v>
      </c>
      <c r="E24" s="1"/>
      <c r="F24" s="1" t="s">
        <v>19</v>
      </c>
      <c r="G24" s="1" t="s">
        <v>20</v>
      </c>
      <c r="H24" s="1" t="s">
        <v>3</v>
      </c>
      <c r="I24" s="1">
        <v>0</v>
      </c>
      <c r="J24" s="1"/>
      <c r="K24" s="1">
        <v>0</v>
      </c>
      <c r="L24" s="1"/>
      <c r="M24" s="1" t="s">
        <v>3</v>
      </c>
      <c r="N24" s="1"/>
      <c r="O24" s="1"/>
      <c r="P24" s="1"/>
      <c r="Q24" s="1"/>
      <c r="R24" s="1"/>
      <c r="S24" s="1">
        <v>0</v>
      </c>
      <c r="T24" s="1">
        <v>0</v>
      </c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06" ht="12.75">
      <c r="A26" s="3">
        <v>52</v>
      </c>
      <c r="B26" s="3">
        <f aca="true" t="shared" si="14" ref="B26:G26">B67</f>
        <v>1</v>
      </c>
      <c r="C26" s="3">
        <f t="shared" si="14"/>
        <v>4</v>
      </c>
      <c r="D26" s="3">
        <f t="shared" si="14"/>
        <v>24</v>
      </c>
      <c r="E26" s="3">
        <f t="shared" si="14"/>
        <v>0</v>
      </c>
      <c r="F26" s="3" t="str">
        <f t="shared" si="14"/>
        <v>Новый раздел</v>
      </c>
      <c r="G26" s="3" t="str">
        <f t="shared" si="14"/>
        <v>Ремонтные работы</v>
      </c>
      <c r="H26" s="3"/>
      <c r="I26" s="3"/>
      <c r="J26" s="3"/>
      <c r="K26" s="3"/>
      <c r="L26" s="3"/>
      <c r="M26" s="3"/>
      <c r="N26" s="3"/>
      <c r="O26" s="3">
        <f aca="true" t="shared" si="15" ref="O26:AT26">O67</f>
        <v>19523.44</v>
      </c>
      <c r="P26" s="3">
        <f t="shared" si="15"/>
        <v>12418.1</v>
      </c>
      <c r="Q26" s="3">
        <f t="shared" si="15"/>
        <v>1049.33</v>
      </c>
      <c r="R26" s="3">
        <f t="shared" si="15"/>
        <v>206.01</v>
      </c>
      <c r="S26" s="3">
        <f t="shared" si="15"/>
        <v>6056.01</v>
      </c>
      <c r="T26" s="3">
        <f t="shared" si="15"/>
        <v>0</v>
      </c>
      <c r="U26" s="3">
        <f t="shared" si="15"/>
        <v>661.435746</v>
      </c>
      <c r="V26" s="3">
        <f t="shared" si="15"/>
        <v>17.332971999999998</v>
      </c>
      <c r="W26" s="3">
        <f t="shared" si="15"/>
        <v>0</v>
      </c>
      <c r="X26" s="3">
        <f t="shared" si="15"/>
        <v>5630.45</v>
      </c>
      <c r="Y26" s="3">
        <f t="shared" si="15"/>
        <v>2621.81</v>
      </c>
      <c r="Z26" s="3">
        <f t="shared" si="15"/>
        <v>0</v>
      </c>
      <c r="AA26" s="3">
        <f t="shared" si="15"/>
        <v>0</v>
      </c>
      <c r="AB26" s="3">
        <f t="shared" si="15"/>
        <v>19523.44</v>
      </c>
      <c r="AC26" s="3">
        <f t="shared" si="15"/>
        <v>12418.1</v>
      </c>
      <c r="AD26" s="3">
        <f t="shared" si="15"/>
        <v>1049.33</v>
      </c>
      <c r="AE26" s="3">
        <f t="shared" si="15"/>
        <v>206.01</v>
      </c>
      <c r="AF26" s="3">
        <f t="shared" si="15"/>
        <v>6056.01</v>
      </c>
      <c r="AG26" s="3">
        <f t="shared" si="15"/>
        <v>0</v>
      </c>
      <c r="AH26" s="3">
        <f t="shared" si="15"/>
        <v>661.435746</v>
      </c>
      <c r="AI26" s="3">
        <f t="shared" si="15"/>
        <v>17.332971999999998</v>
      </c>
      <c r="AJ26" s="3">
        <f t="shared" si="15"/>
        <v>0</v>
      </c>
      <c r="AK26" s="3">
        <f t="shared" si="15"/>
        <v>5630.45</v>
      </c>
      <c r="AL26" s="3">
        <f t="shared" si="15"/>
        <v>2621.81</v>
      </c>
      <c r="AM26" s="3">
        <f t="shared" si="15"/>
        <v>0</v>
      </c>
      <c r="AN26" s="3">
        <f t="shared" si="15"/>
        <v>0</v>
      </c>
      <c r="AO26" s="3">
        <f t="shared" si="15"/>
        <v>0</v>
      </c>
      <c r="AP26" s="3">
        <f t="shared" si="15"/>
        <v>0</v>
      </c>
      <c r="AQ26" s="3">
        <f t="shared" si="15"/>
        <v>0</v>
      </c>
      <c r="AR26" s="3">
        <f t="shared" si="15"/>
        <v>27775.7</v>
      </c>
      <c r="AS26" s="3">
        <f t="shared" si="15"/>
        <v>27775.7</v>
      </c>
      <c r="AT26" s="3">
        <f t="shared" si="15"/>
        <v>0</v>
      </c>
      <c r="AU26" s="3">
        <f aca="true" t="shared" si="16" ref="AU26:BZ26">AU67</f>
        <v>0</v>
      </c>
      <c r="AV26" s="3">
        <f t="shared" si="16"/>
        <v>12418.1</v>
      </c>
      <c r="AW26" s="3">
        <f t="shared" si="16"/>
        <v>12418.1</v>
      </c>
      <c r="AX26" s="3">
        <f t="shared" si="16"/>
        <v>0</v>
      </c>
      <c r="AY26" s="3">
        <f t="shared" si="16"/>
        <v>12418.1</v>
      </c>
      <c r="AZ26" s="3">
        <f t="shared" si="16"/>
        <v>0</v>
      </c>
      <c r="BA26" s="3">
        <f t="shared" si="16"/>
        <v>0</v>
      </c>
      <c r="BB26" s="3">
        <f t="shared" si="16"/>
        <v>0</v>
      </c>
      <c r="BC26" s="3">
        <f t="shared" si="16"/>
        <v>0</v>
      </c>
      <c r="BD26" s="3">
        <f t="shared" si="16"/>
        <v>0</v>
      </c>
      <c r="BE26" s="3">
        <f t="shared" si="16"/>
        <v>0</v>
      </c>
      <c r="BF26" s="3">
        <f t="shared" si="16"/>
        <v>0</v>
      </c>
      <c r="BG26" s="3">
        <f t="shared" si="16"/>
        <v>0</v>
      </c>
      <c r="BH26" s="3">
        <f t="shared" si="16"/>
        <v>0</v>
      </c>
      <c r="BI26" s="3">
        <f t="shared" si="16"/>
        <v>0</v>
      </c>
      <c r="BJ26" s="3">
        <f t="shared" si="16"/>
        <v>0</v>
      </c>
      <c r="BK26" s="3">
        <f t="shared" si="16"/>
        <v>0</v>
      </c>
      <c r="BL26" s="3">
        <f t="shared" si="16"/>
        <v>0</v>
      </c>
      <c r="BM26" s="3">
        <f t="shared" si="16"/>
        <v>0</v>
      </c>
      <c r="BN26" s="3">
        <f t="shared" si="16"/>
        <v>0</v>
      </c>
      <c r="BO26" s="3">
        <f t="shared" si="16"/>
        <v>0</v>
      </c>
      <c r="BP26" s="3">
        <f t="shared" si="16"/>
        <v>0</v>
      </c>
      <c r="BQ26" s="3">
        <f t="shared" si="16"/>
        <v>0</v>
      </c>
      <c r="BR26" s="3">
        <f t="shared" si="16"/>
        <v>0</v>
      </c>
      <c r="BS26" s="3">
        <f t="shared" si="16"/>
        <v>0</v>
      </c>
      <c r="BT26" s="3">
        <f t="shared" si="16"/>
        <v>0</v>
      </c>
      <c r="BU26" s="3">
        <f t="shared" si="16"/>
        <v>0</v>
      </c>
      <c r="BV26" s="3">
        <f t="shared" si="16"/>
        <v>0</v>
      </c>
      <c r="BW26" s="3">
        <f t="shared" si="16"/>
        <v>0</v>
      </c>
      <c r="BX26" s="3">
        <f t="shared" si="16"/>
        <v>0</v>
      </c>
      <c r="BY26" s="3">
        <f t="shared" si="16"/>
        <v>0</v>
      </c>
      <c r="BZ26" s="3">
        <f t="shared" si="16"/>
        <v>0</v>
      </c>
      <c r="CA26" s="3">
        <f aca="true" t="shared" si="17" ref="CA26:DF26">CA67</f>
        <v>27775.7</v>
      </c>
      <c r="CB26" s="3">
        <f t="shared" si="17"/>
        <v>27775.7</v>
      </c>
      <c r="CC26" s="3">
        <f t="shared" si="17"/>
        <v>0</v>
      </c>
      <c r="CD26" s="3">
        <f t="shared" si="17"/>
        <v>0</v>
      </c>
      <c r="CE26" s="3">
        <f t="shared" si="17"/>
        <v>12418.1</v>
      </c>
      <c r="CF26" s="3">
        <f t="shared" si="17"/>
        <v>12418.1</v>
      </c>
      <c r="CG26" s="3">
        <f t="shared" si="17"/>
        <v>0</v>
      </c>
      <c r="CH26" s="3">
        <f t="shared" si="17"/>
        <v>12418.1</v>
      </c>
      <c r="CI26" s="3">
        <f t="shared" si="17"/>
        <v>0</v>
      </c>
      <c r="CJ26" s="3">
        <f t="shared" si="17"/>
        <v>0</v>
      </c>
      <c r="CK26" s="3">
        <f t="shared" si="17"/>
        <v>0</v>
      </c>
      <c r="CL26" s="3">
        <f t="shared" si="17"/>
        <v>0</v>
      </c>
      <c r="CM26" s="3">
        <f t="shared" si="17"/>
        <v>0</v>
      </c>
      <c r="CN26" s="3">
        <f t="shared" si="17"/>
        <v>0</v>
      </c>
      <c r="CO26" s="3">
        <f t="shared" si="17"/>
        <v>0</v>
      </c>
      <c r="CP26" s="3">
        <f t="shared" si="17"/>
        <v>0</v>
      </c>
      <c r="CQ26" s="3">
        <f t="shared" si="17"/>
        <v>0</v>
      </c>
      <c r="CR26" s="3">
        <f t="shared" si="17"/>
        <v>0</v>
      </c>
      <c r="CS26" s="3">
        <f t="shared" si="17"/>
        <v>0</v>
      </c>
      <c r="CT26" s="3">
        <f t="shared" si="17"/>
        <v>0</v>
      </c>
      <c r="CU26" s="3">
        <f t="shared" si="17"/>
        <v>0</v>
      </c>
      <c r="CV26" s="3">
        <f t="shared" si="17"/>
        <v>0</v>
      </c>
      <c r="CW26" s="3">
        <f t="shared" si="17"/>
        <v>0</v>
      </c>
      <c r="CX26" s="3">
        <f t="shared" si="17"/>
        <v>0</v>
      </c>
      <c r="CY26" s="3">
        <f t="shared" si="17"/>
        <v>0</v>
      </c>
      <c r="CZ26" s="3">
        <f t="shared" si="17"/>
        <v>0</v>
      </c>
      <c r="DA26" s="3">
        <f t="shared" si="17"/>
        <v>0</v>
      </c>
      <c r="DB26" s="3">
        <f t="shared" si="17"/>
        <v>0</v>
      </c>
      <c r="DC26" s="3">
        <f t="shared" si="17"/>
        <v>0</v>
      </c>
      <c r="DD26" s="3">
        <f t="shared" si="17"/>
        <v>0</v>
      </c>
      <c r="DE26" s="3">
        <f t="shared" si="17"/>
        <v>0</v>
      </c>
      <c r="DF26" s="3">
        <f t="shared" si="17"/>
        <v>0</v>
      </c>
      <c r="DG26" s="4">
        <f aca="true" t="shared" si="18" ref="DG26:EL26">DG67</f>
        <v>332485.19</v>
      </c>
      <c r="DH26" s="4">
        <f t="shared" si="18"/>
        <v>84691.45</v>
      </c>
      <c r="DI26" s="4">
        <f t="shared" si="18"/>
        <v>14092.19</v>
      </c>
      <c r="DJ26" s="4">
        <f t="shared" si="18"/>
        <v>7949.76</v>
      </c>
      <c r="DK26" s="4">
        <f t="shared" si="18"/>
        <v>233701.55</v>
      </c>
      <c r="DL26" s="4">
        <f t="shared" si="18"/>
        <v>0</v>
      </c>
      <c r="DM26" s="4">
        <f t="shared" si="18"/>
        <v>661.435746</v>
      </c>
      <c r="DN26" s="4">
        <f t="shared" si="18"/>
        <v>17.332971999999998</v>
      </c>
      <c r="DO26" s="4">
        <f t="shared" si="18"/>
        <v>0</v>
      </c>
      <c r="DP26" s="4">
        <f t="shared" si="18"/>
        <v>217279.22</v>
      </c>
      <c r="DQ26" s="4">
        <f t="shared" si="18"/>
        <v>101175.67</v>
      </c>
      <c r="DR26" s="4">
        <f t="shared" si="18"/>
        <v>0</v>
      </c>
      <c r="DS26" s="4">
        <f t="shared" si="18"/>
        <v>0</v>
      </c>
      <c r="DT26" s="4">
        <f t="shared" si="18"/>
        <v>332485.19</v>
      </c>
      <c r="DU26" s="4">
        <f t="shared" si="18"/>
        <v>84691.45</v>
      </c>
      <c r="DV26" s="4">
        <f t="shared" si="18"/>
        <v>14092.19</v>
      </c>
      <c r="DW26" s="4">
        <f t="shared" si="18"/>
        <v>7949.76</v>
      </c>
      <c r="DX26" s="4">
        <f t="shared" si="18"/>
        <v>233701.55</v>
      </c>
      <c r="DY26" s="4">
        <f t="shared" si="18"/>
        <v>0</v>
      </c>
      <c r="DZ26" s="4">
        <f t="shared" si="18"/>
        <v>661.435746</v>
      </c>
      <c r="EA26" s="4">
        <f t="shared" si="18"/>
        <v>17.332971999999998</v>
      </c>
      <c r="EB26" s="4">
        <f t="shared" si="18"/>
        <v>0</v>
      </c>
      <c r="EC26" s="4">
        <f t="shared" si="18"/>
        <v>217279.22</v>
      </c>
      <c r="ED26" s="4">
        <f t="shared" si="18"/>
        <v>101175.67</v>
      </c>
      <c r="EE26" s="4">
        <f t="shared" si="18"/>
        <v>0</v>
      </c>
      <c r="EF26" s="4">
        <f t="shared" si="18"/>
        <v>0</v>
      </c>
      <c r="EG26" s="4">
        <f t="shared" si="18"/>
        <v>0</v>
      </c>
      <c r="EH26" s="4">
        <f t="shared" si="18"/>
        <v>0</v>
      </c>
      <c r="EI26" s="4">
        <f t="shared" si="18"/>
        <v>0</v>
      </c>
      <c r="EJ26" s="4">
        <f t="shared" si="18"/>
        <v>650940.08</v>
      </c>
      <c r="EK26" s="4">
        <f t="shared" si="18"/>
        <v>650940.08</v>
      </c>
      <c r="EL26" s="4">
        <f t="shared" si="18"/>
        <v>0</v>
      </c>
      <c r="EM26" s="4">
        <f aca="true" t="shared" si="19" ref="EM26:FR26">EM67</f>
        <v>0</v>
      </c>
      <c r="EN26" s="4">
        <f t="shared" si="19"/>
        <v>84691.45</v>
      </c>
      <c r="EO26" s="4">
        <f t="shared" si="19"/>
        <v>84691.45</v>
      </c>
      <c r="EP26" s="4">
        <f t="shared" si="19"/>
        <v>0</v>
      </c>
      <c r="EQ26" s="4">
        <f t="shared" si="19"/>
        <v>84691.45</v>
      </c>
      <c r="ER26" s="4">
        <f t="shared" si="19"/>
        <v>0</v>
      </c>
      <c r="ES26" s="4">
        <f t="shared" si="19"/>
        <v>0</v>
      </c>
      <c r="ET26" s="4">
        <f t="shared" si="19"/>
        <v>0</v>
      </c>
      <c r="EU26" s="4">
        <f t="shared" si="19"/>
        <v>0</v>
      </c>
      <c r="EV26" s="4">
        <f t="shared" si="19"/>
        <v>0</v>
      </c>
      <c r="EW26" s="4">
        <f t="shared" si="19"/>
        <v>0</v>
      </c>
      <c r="EX26" s="4">
        <f t="shared" si="19"/>
        <v>0</v>
      </c>
      <c r="EY26" s="4">
        <f t="shared" si="19"/>
        <v>0</v>
      </c>
      <c r="EZ26" s="4">
        <f t="shared" si="19"/>
        <v>0</v>
      </c>
      <c r="FA26" s="4">
        <f t="shared" si="19"/>
        <v>0</v>
      </c>
      <c r="FB26" s="4">
        <f t="shared" si="19"/>
        <v>0</v>
      </c>
      <c r="FC26" s="4">
        <f t="shared" si="19"/>
        <v>0</v>
      </c>
      <c r="FD26" s="4">
        <f t="shared" si="19"/>
        <v>0</v>
      </c>
      <c r="FE26" s="4">
        <f t="shared" si="19"/>
        <v>0</v>
      </c>
      <c r="FF26" s="4">
        <f t="shared" si="19"/>
        <v>0</v>
      </c>
      <c r="FG26" s="4">
        <f t="shared" si="19"/>
        <v>0</v>
      </c>
      <c r="FH26" s="4">
        <f t="shared" si="19"/>
        <v>0</v>
      </c>
      <c r="FI26" s="4">
        <f t="shared" si="19"/>
        <v>0</v>
      </c>
      <c r="FJ26" s="4">
        <f t="shared" si="19"/>
        <v>0</v>
      </c>
      <c r="FK26" s="4">
        <f t="shared" si="19"/>
        <v>0</v>
      </c>
      <c r="FL26" s="4">
        <f t="shared" si="19"/>
        <v>0</v>
      </c>
      <c r="FM26" s="4">
        <f t="shared" si="19"/>
        <v>0</v>
      </c>
      <c r="FN26" s="4">
        <f t="shared" si="19"/>
        <v>0</v>
      </c>
      <c r="FO26" s="4">
        <f t="shared" si="19"/>
        <v>0</v>
      </c>
      <c r="FP26" s="4">
        <f t="shared" si="19"/>
        <v>0</v>
      </c>
      <c r="FQ26" s="4">
        <f t="shared" si="19"/>
        <v>0</v>
      </c>
      <c r="FR26" s="4">
        <f t="shared" si="19"/>
        <v>0</v>
      </c>
      <c r="FS26" s="4">
        <f aca="true" t="shared" si="20" ref="FS26:GX26">FS67</f>
        <v>650940.08</v>
      </c>
      <c r="FT26" s="4">
        <f t="shared" si="20"/>
        <v>650940.08</v>
      </c>
      <c r="FU26" s="4">
        <f t="shared" si="20"/>
        <v>0</v>
      </c>
      <c r="FV26" s="4">
        <f t="shared" si="20"/>
        <v>0</v>
      </c>
      <c r="FW26" s="4">
        <f t="shared" si="20"/>
        <v>84691.45</v>
      </c>
      <c r="FX26" s="4">
        <f t="shared" si="20"/>
        <v>84691.45</v>
      </c>
      <c r="FY26" s="4">
        <f t="shared" si="20"/>
        <v>0</v>
      </c>
      <c r="FZ26" s="4">
        <f t="shared" si="20"/>
        <v>84691.45</v>
      </c>
      <c r="GA26" s="4">
        <f t="shared" si="20"/>
        <v>0</v>
      </c>
      <c r="GB26" s="4">
        <f t="shared" si="20"/>
        <v>0</v>
      </c>
      <c r="GC26" s="4">
        <f t="shared" si="20"/>
        <v>0</v>
      </c>
      <c r="GD26" s="4">
        <f t="shared" si="20"/>
        <v>0</v>
      </c>
      <c r="GE26" s="4">
        <f t="shared" si="20"/>
        <v>0</v>
      </c>
      <c r="GF26" s="4">
        <f t="shared" si="20"/>
        <v>0</v>
      </c>
      <c r="GG26" s="4">
        <f t="shared" si="20"/>
        <v>0</v>
      </c>
      <c r="GH26" s="4">
        <f t="shared" si="20"/>
        <v>0</v>
      </c>
      <c r="GI26" s="4">
        <f t="shared" si="20"/>
        <v>0</v>
      </c>
      <c r="GJ26" s="4">
        <f t="shared" si="20"/>
        <v>0</v>
      </c>
      <c r="GK26" s="4">
        <f t="shared" si="20"/>
        <v>0</v>
      </c>
      <c r="GL26" s="4">
        <f t="shared" si="20"/>
        <v>0</v>
      </c>
      <c r="GM26" s="4">
        <f t="shared" si="20"/>
        <v>0</v>
      </c>
      <c r="GN26" s="4">
        <f t="shared" si="20"/>
        <v>0</v>
      </c>
      <c r="GO26" s="4">
        <f t="shared" si="20"/>
        <v>0</v>
      </c>
      <c r="GP26" s="4">
        <f t="shared" si="20"/>
        <v>0</v>
      </c>
      <c r="GQ26" s="4">
        <f t="shared" si="20"/>
        <v>0</v>
      </c>
      <c r="GR26" s="4">
        <f t="shared" si="20"/>
        <v>0</v>
      </c>
      <c r="GS26" s="4">
        <f t="shared" si="20"/>
        <v>0</v>
      </c>
      <c r="GT26" s="4">
        <f t="shared" si="20"/>
        <v>0</v>
      </c>
      <c r="GU26" s="4">
        <f t="shared" si="20"/>
        <v>0</v>
      </c>
      <c r="GV26" s="4">
        <f t="shared" si="20"/>
        <v>0</v>
      </c>
      <c r="GW26" s="4">
        <f t="shared" si="20"/>
        <v>0</v>
      </c>
      <c r="GX26" s="4">
        <f t="shared" si="20"/>
        <v>0</v>
      </c>
    </row>
    <row r="28" spans="1:255" ht="12.75">
      <c r="A28" s="2">
        <v>17</v>
      </c>
      <c r="B28" s="2">
        <v>1</v>
      </c>
      <c r="C28" s="2">
        <f>ROW(SmtRes!A2)</f>
        <v>2</v>
      </c>
      <c r="D28" s="2">
        <f>ROW(EtalonRes!A2)</f>
        <v>2</v>
      </c>
      <c r="E28" s="2" t="s">
        <v>21</v>
      </c>
      <c r="F28" s="2" t="s">
        <v>22</v>
      </c>
      <c r="G28" s="2" t="s">
        <v>23</v>
      </c>
      <c r="H28" s="2" t="s">
        <v>24</v>
      </c>
      <c r="I28" s="2">
        <f>ROUND(11/100,7)</f>
        <v>0.11</v>
      </c>
      <c r="J28" s="2">
        <v>0</v>
      </c>
      <c r="K28" s="2">
        <f>ROUND(11/100,7)</f>
        <v>0.11</v>
      </c>
      <c r="L28" s="2"/>
      <c r="M28" s="2"/>
      <c r="N28" s="2"/>
      <c r="O28" s="2">
        <f aca="true" t="shared" si="21" ref="O28:O65">ROUND(CP28,2)</f>
        <v>32.11</v>
      </c>
      <c r="P28" s="2">
        <f aca="true" t="shared" si="22" ref="P28:P65">ROUND(CQ28*I28,2)</f>
        <v>0</v>
      </c>
      <c r="Q28" s="2">
        <f aca="true" t="shared" si="23" ref="Q28:Q65">ROUND(CR28*I28,2)</f>
        <v>0</v>
      </c>
      <c r="R28" s="2">
        <f aca="true" t="shared" si="24" ref="R28:R65">ROUND(CS28*I28,2)</f>
        <v>0</v>
      </c>
      <c r="S28" s="2">
        <f aca="true" t="shared" si="25" ref="S28:S65">ROUND(CT28*I28,2)</f>
        <v>32.11</v>
      </c>
      <c r="T28" s="2">
        <f aca="true" t="shared" si="26" ref="T28:T65">ROUND(CU28*I28,2)</f>
        <v>0</v>
      </c>
      <c r="U28" s="2">
        <f aca="true" t="shared" si="27" ref="U28:U65">CV28*I28</f>
        <v>3.7960999999999996</v>
      </c>
      <c r="V28" s="2">
        <f aca="true" t="shared" si="28" ref="V28:V65">CW28*I28</f>
        <v>0</v>
      </c>
      <c r="W28" s="2">
        <f aca="true" t="shared" si="29" ref="W28:W65">ROUND(CX28*I28,2)</f>
        <v>0</v>
      </c>
      <c r="X28" s="2">
        <f aca="true" t="shared" si="30" ref="X28:X65">ROUND(CY28,2)</f>
        <v>28.9</v>
      </c>
      <c r="Y28" s="2">
        <f aca="true" t="shared" si="31" ref="Y28:Y65">ROUND(CZ28,2)</f>
        <v>14.45</v>
      </c>
      <c r="Z28" s="2"/>
      <c r="AA28" s="2">
        <v>55722483</v>
      </c>
      <c r="AB28" s="2">
        <f aca="true" t="shared" si="32" ref="AB28:AB65">ROUND((AC28+AD28+AF28),2)</f>
        <v>291.95</v>
      </c>
      <c r="AC28" s="2">
        <f aca="true" t="shared" si="33" ref="AC28:AC65">ROUND((ES28),2)</f>
        <v>0</v>
      </c>
      <c r="AD28" s="2">
        <f>ROUND((((ET28)-(EU28))+AE28),2)</f>
        <v>0</v>
      </c>
      <c r="AE28" s="2">
        <f aca="true" t="shared" si="34" ref="AE28:AF31">ROUND((EU28),2)</f>
        <v>0</v>
      </c>
      <c r="AF28" s="2">
        <f t="shared" si="34"/>
        <v>291.95</v>
      </c>
      <c r="AG28" s="2">
        <f aca="true" t="shared" si="35" ref="AG28:AG65">ROUND((AP28),2)</f>
        <v>0</v>
      </c>
      <c r="AH28" s="2">
        <f aca="true" t="shared" si="36" ref="AH28:AI31">(EW28)</f>
        <v>34.51</v>
      </c>
      <c r="AI28" s="2">
        <f t="shared" si="36"/>
        <v>0</v>
      </c>
      <c r="AJ28" s="2">
        <f aca="true" t="shared" si="37" ref="AJ28:AJ65">(AS28)</f>
        <v>0</v>
      </c>
      <c r="AK28" s="2">
        <v>291.95</v>
      </c>
      <c r="AL28" s="2">
        <v>0</v>
      </c>
      <c r="AM28" s="2">
        <v>0</v>
      </c>
      <c r="AN28" s="2">
        <v>0</v>
      </c>
      <c r="AO28" s="2">
        <v>291.95</v>
      </c>
      <c r="AP28" s="2">
        <v>0</v>
      </c>
      <c r="AQ28" s="2">
        <v>34.51</v>
      </c>
      <c r="AR28" s="2">
        <v>0</v>
      </c>
      <c r="AS28" s="2">
        <v>0</v>
      </c>
      <c r="AT28" s="2">
        <v>90</v>
      </c>
      <c r="AU28" s="2">
        <v>45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25</v>
      </c>
      <c r="BK28" s="2"/>
      <c r="BL28" s="2"/>
      <c r="BM28" s="2">
        <v>63001</v>
      </c>
      <c r="BN28" s="2">
        <v>0</v>
      </c>
      <c r="BO28" s="2" t="s">
        <v>3</v>
      </c>
      <c r="BP28" s="2">
        <v>0</v>
      </c>
      <c r="BQ28" s="2">
        <v>6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90</v>
      </c>
      <c r="CA28" s="2">
        <v>45</v>
      </c>
      <c r="CB28" s="2" t="s">
        <v>3</v>
      </c>
      <c r="CC28" s="2"/>
      <c r="CD28" s="2"/>
      <c r="CE28" s="2">
        <v>0</v>
      </c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aca="true" t="shared" si="38" ref="CP28:CP65">(P28+Q28+S28)</f>
        <v>32.11</v>
      </c>
      <c r="CQ28" s="2">
        <f aca="true" t="shared" si="39" ref="CQ28:CQ65">AC28*BC28</f>
        <v>0</v>
      </c>
      <c r="CR28" s="2">
        <f>(((ET28)*BB28-(EU28)*BS28)+AE28*BS28)</f>
        <v>0</v>
      </c>
      <c r="CS28" s="2">
        <f aca="true" t="shared" si="40" ref="CS28:CS65">AE28*BS28</f>
        <v>0</v>
      </c>
      <c r="CT28" s="2">
        <f aca="true" t="shared" si="41" ref="CT28:CT65">AF28*BA28</f>
        <v>291.95</v>
      </c>
      <c r="CU28" s="2">
        <f aca="true" t="shared" si="42" ref="CU28:CU65">AG28</f>
        <v>0</v>
      </c>
      <c r="CV28" s="2">
        <f aca="true" t="shared" si="43" ref="CV28:CV65">AH28</f>
        <v>34.51</v>
      </c>
      <c r="CW28" s="2">
        <f aca="true" t="shared" si="44" ref="CW28:CW65">AI28</f>
        <v>0</v>
      </c>
      <c r="CX28" s="2">
        <f aca="true" t="shared" si="45" ref="CX28:CX65">AJ28</f>
        <v>0</v>
      </c>
      <c r="CY28" s="2">
        <f aca="true" t="shared" si="46" ref="CY28:CY65">(((S28+R28)*AT28)/100)</f>
        <v>28.899</v>
      </c>
      <c r="CZ28" s="2">
        <f aca="true" t="shared" si="47" ref="CZ28:CZ65">(((S28+R28)*AU28)/100)</f>
        <v>14.4495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1005</v>
      </c>
      <c r="DV28" s="2" t="s">
        <v>24</v>
      </c>
      <c r="DW28" s="2" t="s">
        <v>24</v>
      </c>
      <c r="DX28" s="2">
        <v>100</v>
      </c>
      <c r="DY28" s="2"/>
      <c r="DZ28" s="2" t="s">
        <v>3</v>
      </c>
      <c r="EA28" s="2" t="s">
        <v>3</v>
      </c>
      <c r="EB28" s="2" t="s">
        <v>3</v>
      </c>
      <c r="EC28" s="2" t="s">
        <v>3</v>
      </c>
      <c r="ED28" s="2"/>
      <c r="EE28" s="2">
        <v>55471797</v>
      </c>
      <c r="EF28" s="2">
        <v>6</v>
      </c>
      <c r="EG28" s="2" t="s">
        <v>26</v>
      </c>
      <c r="EH28" s="2">
        <v>97</v>
      </c>
      <c r="EI28" s="2" t="s">
        <v>27</v>
      </c>
      <c r="EJ28" s="2">
        <v>1</v>
      </c>
      <c r="EK28" s="2">
        <v>63001</v>
      </c>
      <c r="EL28" s="2" t="s">
        <v>28</v>
      </c>
      <c r="EM28" s="2" t="s">
        <v>29</v>
      </c>
      <c r="EN28" s="2"/>
      <c r="EO28" s="2" t="s">
        <v>3</v>
      </c>
      <c r="EP28" s="2"/>
      <c r="EQ28" s="2">
        <v>0</v>
      </c>
      <c r="ER28" s="2">
        <v>291.95</v>
      </c>
      <c r="ES28" s="2">
        <v>0</v>
      </c>
      <c r="ET28" s="2">
        <v>0</v>
      </c>
      <c r="EU28" s="2">
        <v>0</v>
      </c>
      <c r="EV28" s="2">
        <v>291.95</v>
      </c>
      <c r="EW28" s="2">
        <v>34.51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aca="true" t="shared" si="48" ref="FR28:FR65">ROUND(IF(AND(BH28=3,BI28=3),P28,0),2)</f>
        <v>0</v>
      </c>
      <c r="FS28" s="2">
        <v>0</v>
      </c>
      <c r="FT28" s="2"/>
      <c r="FU28" s="2"/>
      <c r="FV28" s="2"/>
      <c r="FW28" s="2"/>
      <c r="FX28" s="2">
        <v>90</v>
      </c>
      <c r="FY28" s="2">
        <v>45</v>
      </c>
      <c r="FZ28" s="2"/>
      <c r="GA28" s="2" t="s">
        <v>3</v>
      </c>
      <c r="GB28" s="2"/>
      <c r="GC28" s="2"/>
      <c r="GD28" s="2">
        <v>1</v>
      </c>
      <c r="GE28" s="2"/>
      <c r="GF28" s="2">
        <v>-1975607169</v>
      </c>
      <c r="GG28" s="2">
        <v>2</v>
      </c>
      <c r="GH28" s="2">
        <v>1</v>
      </c>
      <c r="GI28" s="2">
        <v>-2</v>
      </c>
      <c r="GJ28" s="2">
        <v>0</v>
      </c>
      <c r="GK28" s="2">
        <v>0</v>
      </c>
      <c r="GL28" s="2">
        <f aca="true" t="shared" si="49" ref="GL28:GL65">ROUND(IF(AND(BH28=3,BI28=3,FS28&lt;&gt;0),P28,0),2)</f>
        <v>0</v>
      </c>
      <c r="GM28" s="2">
        <f aca="true" t="shared" si="50" ref="GM28:GM65">ROUND(O28+X28+Y28,2)+GX28</f>
        <v>75.46</v>
      </c>
      <c r="GN28" s="2">
        <f aca="true" t="shared" si="51" ref="GN28:GN65">IF(OR(BI28=0,BI28=1),ROUND(O28+X28+Y28,2),0)</f>
        <v>75.46</v>
      </c>
      <c r="GO28" s="2">
        <f aca="true" t="shared" si="52" ref="GO28:GO65">IF(BI28=2,ROUND(O28+X28+Y28,2),0)</f>
        <v>0</v>
      </c>
      <c r="GP28" s="2">
        <f aca="true" t="shared" si="53" ref="GP28:GP65">IF(BI28=4,ROUND(O28+X28+Y28,2)+GX28,0)</f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aca="true" t="shared" si="54" ref="GV28:GV65">ROUND((GT28),2)</f>
        <v>0</v>
      </c>
      <c r="GW28" s="2">
        <v>1</v>
      </c>
      <c r="GX28" s="2">
        <f aca="true" t="shared" si="55" ref="GX28:GX65">ROUND(HC28*I28,2)</f>
        <v>0</v>
      </c>
      <c r="GY28" s="2"/>
      <c r="GZ28" s="2"/>
      <c r="HA28" s="2">
        <v>0</v>
      </c>
      <c r="HB28" s="2">
        <v>0</v>
      </c>
      <c r="HC28" s="2">
        <f aca="true" t="shared" si="56" ref="HC28:HC65">GV28*GW28</f>
        <v>0</v>
      </c>
      <c r="HD28" s="2"/>
      <c r="HE28" s="2" t="s">
        <v>3</v>
      </c>
      <c r="HF28" s="2" t="s">
        <v>3</v>
      </c>
      <c r="HG28" s="2"/>
      <c r="HH28" s="2"/>
      <c r="HI28" s="2"/>
      <c r="HJ28" s="2"/>
      <c r="HK28" s="2"/>
      <c r="HL28" s="2"/>
      <c r="HM28" s="2" t="s">
        <v>3</v>
      </c>
      <c r="HN28" s="2" t="s">
        <v>30</v>
      </c>
      <c r="HO28" s="2" t="s">
        <v>31</v>
      </c>
      <c r="HP28" s="2" t="s">
        <v>28</v>
      </c>
      <c r="HQ28" s="2" t="s">
        <v>28</v>
      </c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45" ht="12.75">
      <c r="A29">
        <v>17</v>
      </c>
      <c r="B29">
        <v>1</v>
      </c>
      <c r="C29">
        <f>ROW(SmtRes!A4)</f>
        <v>4</v>
      </c>
      <c r="D29">
        <f>ROW(EtalonRes!A4)</f>
        <v>4</v>
      </c>
      <c r="E29" t="s">
        <v>21</v>
      </c>
      <c r="F29" t="s">
        <v>22</v>
      </c>
      <c r="G29" t="s">
        <v>23</v>
      </c>
      <c r="H29" t="s">
        <v>24</v>
      </c>
      <c r="I29">
        <f>ROUND(11/100,7)</f>
        <v>0.11</v>
      </c>
      <c r="J29">
        <v>0</v>
      </c>
      <c r="K29">
        <f>ROUND(11/100,7)</f>
        <v>0.11</v>
      </c>
      <c r="O29">
        <f t="shared" si="21"/>
        <v>1239.3</v>
      </c>
      <c r="P29">
        <f t="shared" si="22"/>
        <v>0</v>
      </c>
      <c r="Q29">
        <f t="shared" si="23"/>
        <v>0</v>
      </c>
      <c r="R29">
        <f t="shared" si="24"/>
        <v>0</v>
      </c>
      <c r="S29">
        <f t="shared" si="25"/>
        <v>1239.3</v>
      </c>
      <c r="T29">
        <f t="shared" si="26"/>
        <v>0</v>
      </c>
      <c r="U29">
        <f t="shared" si="27"/>
        <v>3.7960999999999996</v>
      </c>
      <c r="V29">
        <f t="shared" si="28"/>
        <v>0</v>
      </c>
      <c r="W29">
        <f t="shared" si="29"/>
        <v>0</v>
      </c>
      <c r="X29">
        <f t="shared" si="30"/>
        <v>1115.37</v>
      </c>
      <c r="Y29">
        <f t="shared" si="31"/>
        <v>557.69</v>
      </c>
      <c r="AA29">
        <v>55722484</v>
      </c>
      <c r="AB29">
        <f t="shared" si="32"/>
        <v>291.95</v>
      </c>
      <c r="AC29">
        <f t="shared" si="33"/>
        <v>0</v>
      </c>
      <c r="AD29">
        <f>ROUND((((ET29)-(EU29))+AE29),2)</f>
        <v>0</v>
      </c>
      <c r="AE29">
        <f t="shared" si="34"/>
        <v>0</v>
      </c>
      <c r="AF29">
        <f t="shared" si="34"/>
        <v>291.95</v>
      </c>
      <c r="AG29">
        <f t="shared" si="35"/>
        <v>0</v>
      </c>
      <c r="AH29">
        <f t="shared" si="36"/>
        <v>34.51</v>
      </c>
      <c r="AI29">
        <f t="shared" si="36"/>
        <v>0</v>
      </c>
      <c r="AJ29">
        <f t="shared" si="37"/>
        <v>0</v>
      </c>
      <c r="AK29">
        <v>291.95</v>
      </c>
      <c r="AL29">
        <v>0</v>
      </c>
      <c r="AM29">
        <v>0</v>
      </c>
      <c r="AN29">
        <v>0</v>
      </c>
      <c r="AO29">
        <v>291.95</v>
      </c>
      <c r="AP29">
        <v>0</v>
      </c>
      <c r="AQ29">
        <v>34.51</v>
      </c>
      <c r="AR29">
        <v>0</v>
      </c>
      <c r="AS29">
        <v>0</v>
      </c>
      <c r="AT29">
        <v>90</v>
      </c>
      <c r="AU29">
        <v>45</v>
      </c>
      <c r="AV29">
        <v>1</v>
      </c>
      <c r="AW29">
        <v>1</v>
      </c>
      <c r="AZ29">
        <v>1</v>
      </c>
      <c r="BA29">
        <v>38.59</v>
      </c>
      <c r="BB29">
        <v>13.43</v>
      </c>
      <c r="BC29">
        <v>6.82</v>
      </c>
      <c r="BH29">
        <v>0</v>
      </c>
      <c r="BI29">
        <v>1</v>
      </c>
      <c r="BJ29" t="s">
        <v>25</v>
      </c>
      <c r="BM29">
        <v>63001</v>
      </c>
      <c r="BN29">
        <v>0</v>
      </c>
      <c r="BO29" t="s">
        <v>32</v>
      </c>
      <c r="BP29">
        <v>1</v>
      </c>
      <c r="BQ29">
        <v>6</v>
      </c>
      <c r="BR29">
        <v>0</v>
      </c>
      <c r="BS29">
        <v>38.59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90</v>
      </c>
      <c r="CA29">
        <v>45</v>
      </c>
      <c r="CE29">
        <v>0</v>
      </c>
      <c r="CF29">
        <v>0</v>
      </c>
      <c r="CG29">
        <v>0</v>
      </c>
      <c r="CM29">
        <v>0</v>
      </c>
      <c r="CO29">
        <v>0</v>
      </c>
      <c r="CP29">
        <f t="shared" si="38"/>
        <v>1239.3</v>
      </c>
      <c r="CQ29">
        <f t="shared" si="39"/>
        <v>0</v>
      </c>
      <c r="CR29">
        <f>(((ET29)*BB29-(EU29)*BS29)+AE29*BS29)</f>
        <v>0</v>
      </c>
      <c r="CS29">
        <f t="shared" si="40"/>
        <v>0</v>
      </c>
      <c r="CT29">
        <f t="shared" si="41"/>
        <v>11266.3505</v>
      </c>
      <c r="CU29">
        <f t="shared" si="42"/>
        <v>0</v>
      </c>
      <c r="CV29">
        <f t="shared" si="43"/>
        <v>34.51</v>
      </c>
      <c r="CW29">
        <f t="shared" si="44"/>
        <v>0</v>
      </c>
      <c r="CX29">
        <f t="shared" si="45"/>
        <v>0</v>
      </c>
      <c r="CY29">
        <f t="shared" si="46"/>
        <v>1115.37</v>
      </c>
      <c r="CZ29">
        <f t="shared" si="47"/>
        <v>557.685</v>
      </c>
      <c r="DN29">
        <v>0</v>
      </c>
      <c r="DO29">
        <v>0</v>
      </c>
      <c r="DP29">
        <v>1</v>
      </c>
      <c r="DQ29">
        <v>1</v>
      </c>
      <c r="DU29">
        <v>1005</v>
      </c>
      <c r="DV29" t="s">
        <v>24</v>
      </c>
      <c r="DW29" t="s">
        <v>24</v>
      </c>
      <c r="DX29">
        <v>100</v>
      </c>
      <c r="EE29">
        <v>55471797</v>
      </c>
      <c r="EF29">
        <v>6</v>
      </c>
      <c r="EG29" t="s">
        <v>26</v>
      </c>
      <c r="EH29">
        <v>97</v>
      </c>
      <c r="EI29" t="s">
        <v>27</v>
      </c>
      <c r="EJ29">
        <v>1</v>
      </c>
      <c r="EK29">
        <v>63001</v>
      </c>
      <c r="EL29" t="s">
        <v>28</v>
      </c>
      <c r="EM29" t="s">
        <v>29</v>
      </c>
      <c r="EQ29">
        <v>0</v>
      </c>
      <c r="ER29">
        <v>291.95</v>
      </c>
      <c r="ES29">
        <v>0</v>
      </c>
      <c r="ET29">
        <v>0</v>
      </c>
      <c r="EU29">
        <v>0</v>
      </c>
      <c r="EV29">
        <v>291.95</v>
      </c>
      <c r="EW29">
        <v>34.51</v>
      </c>
      <c r="EX29">
        <v>0</v>
      </c>
      <c r="EY29">
        <v>0</v>
      </c>
      <c r="FQ29">
        <v>0</v>
      </c>
      <c r="FR29">
        <f t="shared" si="48"/>
        <v>0</v>
      </c>
      <c r="FS29">
        <v>0</v>
      </c>
      <c r="FX29">
        <v>90</v>
      </c>
      <c r="FY29">
        <v>45</v>
      </c>
      <c r="GD29">
        <v>1</v>
      </c>
      <c r="GF29">
        <v>-1975607169</v>
      </c>
      <c r="GG29">
        <v>2</v>
      </c>
      <c r="GH29">
        <v>1</v>
      </c>
      <c r="GI29">
        <v>4</v>
      </c>
      <c r="GJ29">
        <v>0</v>
      </c>
      <c r="GK29">
        <v>0</v>
      </c>
      <c r="GL29">
        <f t="shared" si="49"/>
        <v>0</v>
      </c>
      <c r="GM29">
        <f t="shared" si="50"/>
        <v>2912.36</v>
      </c>
      <c r="GN29">
        <f t="shared" si="51"/>
        <v>2912.36</v>
      </c>
      <c r="GO29">
        <f t="shared" si="52"/>
        <v>0</v>
      </c>
      <c r="GP29">
        <f t="shared" si="53"/>
        <v>0</v>
      </c>
      <c r="GR29">
        <v>0</v>
      </c>
      <c r="GS29">
        <v>3</v>
      </c>
      <c r="GT29">
        <v>0</v>
      </c>
      <c r="GV29">
        <f t="shared" si="54"/>
        <v>0</v>
      </c>
      <c r="GW29">
        <v>1</v>
      </c>
      <c r="GX29">
        <f t="shared" si="55"/>
        <v>0</v>
      </c>
      <c r="HA29">
        <v>0</v>
      </c>
      <c r="HB29">
        <v>0</v>
      </c>
      <c r="HC29">
        <f t="shared" si="56"/>
        <v>0</v>
      </c>
      <c r="HN29" t="s">
        <v>30</v>
      </c>
      <c r="HO29" t="s">
        <v>31</v>
      </c>
      <c r="HP29" t="s">
        <v>28</v>
      </c>
      <c r="HQ29" t="s">
        <v>28</v>
      </c>
      <c r="IK29">
        <v>0</v>
      </c>
    </row>
    <row r="30" spans="1:255" ht="12.75">
      <c r="A30" s="2">
        <v>18</v>
      </c>
      <c r="B30" s="2">
        <v>1</v>
      </c>
      <c r="C30" s="2">
        <v>2</v>
      </c>
      <c r="D30" s="2"/>
      <c r="E30" s="2" t="s">
        <v>33</v>
      </c>
      <c r="F30" s="2" t="s">
        <v>34</v>
      </c>
      <c r="G30" s="2" t="s">
        <v>35</v>
      </c>
      <c r="H30" s="2" t="s">
        <v>36</v>
      </c>
      <c r="I30" s="2">
        <f>I28*J30</f>
        <v>0.03916</v>
      </c>
      <c r="J30" s="2">
        <v>0.356</v>
      </c>
      <c r="K30" s="2">
        <v>0.356</v>
      </c>
      <c r="L30" s="2"/>
      <c r="M30" s="2"/>
      <c r="N30" s="2"/>
      <c r="O30" s="2">
        <f t="shared" si="21"/>
        <v>0</v>
      </c>
      <c r="P30" s="2">
        <f t="shared" si="22"/>
        <v>0</v>
      </c>
      <c r="Q30" s="2">
        <f t="shared" si="23"/>
        <v>0</v>
      </c>
      <c r="R30" s="2">
        <f t="shared" si="24"/>
        <v>0</v>
      </c>
      <c r="S30" s="2">
        <f t="shared" si="25"/>
        <v>0</v>
      </c>
      <c r="T30" s="2">
        <f t="shared" si="26"/>
        <v>0</v>
      </c>
      <c r="U30" s="2">
        <f t="shared" si="27"/>
        <v>0</v>
      </c>
      <c r="V30" s="2">
        <f t="shared" si="28"/>
        <v>0</v>
      </c>
      <c r="W30" s="2">
        <f t="shared" si="29"/>
        <v>0</v>
      </c>
      <c r="X30" s="2">
        <f t="shared" si="30"/>
        <v>0</v>
      </c>
      <c r="Y30" s="2">
        <f t="shared" si="31"/>
        <v>0</v>
      </c>
      <c r="Z30" s="2"/>
      <c r="AA30" s="2">
        <v>55722483</v>
      </c>
      <c r="AB30" s="2">
        <f t="shared" si="32"/>
        <v>0</v>
      </c>
      <c r="AC30" s="2">
        <f t="shared" si="33"/>
        <v>0</v>
      </c>
      <c r="AD30" s="2">
        <f>ROUND((((ET30)-(EU30))+AE30),2)</f>
        <v>0</v>
      </c>
      <c r="AE30" s="2">
        <f t="shared" si="34"/>
        <v>0</v>
      </c>
      <c r="AF30" s="2">
        <f t="shared" si="34"/>
        <v>0</v>
      </c>
      <c r="AG30" s="2">
        <f t="shared" si="35"/>
        <v>0</v>
      </c>
      <c r="AH30" s="2">
        <f t="shared" si="36"/>
        <v>0</v>
      </c>
      <c r="AI30" s="2">
        <f t="shared" si="36"/>
        <v>0</v>
      </c>
      <c r="AJ30" s="2">
        <f t="shared" si="37"/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90</v>
      </c>
      <c r="AU30" s="2">
        <v>45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3</v>
      </c>
      <c r="BI30" s="2">
        <v>1</v>
      </c>
      <c r="BJ30" s="2" t="s">
        <v>3</v>
      </c>
      <c r="BK30" s="2"/>
      <c r="BL30" s="2"/>
      <c r="BM30" s="2">
        <v>63001</v>
      </c>
      <c r="BN30" s="2">
        <v>0</v>
      </c>
      <c r="BO30" s="2" t="s">
        <v>3</v>
      </c>
      <c r="BP30" s="2">
        <v>0</v>
      </c>
      <c r="BQ30" s="2">
        <v>6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90</v>
      </c>
      <c r="CA30" s="2">
        <v>45</v>
      </c>
      <c r="CB30" s="2" t="s">
        <v>3</v>
      </c>
      <c r="CC30" s="2"/>
      <c r="CD30" s="2"/>
      <c r="CE30" s="2">
        <v>0</v>
      </c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8"/>
        <v>0</v>
      </c>
      <c r="CQ30" s="2">
        <f t="shared" si="39"/>
        <v>0</v>
      </c>
      <c r="CR30" s="2">
        <f>(((ET30)*BB30-(EU30)*BS30)+AE30*BS30)</f>
        <v>0</v>
      </c>
      <c r="CS30" s="2">
        <f t="shared" si="40"/>
        <v>0</v>
      </c>
      <c r="CT30" s="2">
        <f t="shared" si="41"/>
        <v>0</v>
      </c>
      <c r="CU30" s="2">
        <f t="shared" si="42"/>
        <v>0</v>
      </c>
      <c r="CV30" s="2">
        <f t="shared" si="43"/>
        <v>0</v>
      </c>
      <c r="CW30" s="2">
        <f t="shared" si="44"/>
        <v>0</v>
      </c>
      <c r="CX30" s="2">
        <f t="shared" si="45"/>
        <v>0</v>
      </c>
      <c r="CY30" s="2">
        <f t="shared" si="46"/>
        <v>0</v>
      </c>
      <c r="CZ30" s="2">
        <f t="shared" si="47"/>
        <v>0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1009</v>
      </c>
      <c r="DV30" s="2" t="s">
        <v>36</v>
      </c>
      <c r="DW30" s="2" t="s">
        <v>36</v>
      </c>
      <c r="DX30" s="2">
        <v>1000</v>
      </c>
      <c r="DY30" s="2"/>
      <c r="DZ30" s="2" t="s">
        <v>3</v>
      </c>
      <c r="EA30" s="2" t="s">
        <v>3</v>
      </c>
      <c r="EB30" s="2" t="s">
        <v>3</v>
      </c>
      <c r="EC30" s="2" t="s">
        <v>3</v>
      </c>
      <c r="ED30" s="2"/>
      <c r="EE30" s="2">
        <v>55471797</v>
      </c>
      <c r="EF30" s="2">
        <v>6</v>
      </c>
      <c r="EG30" s="2" t="s">
        <v>26</v>
      </c>
      <c r="EH30" s="2">
        <v>97</v>
      </c>
      <c r="EI30" s="2" t="s">
        <v>27</v>
      </c>
      <c r="EJ30" s="2">
        <v>1</v>
      </c>
      <c r="EK30" s="2">
        <v>63001</v>
      </c>
      <c r="EL30" s="2" t="s">
        <v>28</v>
      </c>
      <c r="EM30" s="2" t="s">
        <v>29</v>
      </c>
      <c r="EN30" s="2"/>
      <c r="EO30" s="2" t="s">
        <v>3</v>
      </c>
      <c r="EP30" s="2"/>
      <c r="EQ30" s="2">
        <v>0</v>
      </c>
      <c r="ER30" s="2">
        <v>0</v>
      </c>
      <c r="ES30" s="2">
        <v>0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8"/>
        <v>0</v>
      </c>
      <c r="FS30" s="2">
        <v>0</v>
      </c>
      <c r="FT30" s="2"/>
      <c r="FU30" s="2"/>
      <c r="FV30" s="2"/>
      <c r="FW30" s="2"/>
      <c r="FX30" s="2">
        <v>90</v>
      </c>
      <c r="FY30" s="2">
        <v>45</v>
      </c>
      <c r="FZ30" s="2"/>
      <c r="GA30" s="2" t="s">
        <v>3</v>
      </c>
      <c r="GB30" s="2"/>
      <c r="GC30" s="2"/>
      <c r="GD30" s="2">
        <v>1</v>
      </c>
      <c r="GE30" s="2"/>
      <c r="GF30" s="2">
        <v>-1296435862</v>
      </c>
      <c r="GG30" s="2">
        <v>2</v>
      </c>
      <c r="GH30" s="2">
        <v>1</v>
      </c>
      <c r="GI30" s="2">
        <v>-2</v>
      </c>
      <c r="GJ30" s="2">
        <v>0</v>
      </c>
      <c r="GK30" s="2">
        <v>0</v>
      </c>
      <c r="GL30" s="2">
        <f t="shared" si="49"/>
        <v>0</v>
      </c>
      <c r="GM30" s="2">
        <f t="shared" si="50"/>
        <v>0</v>
      </c>
      <c r="GN30" s="2">
        <f t="shared" si="51"/>
        <v>0</v>
      </c>
      <c r="GO30" s="2">
        <f t="shared" si="52"/>
        <v>0</v>
      </c>
      <c r="GP30" s="2">
        <f t="shared" si="53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4"/>
        <v>0</v>
      </c>
      <c r="GW30" s="2">
        <v>1</v>
      </c>
      <c r="GX30" s="2">
        <f t="shared" si="55"/>
        <v>0</v>
      </c>
      <c r="GY30" s="2"/>
      <c r="GZ30" s="2"/>
      <c r="HA30" s="2">
        <v>0</v>
      </c>
      <c r="HB30" s="2">
        <v>0</v>
      </c>
      <c r="HC30" s="2">
        <f t="shared" si="56"/>
        <v>0</v>
      </c>
      <c r="HD30" s="2"/>
      <c r="HE30" s="2" t="s">
        <v>3</v>
      </c>
      <c r="HF30" s="2" t="s">
        <v>3</v>
      </c>
      <c r="HG30" s="2"/>
      <c r="HH30" s="2"/>
      <c r="HI30" s="2"/>
      <c r="HJ30" s="2"/>
      <c r="HK30" s="2"/>
      <c r="HL30" s="2"/>
      <c r="HM30" s="2" t="s">
        <v>3</v>
      </c>
      <c r="HN30" s="2" t="s">
        <v>30</v>
      </c>
      <c r="HO30" s="2" t="s">
        <v>31</v>
      </c>
      <c r="HP30" s="2" t="s">
        <v>28</v>
      </c>
      <c r="HQ30" s="2" t="s">
        <v>28</v>
      </c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45" ht="12.75">
      <c r="A31">
        <v>18</v>
      </c>
      <c r="B31">
        <v>1</v>
      </c>
      <c r="C31">
        <v>4</v>
      </c>
      <c r="E31" t="s">
        <v>33</v>
      </c>
      <c r="F31" t="s">
        <v>34</v>
      </c>
      <c r="G31" t="s">
        <v>35</v>
      </c>
      <c r="H31" t="s">
        <v>36</v>
      </c>
      <c r="I31">
        <f>I29*J31</f>
        <v>0.03916</v>
      </c>
      <c r="J31">
        <v>0.356</v>
      </c>
      <c r="K31">
        <v>0.356</v>
      </c>
      <c r="O31">
        <f t="shared" si="21"/>
        <v>0</v>
      </c>
      <c r="P31">
        <f t="shared" si="22"/>
        <v>0</v>
      </c>
      <c r="Q31">
        <f t="shared" si="23"/>
        <v>0</v>
      </c>
      <c r="R31">
        <f t="shared" si="24"/>
        <v>0</v>
      </c>
      <c r="S31">
        <f t="shared" si="25"/>
        <v>0</v>
      </c>
      <c r="T31">
        <f t="shared" si="26"/>
        <v>0</v>
      </c>
      <c r="U31">
        <f t="shared" si="27"/>
        <v>0</v>
      </c>
      <c r="V31">
        <f t="shared" si="28"/>
        <v>0</v>
      </c>
      <c r="W31">
        <f t="shared" si="29"/>
        <v>0</v>
      </c>
      <c r="X31">
        <f t="shared" si="30"/>
        <v>0</v>
      </c>
      <c r="Y31">
        <f t="shared" si="31"/>
        <v>0</v>
      </c>
      <c r="AA31">
        <v>55722484</v>
      </c>
      <c r="AB31">
        <f t="shared" si="32"/>
        <v>0</v>
      </c>
      <c r="AC31">
        <f t="shared" si="33"/>
        <v>0</v>
      </c>
      <c r="AD31">
        <f>ROUND((((ET31)-(EU31))+AE31),2)</f>
        <v>0</v>
      </c>
      <c r="AE31">
        <f t="shared" si="34"/>
        <v>0</v>
      </c>
      <c r="AF31">
        <f t="shared" si="34"/>
        <v>0</v>
      </c>
      <c r="AG31">
        <f t="shared" si="35"/>
        <v>0</v>
      </c>
      <c r="AH31">
        <f t="shared" si="36"/>
        <v>0</v>
      </c>
      <c r="AI31">
        <f t="shared" si="36"/>
        <v>0</v>
      </c>
      <c r="AJ31">
        <f t="shared" si="37"/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90</v>
      </c>
      <c r="AU31">
        <v>45</v>
      </c>
      <c r="AV31">
        <v>1</v>
      </c>
      <c r="AW31">
        <v>1</v>
      </c>
      <c r="AZ31">
        <v>1</v>
      </c>
      <c r="BA31">
        <v>1</v>
      </c>
      <c r="BB31">
        <v>1</v>
      </c>
      <c r="BC31">
        <v>6.82</v>
      </c>
      <c r="BH31">
        <v>3</v>
      </c>
      <c r="BI31">
        <v>1</v>
      </c>
      <c r="BM31">
        <v>63001</v>
      </c>
      <c r="BN31">
        <v>0</v>
      </c>
      <c r="BO31" t="s">
        <v>32</v>
      </c>
      <c r="BP31">
        <v>1</v>
      </c>
      <c r="BQ31">
        <v>6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90</v>
      </c>
      <c r="CA31">
        <v>45</v>
      </c>
      <c r="CE31">
        <v>0</v>
      </c>
      <c r="CF31">
        <v>0</v>
      </c>
      <c r="CG31">
        <v>0</v>
      </c>
      <c r="CM31">
        <v>0</v>
      </c>
      <c r="CO31">
        <v>0</v>
      </c>
      <c r="CP31">
        <f t="shared" si="38"/>
        <v>0</v>
      </c>
      <c r="CQ31">
        <f t="shared" si="39"/>
        <v>0</v>
      </c>
      <c r="CR31">
        <f>(((ET31)*BB31-(EU31)*BS31)+AE31*BS31)</f>
        <v>0</v>
      </c>
      <c r="CS31">
        <f t="shared" si="40"/>
        <v>0</v>
      </c>
      <c r="CT31">
        <f t="shared" si="41"/>
        <v>0</v>
      </c>
      <c r="CU31">
        <f t="shared" si="42"/>
        <v>0</v>
      </c>
      <c r="CV31">
        <f t="shared" si="43"/>
        <v>0</v>
      </c>
      <c r="CW31">
        <f t="shared" si="44"/>
        <v>0</v>
      </c>
      <c r="CX31">
        <f t="shared" si="45"/>
        <v>0</v>
      </c>
      <c r="CY31">
        <f t="shared" si="46"/>
        <v>0</v>
      </c>
      <c r="CZ31">
        <f t="shared" si="47"/>
        <v>0</v>
      </c>
      <c r="DN31">
        <v>0</v>
      </c>
      <c r="DO31">
        <v>0</v>
      </c>
      <c r="DP31">
        <v>1</v>
      </c>
      <c r="DQ31">
        <v>1</v>
      </c>
      <c r="DU31">
        <v>1009</v>
      </c>
      <c r="DV31" t="s">
        <v>36</v>
      </c>
      <c r="DW31" t="s">
        <v>36</v>
      </c>
      <c r="DX31">
        <v>1000</v>
      </c>
      <c r="EE31">
        <v>55471797</v>
      </c>
      <c r="EF31">
        <v>6</v>
      </c>
      <c r="EG31" t="s">
        <v>26</v>
      </c>
      <c r="EH31">
        <v>97</v>
      </c>
      <c r="EI31" t="s">
        <v>27</v>
      </c>
      <c r="EJ31">
        <v>1</v>
      </c>
      <c r="EK31">
        <v>63001</v>
      </c>
      <c r="EL31" t="s">
        <v>28</v>
      </c>
      <c r="EM31" t="s">
        <v>29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FQ31">
        <v>0</v>
      </c>
      <c r="FR31">
        <f t="shared" si="48"/>
        <v>0</v>
      </c>
      <c r="FS31">
        <v>0</v>
      </c>
      <c r="FX31">
        <v>90</v>
      </c>
      <c r="FY31">
        <v>45</v>
      </c>
      <c r="GD31">
        <v>1</v>
      </c>
      <c r="GF31">
        <v>-1296435862</v>
      </c>
      <c r="GG31">
        <v>2</v>
      </c>
      <c r="GH31">
        <v>1</v>
      </c>
      <c r="GI31">
        <v>4</v>
      </c>
      <c r="GJ31">
        <v>0</v>
      </c>
      <c r="GK31">
        <v>0</v>
      </c>
      <c r="GL31">
        <f t="shared" si="49"/>
        <v>0</v>
      </c>
      <c r="GM31">
        <f t="shared" si="50"/>
        <v>0</v>
      </c>
      <c r="GN31">
        <f t="shared" si="51"/>
        <v>0</v>
      </c>
      <c r="GO31">
        <f t="shared" si="52"/>
        <v>0</v>
      </c>
      <c r="GP31">
        <f t="shared" si="53"/>
        <v>0</v>
      </c>
      <c r="GR31">
        <v>0</v>
      </c>
      <c r="GS31">
        <v>3</v>
      </c>
      <c r="GT31">
        <v>0</v>
      </c>
      <c r="GV31">
        <f t="shared" si="54"/>
        <v>0</v>
      </c>
      <c r="GW31">
        <v>1</v>
      </c>
      <c r="GX31">
        <f t="shared" si="55"/>
        <v>0</v>
      </c>
      <c r="HA31">
        <v>0</v>
      </c>
      <c r="HB31">
        <v>0</v>
      </c>
      <c r="HC31">
        <f t="shared" si="56"/>
        <v>0</v>
      </c>
      <c r="HN31" t="s">
        <v>30</v>
      </c>
      <c r="HO31" t="s">
        <v>31</v>
      </c>
      <c r="HP31" t="s">
        <v>28</v>
      </c>
      <c r="HQ31" t="s">
        <v>28</v>
      </c>
      <c r="IK31">
        <v>0</v>
      </c>
    </row>
    <row r="32" spans="1:255" ht="12.75">
      <c r="A32" s="2">
        <v>17</v>
      </c>
      <c r="B32" s="2">
        <v>1</v>
      </c>
      <c r="C32" s="2">
        <f>ROW(SmtRes!A20)</f>
        <v>20</v>
      </c>
      <c r="D32" s="2">
        <f>ROW(EtalonRes!A9)</f>
        <v>9</v>
      </c>
      <c r="E32" s="2" t="s">
        <v>37</v>
      </c>
      <c r="F32" s="2" t="s">
        <v>38</v>
      </c>
      <c r="G32" s="2" t="s">
        <v>39</v>
      </c>
      <c r="H32" s="2" t="s">
        <v>24</v>
      </c>
      <c r="I32" s="2">
        <f>ROUND(236/100,7)</f>
        <v>2.36</v>
      </c>
      <c r="J32" s="2">
        <v>0</v>
      </c>
      <c r="K32" s="2">
        <f>ROUND(236/100,7)</f>
        <v>2.36</v>
      </c>
      <c r="L32" s="2"/>
      <c r="M32" s="2"/>
      <c r="N32" s="2"/>
      <c r="O32" s="2">
        <f t="shared" si="21"/>
        <v>16424.75</v>
      </c>
      <c r="P32" s="2">
        <f t="shared" si="22"/>
        <v>12591.54</v>
      </c>
      <c r="Q32" s="2">
        <f t="shared" si="23"/>
        <v>957.9</v>
      </c>
      <c r="R32" s="2">
        <f t="shared" si="24"/>
        <v>187.01</v>
      </c>
      <c r="S32" s="2">
        <f t="shared" si="25"/>
        <v>2875.31</v>
      </c>
      <c r="T32" s="2">
        <f t="shared" si="26"/>
        <v>0</v>
      </c>
      <c r="U32" s="2">
        <f t="shared" si="27"/>
        <v>305.884084</v>
      </c>
      <c r="V32" s="2">
        <f t="shared" si="28"/>
        <v>15.752999999999998</v>
      </c>
      <c r="W32" s="2">
        <f t="shared" si="29"/>
        <v>0</v>
      </c>
      <c r="X32" s="2">
        <f t="shared" si="30"/>
        <v>2756.09</v>
      </c>
      <c r="Y32" s="2">
        <f t="shared" si="31"/>
        <v>1275.46</v>
      </c>
      <c r="Z32" s="2"/>
      <c r="AA32" s="2">
        <v>55722483</v>
      </c>
      <c r="AB32" s="2">
        <f t="shared" si="32"/>
        <v>6959.64</v>
      </c>
      <c r="AC32" s="2">
        <f t="shared" si="33"/>
        <v>5335.4</v>
      </c>
      <c r="AD32" s="2">
        <f>ROUND(((((ET32*ROUND(1.25,7)))-((EU32*ROUND(1.25,7))))+AE32),2)</f>
        <v>405.89</v>
      </c>
      <c r="AE32" s="2">
        <f>ROUND(((EU32*ROUND(1.25,7))),2)</f>
        <v>79.24</v>
      </c>
      <c r="AF32" s="2">
        <f>ROUND(((EV32*ROUND((1.15*1.1),7))),2)</f>
        <v>1218.35</v>
      </c>
      <c r="AG32" s="2">
        <f t="shared" si="35"/>
        <v>0</v>
      </c>
      <c r="AH32" s="2">
        <f>((EW32*ROUND((1.15*1.1),7)))</f>
        <v>129.6119</v>
      </c>
      <c r="AI32" s="2">
        <f>((EX32*ROUND(1.25,7)))</f>
        <v>6.675</v>
      </c>
      <c r="AJ32" s="2">
        <f t="shared" si="37"/>
        <v>0</v>
      </c>
      <c r="AK32" s="2">
        <v>6623.23</v>
      </c>
      <c r="AL32" s="2">
        <v>5335.4</v>
      </c>
      <c r="AM32" s="2">
        <v>324.71</v>
      </c>
      <c r="AN32" s="2">
        <v>63.39</v>
      </c>
      <c r="AO32" s="2">
        <v>963.12</v>
      </c>
      <c r="AP32" s="2">
        <v>0</v>
      </c>
      <c r="AQ32" s="2">
        <v>102.46</v>
      </c>
      <c r="AR32" s="2">
        <v>5.34</v>
      </c>
      <c r="AS32" s="2">
        <v>0</v>
      </c>
      <c r="AT32" s="2">
        <v>90</v>
      </c>
      <c r="AU32" s="2">
        <v>41.65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1</v>
      </c>
      <c r="BJ32" s="2" t="s">
        <v>40</v>
      </c>
      <c r="BK32" s="2"/>
      <c r="BL32" s="2"/>
      <c r="BM32" s="2">
        <v>15001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100</v>
      </c>
      <c r="CA32" s="2">
        <v>49</v>
      </c>
      <c r="CB32" s="2" t="s">
        <v>3</v>
      </c>
      <c r="CC32" s="2"/>
      <c r="CD32" s="2"/>
      <c r="CE32" s="2">
        <v>0</v>
      </c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364</v>
      </c>
      <c r="CO32" s="2">
        <v>0</v>
      </c>
      <c r="CP32" s="2">
        <f t="shared" si="38"/>
        <v>16424.75</v>
      </c>
      <c r="CQ32" s="2">
        <f t="shared" si="39"/>
        <v>5335.4</v>
      </c>
      <c r="CR32" s="2">
        <f>((((ET32*ROUND(1.25,7)))*BB32-((EU32*ROUND(1.25,7)))*BS32)+AE32*BS32)</f>
        <v>405.89</v>
      </c>
      <c r="CS32" s="2">
        <f t="shared" si="40"/>
        <v>79.24</v>
      </c>
      <c r="CT32" s="2">
        <f t="shared" si="41"/>
        <v>1218.35</v>
      </c>
      <c r="CU32" s="2">
        <f t="shared" si="42"/>
        <v>0</v>
      </c>
      <c r="CV32" s="2">
        <f t="shared" si="43"/>
        <v>129.6119</v>
      </c>
      <c r="CW32" s="2">
        <f t="shared" si="44"/>
        <v>6.675</v>
      </c>
      <c r="CX32" s="2">
        <f t="shared" si="45"/>
        <v>0</v>
      </c>
      <c r="CY32" s="2">
        <f t="shared" si="46"/>
        <v>2756.0879999999997</v>
      </c>
      <c r="CZ32" s="2">
        <f t="shared" si="47"/>
        <v>1275.4562799999999</v>
      </c>
      <c r="DA32" s="2"/>
      <c r="DB32" s="2"/>
      <c r="DC32" s="2" t="s">
        <v>3</v>
      </c>
      <c r="DD32" s="2" t="s">
        <v>3</v>
      </c>
      <c r="DE32" s="2" t="s">
        <v>41</v>
      </c>
      <c r="DF32" s="2" t="s">
        <v>41</v>
      </c>
      <c r="DG32" s="2" t="s">
        <v>42</v>
      </c>
      <c r="DH32" s="2" t="s">
        <v>3</v>
      </c>
      <c r="DI32" s="2" t="s">
        <v>42</v>
      </c>
      <c r="DJ32" s="2" t="s">
        <v>41</v>
      </c>
      <c r="DK32" s="2" t="s">
        <v>3</v>
      </c>
      <c r="DL32" s="2" t="s">
        <v>43</v>
      </c>
      <c r="DM32" s="2" t="s">
        <v>44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1005</v>
      </c>
      <c r="DV32" s="2" t="s">
        <v>24</v>
      </c>
      <c r="DW32" s="2" t="s">
        <v>24</v>
      </c>
      <c r="DX32" s="2">
        <v>100</v>
      </c>
      <c r="DY32" s="2"/>
      <c r="DZ32" s="2" t="s">
        <v>3</v>
      </c>
      <c r="EA32" s="2" t="s">
        <v>3</v>
      </c>
      <c r="EB32" s="2" t="s">
        <v>3</v>
      </c>
      <c r="EC32" s="2" t="s">
        <v>3</v>
      </c>
      <c r="ED32" s="2"/>
      <c r="EE32" s="2">
        <v>55471694</v>
      </c>
      <c r="EF32" s="2">
        <v>2</v>
      </c>
      <c r="EG32" s="2" t="s">
        <v>45</v>
      </c>
      <c r="EH32" s="2">
        <v>15</v>
      </c>
      <c r="EI32" s="2" t="s">
        <v>46</v>
      </c>
      <c r="EJ32" s="2">
        <v>1</v>
      </c>
      <c r="EK32" s="2">
        <v>15001</v>
      </c>
      <c r="EL32" s="2" t="s">
        <v>46</v>
      </c>
      <c r="EM32" s="2" t="s">
        <v>47</v>
      </c>
      <c r="EN32" s="2"/>
      <c r="EO32" s="2" t="s">
        <v>48</v>
      </c>
      <c r="EP32" s="2"/>
      <c r="EQ32" s="2">
        <v>0</v>
      </c>
      <c r="ER32" s="2">
        <v>6623.23</v>
      </c>
      <c r="ES32" s="2">
        <v>5335.4</v>
      </c>
      <c r="ET32" s="2">
        <v>324.71</v>
      </c>
      <c r="EU32" s="2">
        <v>63.39</v>
      </c>
      <c r="EV32" s="2">
        <v>963.12</v>
      </c>
      <c r="EW32" s="2">
        <v>102.46</v>
      </c>
      <c r="EX32" s="2">
        <v>5.34</v>
      </c>
      <c r="EY32" s="2">
        <v>0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8"/>
        <v>0</v>
      </c>
      <c r="FS32" s="2">
        <v>0</v>
      </c>
      <c r="FT32" s="2"/>
      <c r="FU32" s="2"/>
      <c r="FV32" s="2"/>
      <c r="FW32" s="2"/>
      <c r="FX32" s="2">
        <v>90</v>
      </c>
      <c r="FY32" s="2">
        <v>41.65</v>
      </c>
      <c r="FZ32" s="2"/>
      <c r="GA32" s="2" t="s">
        <v>3</v>
      </c>
      <c r="GB32" s="2"/>
      <c r="GC32" s="2"/>
      <c r="GD32" s="2">
        <v>1</v>
      </c>
      <c r="GE32" s="2"/>
      <c r="GF32" s="2">
        <v>-54830269</v>
      </c>
      <c r="GG32" s="2">
        <v>2</v>
      </c>
      <c r="GH32" s="2">
        <v>1</v>
      </c>
      <c r="GI32" s="2">
        <v>-2</v>
      </c>
      <c r="GJ32" s="2">
        <v>0</v>
      </c>
      <c r="GK32" s="2">
        <v>0</v>
      </c>
      <c r="GL32" s="2">
        <f t="shared" si="49"/>
        <v>0</v>
      </c>
      <c r="GM32" s="2">
        <f t="shared" si="50"/>
        <v>20456.3</v>
      </c>
      <c r="GN32" s="2">
        <f t="shared" si="51"/>
        <v>20456.3</v>
      </c>
      <c r="GO32" s="2">
        <f t="shared" si="52"/>
        <v>0</v>
      </c>
      <c r="GP32" s="2">
        <f t="shared" si="53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4"/>
        <v>0</v>
      </c>
      <c r="GW32" s="2">
        <v>1</v>
      </c>
      <c r="GX32" s="2">
        <f t="shared" si="55"/>
        <v>0</v>
      </c>
      <c r="GY32" s="2"/>
      <c r="GZ32" s="2"/>
      <c r="HA32" s="2">
        <v>0</v>
      </c>
      <c r="HB32" s="2">
        <v>0</v>
      </c>
      <c r="HC32" s="2">
        <f t="shared" si="56"/>
        <v>0</v>
      </c>
      <c r="HD32" s="2"/>
      <c r="HE32" s="2" t="s">
        <v>3</v>
      </c>
      <c r="HF32" s="2" t="s">
        <v>3</v>
      </c>
      <c r="HG32" s="2"/>
      <c r="HH32" s="2"/>
      <c r="HI32" s="2"/>
      <c r="HJ32" s="2"/>
      <c r="HK32" s="2"/>
      <c r="HL32" s="2"/>
      <c r="HM32" s="2" t="s">
        <v>3</v>
      </c>
      <c r="HN32" s="2" t="s">
        <v>49</v>
      </c>
      <c r="HO32" s="2" t="s">
        <v>50</v>
      </c>
      <c r="HP32" s="2" t="s">
        <v>46</v>
      </c>
      <c r="HQ32" s="2" t="s">
        <v>46</v>
      </c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45" ht="12.75">
      <c r="A33">
        <v>17</v>
      </c>
      <c r="B33">
        <v>1</v>
      </c>
      <c r="C33">
        <f>ROW(SmtRes!A36)</f>
        <v>36</v>
      </c>
      <c r="D33">
        <f>ROW(EtalonRes!A14)</f>
        <v>14</v>
      </c>
      <c r="E33" t="s">
        <v>37</v>
      </c>
      <c r="F33" t="s">
        <v>38</v>
      </c>
      <c r="G33" t="s">
        <v>39</v>
      </c>
      <c r="H33" t="s">
        <v>24</v>
      </c>
      <c r="I33">
        <f>ROUND(236/100,7)</f>
        <v>2.36</v>
      </c>
      <c r="J33">
        <v>0</v>
      </c>
      <c r="K33">
        <f>ROUND(236/100,7)</f>
        <v>2.36</v>
      </c>
      <c r="O33">
        <f t="shared" si="21"/>
        <v>209697.14</v>
      </c>
      <c r="P33">
        <f t="shared" si="22"/>
        <v>85874.33</v>
      </c>
      <c r="Q33">
        <f t="shared" si="23"/>
        <v>12864.75</v>
      </c>
      <c r="R33">
        <f t="shared" si="24"/>
        <v>7216.58</v>
      </c>
      <c r="S33">
        <f t="shared" si="25"/>
        <v>110958.06</v>
      </c>
      <c r="T33">
        <f t="shared" si="26"/>
        <v>0</v>
      </c>
      <c r="U33">
        <f t="shared" si="27"/>
        <v>305.884084</v>
      </c>
      <c r="V33">
        <f t="shared" si="28"/>
        <v>15.752999999999998</v>
      </c>
      <c r="W33">
        <f t="shared" si="29"/>
        <v>0</v>
      </c>
      <c r="X33">
        <f t="shared" si="30"/>
        <v>106357.18</v>
      </c>
      <c r="Y33">
        <f t="shared" si="31"/>
        <v>49219.74</v>
      </c>
      <c r="AA33">
        <v>55722484</v>
      </c>
      <c r="AB33">
        <f t="shared" si="32"/>
        <v>6959.64</v>
      </c>
      <c r="AC33">
        <f t="shared" si="33"/>
        <v>5335.4</v>
      </c>
      <c r="AD33">
        <f>ROUND(((((ET33*ROUND(1.25,7)))-((EU33*ROUND(1.25,7))))+AE33),2)</f>
        <v>405.89</v>
      </c>
      <c r="AE33">
        <f>ROUND(((EU33*ROUND(1.25,7))),2)</f>
        <v>79.24</v>
      </c>
      <c r="AF33">
        <f>ROUND(((EV33*ROUND((1.15*1.1),7))),2)</f>
        <v>1218.35</v>
      </c>
      <c r="AG33">
        <f t="shared" si="35"/>
        <v>0</v>
      </c>
      <c r="AH33">
        <f>((EW33*ROUND((1.15*1.1),7)))</f>
        <v>129.6119</v>
      </c>
      <c r="AI33">
        <f>((EX33*ROUND(1.25,7)))</f>
        <v>6.675</v>
      </c>
      <c r="AJ33">
        <f t="shared" si="37"/>
        <v>0</v>
      </c>
      <c r="AK33">
        <v>6623.23</v>
      </c>
      <c r="AL33">
        <v>5335.4</v>
      </c>
      <c r="AM33">
        <v>324.71</v>
      </c>
      <c r="AN33">
        <v>63.39</v>
      </c>
      <c r="AO33">
        <v>963.12</v>
      </c>
      <c r="AP33">
        <v>0</v>
      </c>
      <c r="AQ33">
        <v>102.46</v>
      </c>
      <c r="AR33">
        <v>5.34</v>
      </c>
      <c r="AS33">
        <v>0</v>
      </c>
      <c r="AT33">
        <v>90</v>
      </c>
      <c r="AU33">
        <v>41.65</v>
      </c>
      <c r="AV33">
        <v>1</v>
      </c>
      <c r="AW33">
        <v>1</v>
      </c>
      <c r="AZ33">
        <v>1</v>
      </c>
      <c r="BA33">
        <v>38.59</v>
      </c>
      <c r="BB33">
        <v>13.43</v>
      </c>
      <c r="BC33">
        <v>6.82</v>
      </c>
      <c r="BH33">
        <v>0</v>
      </c>
      <c r="BI33">
        <v>1</v>
      </c>
      <c r="BJ33" t="s">
        <v>40</v>
      </c>
      <c r="BM33">
        <v>15001</v>
      </c>
      <c r="BN33">
        <v>0</v>
      </c>
      <c r="BO33" t="s">
        <v>32</v>
      </c>
      <c r="BP33">
        <v>1</v>
      </c>
      <c r="BQ33">
        <v>2</v>
      </c>
      <c r="BR33">
        <v>0</v>
      </c>
      <c r="BS33">
        <v>38.59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100</v>
      </c>
      <c r="CA33">
        <v>49</v>
      </c>
      <c r="CE33">
        <v>0</v>
      </c>
      <c r="CF33">
        <v>0</v>
      </c>
      <c r="CG33">
        <v>0</v>
      </c>
      <c r="CM33">
        <v>0</v>
      </c>
      <c r="CN33" t="s">
        <v>364</v>
      </c>
      <c r="CO33">
        <v>0</v>
      </c>
      <c r="CP33">
        <f t="shared" si="38"/>
        <v>209697.14</v>
      </c>
      <c r="CQ33">
        <f t="shared" si="39"/>
        <v>36387.428</v>
      </c>
      <c r="CR33">
        <f>((((ET33*ROUND(1.25,7)))*BB33-((EU33*ROUND(1.25,7)))*BS33)+AE33*BS33)</f>
        <v>5451.1656</v>
      </c>
      <c r="CS33">
        <f t="shared" si="40"/>
        <v>3057.8716</v>
      </c>
      <c r="CT33">
        <f t="shared" si="41"/>
        <v>47016.1265</v>
      </c>
      <c r="CU33">
        <f t="shared" si="42"/>
        <v>0</v>
      </c>
      <c r="CV33">
        <f t="shared" si="43"/>
        <v>129.6119</v>
      </c>
      <c r="CW33">
        <f t="shared" si="44"/>
        <v>6.675</v>
      </c>
      <c r="CX33">
        <f t="shared" si="45"/>
        <v>0</v>
      </c>
      <c r="CY33">
        <f t="shared" si="46"/>
        <v>106357.17599999999</v>
      </c>
      <c r="CZ33">
        <f t="shared" si="47"/>
        <v>49219.73756</v>
      </c>
      <c r="DE33" t="s">
        <v>41</v>
      </c>
      <c r="DF33" t="s">
        <v>41</v>
      </c>
      <c r="DG33" t="s">
        <v>42</v>
      </c>
      <c r="DI33" t="s">
        <v>42</v>
      </c>
      <c r="DJ33" t="s">
        <v>41</v>
      </c>
      <c r="DL33" t="s">
        <v>43</v>
      </c>
      <c r="DM33" t="s">
        <v>44</v>
      </c>
      <c r="DN33">
        <v>0</v>
      </c>
      <c r="DO33">
        <v>0</v>
      </c>
      <c r="DP33">
        <v>1</v>
      </c>
      <c r="DQ33">
        <v>1</v>
      </c>
      <c r="DU33">
        <v>1005</v>
      </c>
      <c r="DV33" t="s">
        <v>24</v>
      </c>
      <c r="DW33" t="s">
        <v>24</v>
      </c>
      <c r="DX33">
        <v>100</v>
      </c>
      <c r="EE33">
        <v>55471694</v>
      </c>
      <c r="EF33">
        <v>2</v>
      </c>
      <c r="EG33" t="s">
        <v>45</v>
      </c>
      <c r="EH33">
        <v>15</v>
      </c>
      <c r="EI33" t="s">
        <v>46</v>
      </c>
      <c r="EJ33">
        <v>1</v>
      </c>
      <c r="EK33">
        <v>15001</v>
      </c>
      <c r="EL33" t="s">
        <v>46</v>
      </c>
      <c r="EM33" t="s">
        <v>47</v>
      </c>
      <c r="EO33" t="s">
        <v>48</v>
      </c>
      <c r="EQ33">
        <v>0</v>
      </c>
      <c r="ER33">
        <v>6623.23</v>
      </c>
      <c r="ES33">
        <v>5335.4</v>
      </c>
      <c r="ET33">
        <v>324.71</v>
      </c>
      <c r="EU33">
        <v>63.39</v>
      </c>
      <c r="EV33">
        <v>963.12</v>
      </c>
      <c r="EW33">
        <v>102.46</v>
      </c>
      <c r="EX33">
        <v>5.34</v>
      </c>
      <c r="EY33">
        <v>0</v>
      </c>
      <c r="FQ33">
        <v>0</v>
      </c>
      <c r="FR33">
        <f t="shared" si="48"/>
        <v>0</v>
      </c>
      <c r="FS33">
        <v>0</v>
      </c>
      <c r="FX33">
        <v>90</v>
      </c>
      <c r="FY33">
        <v>41.65</v>
      </c>
      <c r="GD33">
        <v>1</v>
      </c>
      <c r="GF33">
        <v>-54830269</v>
      </c>
      <c r="GG33">
        <v>2</v>
      </c>
      <c r="GH33">
        <v>1</v>
      </c>
      <c r="GI33">
        <v>4</v>
      </c>
      <c r="GJ33">
        <v>0</v>
      </c>
      <c r="GK33">
        <v>0</v>
      </c>
      <c r="GL33">
        <f t="shared" si="49"/>
        <v>0</v>
      </c>
      <c r="GM33">
        <f t="shared" si="50"/>
        <v>365274.06</v>
      </c>
      <c r="GN33">
        <f t="shared" si="51"/>
        <v>365274.06</v>
      </c>
      <c r="GO33">
        <f t="shared" si="52"/>
        <v>0</v>
      </c>
      <c r="GP33">
        <f t="shared" si="53"/>
        <v>0</v>
      </c>
      <c r="GR33">
        <v>0</v>
      </c>
      <c r="GS33">
        <v>3</v>
      </c>
      <c r="GT33">
        <v>0</v>
      </c>
      <c r="GV33">
        <f t="shared" si="54"/>
        <v>0</v>
      </c>
      <c r="GW33">
        <v>1</v>
      </c>
      <c r="GX33">
        <f t="shared" si="55"/>
        <v>0</v>
      </c>
      <c r="HA33">
        <v>0</v>
      </c>
      <c r="HB33">
        <v>0</v>
      </c>
      <c r="HC33">
        <f t="shared" si="56"/>
        <v>0</v>
      </c>
      <c r="HN33" t="s">
        <v>49</v>
      </c>
      <c r="HO33" t="s">
        <v>50</v>
      </c>
      <c r="HP33" t="s">
        <v>46</v>
      </c>
      <c r="HQ33" t="s">
        <v>46</v>
      </c>
      <c r="IK33">
        <v>0</v>
      </c>
    </row>
    <row r="34" spans="1:255" ht="12.75">
      <c r="A34" s="2">
        <v>18</v>
      </c>
      <c r="B34" s="2">
        <v>1</v>
      </c>
      <c r="C34" s="2">
        <v>11</v>
      </c>
      <c r="D34" s="2"/>
      <c r="E34" s="2" t="s">
        <v>51</v>
      </c>
      <c r="F34" s="2" t="s">
        <v>52</v>
      </c>
      <c r="G34" s="2" t="s">
        <v>53</v>
      </c>
      <c r="H34" s="2" t="s">
        <v>54</v>
      </c>
      <c r="I34" s="2">
        <f>I32*J34</f>
        <v>32</v>
      </c>
      <c r="J34" s="2">
        <v>13.559322033898306</v>
      </c>
      <c r="K34" s="2">
        <v>13.559322</v>
      </c>
      <c r="L34" s="2"/>
      <c r="M34" s="2"/>
      <c r="N34" s="2"/>
      <c r="O34" s="2">
        <f t="shared" si="21"/>
        <v>0</v>
      </c>
      <c r="P34" s="2">
        <f t="shared" si="22"/>
        <v>0</v>
      </c>
      <c r="Q34" s="2">
        <f t="shared" si="23"/>
        <v>0</v>
      </c>
      <c r="R34" s="2">
        <f t="shared" si="24"/>
        <v>0</v>
      </c>
      <c r="S34" s="2">
        <f t="shared" si="25"/>
        <v>0</v>
      </c>
      <c r="T34" s="2">
        <f t="shared" si="26"/>
        <v>0</v>
      </c>
      <c r="U34" s="2">
        <f t="shared" si="27"/>
        <v>0</v>
      </c>
      <c r="V34" s="2">
        <f t="shared" si="28"/>
        <v>0</v>
      </c>
      <c r="W34" s="2">
        <f t="shared" si="29"/>
        <v>0</v>
      </c>
      <c r="X34" s="2">
        <f t="shared" si="30"/>
        <v>0</v>
      </c>
      <c r="Y34" s="2">
        <f t="shared" si="31"/>
        <v>0</v>
      </c>
      <c r="Z34" s="2"/>
      <c r="AA34" s="2">
        <v>55722483</v>
      </c>
      <c r="AB34" s="2">
        <f t="shared" si="32"/>
        <v>0</v>
      </c>
      <c r="AC34" s="2">
        <f t="shared" si="33"/>
        <v>0</v>
      </c>
      <c r="AD34" s="2">
        <f aca="true" t="shared" si="57" ref="AD34:AD61">ROUND((((ET34)-(EU34))+AE34),2)</f>
        <v>0</v>
      </c>
      <c r="AE34" s="2">
        <f aca="true" t="shared" si="58" ref="AE34:AE61">ROUND((EU34),2)</f>
        <v>0</v>
      </c>
      <c r="AF34" s="2">
        <f aca="true" t="shared" si="59" ref="AF34:AF61">ROUND((EV34),2)</f>
        <v>0</v>
      </c>
      <c r="AG34" s="2">
        <f t="shared" si="35"/>
        <v>0</v>
      </c>
      <c r="AH34" s="2">
        <f aca="true" t="shared" si="60" ref="AH34:AH61">(EW34)</f>
        <v>0</v>
      </c>
      <c r="AI34" s="2">
        <f aca="true" t="shared" si="61" ref="AI34:AI61">(EX34)</f>
        <v>0</v>
      </c>
      <c r="AJ34" s="2">
        <f t="shared" si="37"/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100</v>
      </c>
      <c r="AU34" s="2">
        <v>49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3</v>
      </c>
      <c r="BI34" s="2">
        <v>1</v>
      </c>
      <c r="BJ34" s="2" t="s">
        <v>3</v>
      </c>
      <c r="BK34" s="2"/>
      <c r="BL34" s="2"/>
      <c r="BM34" s="2">
        <v>15001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100</v>
      </c>
      <c r="CA34" s="2">
        <v>49</v>
      </c>
      <c r="CB34" s="2" t="s">
        <v>3</v>
      </c>
      <c r="CC34" s="2"/>
      <c r="CD34" s="2"/>
      <c r="CE34" s="2">
        <v>0</v>
      </c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8"/>
        <v>0</v>
      </c>
      <c r="CQ34" s="2">
        <f t="shared" si="39"/>
        <v>0</v>
      </c>
      <c r="CR34" s="2">
        <f aca="true" t="shared" si="62" ref="CR34:CR61">(((ET34)*BB34-(EU34)*BS34)+AE34*BS34)</f>
        <v>0</v>
      </c>
      <c r="CS34" s="2">
        <f t="shared" si="40"/>
        <v>0</v>
      </c>
      <c r="CT34" s="2">
        <f t="shared" si="41"/>
        <v>0</v>
      </c>
      <c r="CU34" s="2">
        <f t="shared" si="42"/>
        <v>0</v>
      </c>
      <c r="CV34" s="2">
        <f t="shared" si="43"/>
        <v>0</v>
      </c>
      <c r="CW34" s="2">
        <f t="shared" si="44"/>
        <v>0</v>
      </c>
      <c r="CX34" s="2">
        <f t="shared" si="45"/>
        <v>0</v>
      </c>
      <c r="CY34" s="2">
        <f t="shared" si="46"/>
        <v>0</v>
      </c>
      <c r="CZ34" s="2">
        <f t="shared" si="47"/>
        <v>0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54</v>
      </c>
      <c r="DW34" s="2" t="s">
        <v>54</v>
      </c>
      <c r="DX34" s="2">
        <v>1</v>
      </c>
      <c r="DY34" s="2"/>
      <c r="DZ34" s="2" t="s">
        <v>3</v>
      </c>
      <c r="EA34" s="2" t="s">
        <v>3</v>
      </c>
      <c r="EB34" s="2" t="s">
        <v>3</v>
      </c>
      <c r="EC34" s="2" t="s">
        <v>3</v>
      </c>
      <c r="ED34" s="2"/>
      <c r="EE34" s="2">
        <v>55471694</v>
      </c>
      <c r="EF34" s="2">
        <v>2</v>
      </c>
      <c r="EG34" s="2" t="s">
        <v>45</v>
      </c>
      <c r="EH34" s="2">
        <v>15</v>
      </c>
      <c r="EI34" s="2" t="s">
        <v>46</v>
      </c>
      <c r="EJ34" s="2">
        <v>1</v>
      </c>
      <c r="EK34" s="2">
        <v>15001</v>
      </c>
      <c r="EL34" s="2" t="s">
        <v>46</v>
      </c>
      <c r="EM34" s="2" t="s">
        <v>47</v>
      </c>
      <c r="EN34" s="2"/>
      <c r="EO34" s="2" t="s">
        <v>3</v>
      </c>
      <c r="EP34" s="2"/>
      <c r="EQ34" s="2">
        <v>0</v>
      </c>
      <c r="ER34" s="2">
        <v>0</v>
      </c>
      <c r="ES34" s="2">
        <v>0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8"/>
        <v>0</v>
      </c>
      <c r="FS34" s="2">
        <v>0</v>
      </c>
      <c r="FT34" s="2"/>
      <c r="FU34" s="2"/>
      <c r="FV34" s="2"/>
      <c r="FW34" s="2"/>
      <c r="FX34" s="2">
        <v>100</v>
      </c>
      <c r="FY34" s="2">
        <v>49</v>
      </c>
      <c r="FZ34" s="2"/>
      <c r="GA34" s="2" t="s">
        <v>55</v>
      </c>
      <c r="GB34" s="2"/>
      <c r="GC34" s="2"/>
      <c r="GD34" s="2">
        <v>1</v>
      </c>
      <c r="GE34" s="2"/>
      <c r="GF34" s="2">
        <v>-1320945665</v>
      </c>
      <c r="GG34" s="2">
        <v>2</v>
      </c>
      <c r="GH34" s="2">
        <v>4</v>
      </c>
      <c r="GI34" s="2">
        <v>-2</v>
      </c>
      <c r="GJ34" s="2">
        <v>0</v>
      </c>
      <c r="GK34" s="2">
        <v>0</v>
      </c>
      <c r="GL34" s="2">
        <f t="shared" si="49"/>
        <v>0</v>
      </c>
      <c r="GM34" s="2">
        <f t="shared" si="50"/>
        <v>0</v>
      </c>
      <c r="GN34" s="2">
        <f t="shared" si="51"/>
        <v>0</v>
      </c>
      <c r="GO34" s="2">
        <f t="shared" si="52"/>
        <v>0</v>
      </c>
      <c r="GP34" s="2">
        <f t="shared" si="53"/>
        <v>0</v>
      </c>
      <c r="GQ34" s="2"/>
      <c r="GR34" s="2">
        <v>0</v>
      </c>
      <c r="GS34" s="2">
        <v>2</v>
      </c>
      <c r="GT34" s="2">
        <v>0</v>
      </c>
      <c r="GU34" s="2" t="s">
        <v>3</v>
      </c>
      <c r="GV34" s="2">
        <f t="shared" si="54"/>
        <v>0</v>
      </c>
      <c r="GW34" s="2">
        <v>1</v>
      </c>
      <c r="GX34" s="2">
        <f t="shared" si="55"/>
        <v>0</v>
      </c>
      <c r="GY34" s="2"/>
      <c r="GZ34" s="2"/>
      <c r="HA34" s="2">
        <v>0</v>
      </c>
      <c r="HB34" s="2">
        <v>0</v>
      </c>
      <c r="HC34" s="2">
        <f t="shared" si="56"/>
        <v>0</v>
      </c>
      <c r="HD34" s="2"/>
      <c r="HE34" s="2" t="s">
        <v>3</v>
      </c>
      <c r="HF34" s="2" t="s">
        <v>3</v>
      </c>
      <c r="HG34" s="2"/>
      <c r="HH34" s="2"/>
      <c r="HI34" s="2"/>
      <c r="HJ34" s="2"/>
      <c r="HK34" s="2"/>
      <c r="HL34" s="2"/>
      <c r="HM34" s="2" t="s">
        <v>3</v>
      </c>
      <c r="HN34" s="2" t="s">
        <v>49</v>
      </c>
      <c r="HO34" s="2" t="s">
        <v>50</v>
      </c>
      <c r="HP34" s="2" t="s">
        <v>46</v>
      </c>
      <c r="HQ34" s="2" t="s">
        <v>46</v>
      </c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45" ht="12.75">
      <c r="A35">
        <v>18</v>
      </c>
      <c r="B35">
        <v>1</v>
      </c>
      <c r="C35">
        <v>27</v>
      </c>
      <c r="E35" t="s">
        <v>51</v>
      </c>
      <c r="F35" t="s">
        <v>52</v>
      </c>
      <c r="G35" t="s">
        <v>53</v>
      </c>
      <c r="H35" t="s">
        <v>54</v>
      </c>
      <c r="I35">
        <f>I33*J35</f>
        <v>32</v>
      </c>
      <c r="J35">
        <v>13.559322033898306</v>
      </c>
      <c r="K35">
        <v>13.559322</v>
      </c>
      <c r="O35">
        <f t="shared" si="21"/>
        <v>0</v>
      </c>
      <c r="P35">
        <f t="shared" si="22"/>
        <v>0</v>
      </c>
      <c r="Q35">
        <f t="shared" si="23"/>
        <v>0</v>
      </c>
      <c r="R35">
        <f t="shared" si="24"/>
        <v>0</v>
      </c>
      <c r="S35">
        <f t="shared" si="25"/>
        <v>0</v>
      </c>
      <c r="T35">
        <f t="shared" si="26"/>
        <v>0</v>
      </c>
      <c r="U35">
        <f t="shared" si="27"/>
        <v>0</v>
      </c>
      <c r="V35">
        <f t="shared" si="28"/>
        <v>0</v>
      </c>
      <c r="W35">
        <f t="shared" si="29"/>
        <v>0</v>
      </c>
      <c r="X35">
        <f t="shared" si="30"/>
        <v>0</v>
      </c>
      <c r="Y35">
        <f t="shared" si="31"/>
        <v>0</v>
      </c>
      <c r="AA35">
        <v>55722484</v>
      </c>
      <c r="AB35">
        <f t="shared" si="32"/>
        <v>0</v>
      </c>
      <c r="AC35">
        <f t="shared" si="33"/>
        <v>0</v>
      </c>
      <c r="AD35">
        <f t="shared" si="57"/>
        <v>0</v>
      </c>
      <c r="AE35">
        <f t="shared" si="58"/>
        <v>0</v>
      </c>
      <c r="AF35">
        <f t="shared" si="59"/>
        <v>0</v>
      </c>
      <c r="AG35">
        <f t="shared" si="35"/>
        <v>0</v>
      </c>
      <c r="AH35">
        <f t="shared" si="60"/>
        <v>0</v>
      </c>
      <c r="AI35">
        <f t="shared" si="61"/>
        <v>0</v>
      </c>
      <c r="AJ35">
        <f t="shared" si="37"/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100</v>
      </c>
      <c r="AU35">
        <v>49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1</v>
      </c>
      <c r="BH35">
        <v>3</v>
      </c>
      <c r="BI35">
        <v>1</v>
      </c>
      <c r="BM35">
        <v>15001</v>
      </c>
      <c r="BN35">
        <v>0</v>
      </c>
      <c r="BP35">
        <v>0</v>
      </c>
      <c r="BQ35">
        <v>2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100</v>
      </c>
      <c r="CA35">
        <v>49</v>
      </c>
      <c r="CE35">
        <v>0</v>
      </c>
      <c r="CF35">
        <v>0</v>
      </c>
      <c r="CG35">
        <v>0</v>
      </c>
      <c r="CM35">
        <v>0</v>
      </c>
      <c r="CO35">
        <v>0</v>
      </c>
      <c r="CP35">
        <f t="shared" si="38"/>
        <v>0</v>
      </c>
      <c r="CQ35">
        <f t="shared" si="39"/>
        <v>0</v>
      </c>
      <c r="CR35">
        <f t="shared" si="62"/>
        <v>0</v>
      </c>
      <c r="CS35">
        <f t="shared" si="40"/>
        <v>0</v>
      </c>
      <c r="CT35">
        <f t="shared" si="41"/>
        <v>0</v>
      </c>
      <c r="CU35">
        <f t="shared" si="42"/>
        <v>0</v>
      </c>
      <c r="CV35">
        <f t="shared" si="43"/>
        <v>0</v>
      </c>
      <c r="CW35">
        <f t="shared" si="44"/>
        <v>0</v>
      </c>
      <c r="CX35">
        <f t="shared" si="45"/>
        <v>0</v>
      </c>
      <c r="CY35">
        <f t="shared" si="46"/>
        <v>0</v>
      </c>
      <c r="CZ35">
        <f t="shared" si="47"/>
        <v>0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54</v>
      </c>
      <c r="DW35" t="s">
        <v>54</v>
      </c>
      <c r="DX35">
        <v>1</v>
      </c>
      <c r="EE35">
        <v>55471694</v>
      </c>
      <c r="EF35">
        <v>2</v>
      </c>
      <c r="EG35" t="s">
        <v>45</v>
      </c>
      <c r="EH35">
        <v>15</v>
      </c>
      <c r="EI35" t="s">
        <v>46</v>
      </c>
      <c r="EJ35">
        <v>1</v>
      </c>
      <c r="EK35">
        <v>15001</v>
      </c>
      <c r="EL35" t="s">
        <v>46</v>
      </c>
      <c r="EM35" t="s">
        <v>47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FQ35">
        <v>0</v>
      </c>
      <c r="FR35">
        <f t="shared" si="48"/>
        <v>0</v>
      </c>
      <c r="FS35">
        <v>0</v>
      </c>
      <c r="FX35">
        <v>100</v>
      </c>
      <c r="FY35">
        <v>49</v>
      </c>
      <c r="GA35" t="s">
        <v>55</v>
      </c>
      <c r="GD35">
        <v>1</v>
      </c>
      <c r="GF35">
        <v>-1320945665</v>
      </c>
      <c r="GG35">
        <v>2</v>
      </c>
      <c r="GH35">
        <v>2</v>
      </c>
      <c r="GI35">
        <v>3</v>
      </c>
      <c r="GJ35">
        <v>0</v>
      </c>
      <c r="GK35">
        <v>0</v>
      </c>
      <c r="GL35">
        <f t="shared" si="49"/>
        <v>0</v>
      </c>
      <c r="GM35">
        <f t="shared" si="50"/>
        <v>0</v>
      </c>
      <c r="GN35">
        <f t="shared" si="51"/>
        <v>0</v>
      </c>
      <c r="GO35">
        <f t="shared" si="52"/>
        <v>0</v>
      </c>
      <c r="GP35">
        <f t="shared" si="53"/>
        <v>0</v>
      </c>
      <c r="GR35">
        <v>0</v>
      </c>
      <c r="GS35">
        <v>4</v>
      </c>
      <c r="GT35">
        <v>0</v>
      </c>
      <c r="GV35">
        <f t="shared" si="54"/>
        <v>0</v>
      </c>
      <c r="GW35">
        <v>1</v>
      </c>
      <c r="GX35">
        <f t="shared" si="55"/>
        <v>0</v>
      </c>
      <c r="HA35">
        <v>0</v>
      </c>
      <c r="HB35">
        <v>0</v>
      </c>
      <c r="HC35">
        <f t="shared" si="56"/>
        <v>0</v>
      </c>
      <c r="HN35" t="s">
        <v>49</v>
      </c>
      <c r="HO35" t="s">
        <v>50</v>
      </c>
      <c r="HP35" t="s">
        <v>46</v>
      </c>
      <c r="HQ35" t="s">
        <v>46</v>
      </c>
      <c r="IK35">
        <v>0</v>
      </c>
    </row>
    <row r="36" spans="1:255" ht="12.75">
      <c r="A36" s="2">
        <v>18</v>
      </c>
      <c r="B36" s="2">
        <v>1</v>
      </c>
      <c r="C36" s="2">
        <v>20</v>
      </c>
      <c r="D36" s="2"/>
      <c r="E36" s="2" t="s">
        <v>56</v>
      </c>
      <c r="F36" s="2" t="s">
        <v>52</v>
      </c>
      <c r="G36" s="2" t="s">
        <v>57</v>
      </c>
      <c r="H36" s="2" t="s">
        <v>54</v>
      </c>
      <c r="I36" s="2">
        <f>I32*J36</f>
        <v>800</v>
      </c>
      <c r="J36" s="2">
        <v>338.98305084745766</v>
      </c>
      <c r="K36" s="2">
        <v>338.983051</v>
      </c>
      <c r="L36" s="2"/>
      <c r="M36" s="2"/>
      <c r="N36" s="2"/>
      <c r="O36" s="2">
        <f t="shared" si="21"/>
        <v>0</v>
      </c>
      <c r="P36" s="2">
        <f t="shared" si="22"/>
        <v>0</v>
      </c>
      <c r="Q36" s="2">
        <f t="shared" si="23"/>
        <v>0</v>
      </c>
      <c r="R36" s="2">
        <f t="shared" si="24"/>
        <v>0</v>
      </c>
      <c r="S36" s="2">
        <f t="shared" si="25"/>
        <v>0</v>
      </c>
      <c r="T36" s="2">
        <f t="shared" si="26"/>
        <v>0</v>
      </c>
      <c r="U36" s="2">
        <f t="shared" si="27"/>
        <v>0</v>
      </c>
      <c r="V36" s="2">
        <f t="shared" si="28"/>
        <v>0</v>
      </c>
      <c r="W36" s="2">
        <f t="shared" si="29"/>
        <v>0</v>
      </c>
      <c r="X36" s="2">
        <f t="shared" si="30"/>
        <v>0</v>
      </c>
      <c r="Y36" s="2">
        <f t="shared" si="31"/>
        <v>0</v>
      </c>
      <c r="Z36" s="2"/>
      <c r="AA36" s="2">
        <v>55722483</v>
      </c>
      <c r="AB36" s="2">
        <f t="shared" si="32"/>
        <v>0</v>
      </c>
      <c r="AC36" s="2">
        <f t="shared" si="33"/>
        <v>0</v>
      </c>
      <c r="AD36" s="2">
        <f t="shared" si="57"/>
        <v>0</v>
      </c>
      <c r="AE36" s="2">
        <f t="shared" si="58"/>
        <v>0</v>
      </c>
      <c r="AF36" s="2">
        <f t="shared" si="59"/>
        <v>0</v>
      </c>
      <c r="AG36" s="2">
        <f t="shared" si="35"/>
        <v>0</v>
      </c>
      <c r="AH36" s="2">
        <f t="shared" si="60"/>
        <v>0</v>
      </c>
      <c r="AI36" s="2">
        <f t="shared" si="61"/>
        <v>0</v>
      </c>
      <c r="AJ36" s="2">
        <f t="shared" si="37"/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100</v>
      </c>
      <c r="AU36" s="2">
        <v>49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3</v>
      </c>
      <c r="BI36" s="2">
        <v>1</v>
      </c>
      <c r="BJ36" s="2" t="s">
        <v>3</v>
      </c>
      <c r="BK36" s="2"/>
      <c r="BL36" s="2"/>
      <c r="BM36" s="2">
        <v>15001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100</v>
      </c>
      <c r="CA36" s="2">
        <v>49</v>
      </c>
      <c r="CB36" s="2" t="s">
        <v>3</v>
      </c>
      <c r="CC36" s="2"/>
      <c r="CD36" s="2"/>
      <c r="CE36" s="2">
        <v>0</v>
      </c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8"/>
        <v>0</v>
      </c>
      <c r="CQ36" s="2">
        <f t="shared" si="39"/>
        <v>0</v>
      </c>
      <c r="CR36" s="2">
        <f t="shared" si="62"/>
        <v>0</v>
      </c>
      <c r="CS36" s="2">
        <f t="shared" si="40"/>
        <v>0</v>
      </c>
      <c r="CT36" s="2">
        <f t="shared" si="41"/>
        <v>0</v>
      </c>
      <c r="CU36" s="2">
        <f t="shared" si="42"/>
        <v>0</v>
      </c>
      <c r="CV36" s="2">
        <f t="shared" si="43"/>
        <v>0</v>
      </c>
      <c r="CW36" s="2">
        <f t="shared" si="44"/>
        <v>0</v>
      </c>
      <c r="CX36" s="2">
        <f t="shared" si="45"/>
        <v>0</v>
      </c>
      <c r="CY36" s="2">
        <f t="shared" si="46"/>
        <v>0</v>
      </c>
      <c r="CZ36" s="2">
        <f t="shared" si="47"/>
        <v>0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54</v>
      </c>
      <c r="DW36" s="2" t="s">
        <v>54</v>
      </c>
      <c r="DX36" s="2">
        <v>1</v>
      </c>
      <c r="DY36" s="2"/>
      <c r="DZ36" s="2" t="s">
        <v>3</v>
      </c>
      <c r="EA36" s="2" t="s">
        <v>3</v>
      </c>
      <c r="EB36" s="2" t="s">
        <v>3</v>
      </c>
      <c r="EC36" s="2" t="s">
        <v>3</v>
      </c>
      <c r="ED36" s="2"/>
      <c r="EE36" s="2">
        <v>55471694</v>
      </c>
      <c r="EF36" s="2">
        <v>2</v>
      </c>
      <c r="EG36" s="2" t="s">
        <v>45</v>
      </c>
      <c r="EH36" s="2">
        <v>15</v>
      </c>
      <c r="EI36" s="2" t="s">
        <v>46</v>
      </c>
      <c r="EJ36" s="2">
        <v>1</v>
      </c>
      <c r="EK36" s="2">
        <v>15001</v>
      </c>
      <c r="EL36" s="2" t="s">
        <v>46</v>
      </c>
      <c r="EM36" s="2" t="s">
        <v>47</v>
      </c>
      <c r="EN36" s="2"/>
      <c r="EO36" s="2" t="s">
        <v>3</v>
      </c>
      <c r="EP36" s="2"/>
      <c r="EQ36" s="2">
        <v>0</v>
      </c>
      <c r="ER36" s="2">
        <v>0</v>
      </c>
      <c r="ES36" s="2">
        <v>0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8"/>
        <v>0</v>
      </c>
      <c r="FS36" s="2">
        <v>0</v>
      </c>
      <c r="FT36" s="2"/>
      <c r="FU36" s="2"/>
      <c r="FV36" s="2"/>
      <c r="FW36" s="2"/>
      <c r="FX36" s="2">
        <v>100</v>
      </c>
      <c r="FY36" s="2">
        <v>49</v>
      </c>
      <c r="FZ36" s="2"/>
      <c r="GA36" s="2" t="s">
        <v>55</v>
      </c>
      <c r="GB36" s="2"/>
      <c r="GC36" s="2"/>
      <c r="GD36" s="2">
        <v>1</v>
      </c>
      <c r="GE36" s="2"/>
      <c r="GF36" s="2">
        <v>436627676</v>
      </c>
      <c r="GG36" s="2">
        <v>2</v>
      </c>
      <c r="GH36" s="2">
        <v>4</v>
      </c>
      <c r="GI36" s="2">
        <v>-2</v>
      </c>
      <c r="GJ36" s="2">
        <v>0</v>
      </c>
      <c r="GK36" s="2">
        <v>0</v>
      </c>
      <c r="GL36" s="2">
        <f t="shared" si="49"/>
        <v>0</v>
      </c>
      <c r="GM36" s="2">
        <f t="shared" si="50"/>
        <v>0</v>
      </c>
      <c r="GN36" s="2">
        <f t="shared" si="51"/>
        <v>0</v>
      </c>
      <c r="GO36" s="2">
        <f t="shared" si="52"/>
        <v>0</v>
      </c>
      <c r="GP36" s="2">
        <f t="shared" si="53"/>
        <v>0</v>
      </c>
      <c r="GQ36" s="2"/>
      <c r="GR36" s="2">
        <v>0</v>
      </c>
      <c r="GS36" s="2">
        <v>2</v>
      </c>
      <c r="GT36" s="2">
        <v>0</v>
      </c>
      <c r="GU36" s="2" t="s">
        <v>3</v>
      </c>
      <c r="GV36" s="2">
        <f t="shared" si="54"/>
        <v>0</v>
      </c>
      <c r="GW36" s="2">
        <v>1</v>
      </c>
      <c r="GX36" s="2">
        <f t="shared" si="55"/>
        <v>0</v>
      </c>
      <c r="GY36" s="2"/>
      <c r="GZ36" s="2"/>
      <c r="HA36" s="2">
        <v>0</v>
      </c>
      <c r="HB36" s="2">
        <v>0</v>
      </c>
      <c r="HC36" s="2">
        <f t="shared" si="56"/>
        <v>0</v>
      </c>
      <c r="HD36" s="2"/>
      <c r="HE36" s="2" t="s">
        <v>3</v>
      </c>
      <c r="HF36" s="2" t="s">
        <v>3</v>
      </c>
      <c r="HG36" s="2"/>
      <c r="HH36" s="2"/>
      <c r="HI36" s="2"/>
      <c r="HJ36" s="2"/>
      <c r="HK36" s="2"/>
      <c r="HL36" s="2"/>
      <c r="HM36" s="2" t="s">
        <v>3</v>
      </c>
      <c r="HN36" s="2" t="s">
        <v>49</v>
      </c>
      <c r="HO36" s="2" t="s">
        <v>50</v>
      </c>
      <c r="HP36" s="2" t="s">
        <v>46</v>
      </c>
      <c r="HQ36" s="2" t="s">
        <v>46</v>
      </c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45" ht="12.75">
      <c r="A37">
        <v>18</v>
      </c>
      <c r="B37">
        <v>1</v>
      </c>
      <c r="C37">
        <v>36</v>
      </c>
      <c r="E37" t="s">
        <v>56</v>
      </c>
      <c r="F37" t="s">
        <v>52</v>
      </c>
      <c r="G37" t="s">
        <v>57</v>
      </c>
      <c r="H37" t="s">
        <v>54</v>
      </c>
      <c r="I37">
        <f>I33*J37</f>
        <v>800</v>
      </c>
      <c r="J37">
        <v>338.98305084745766</v>
      </c>
      <c r="K37">
        <v>338.983051</v>
      </c>
      <c r="O37">
        <f t="shared" si="21"/>
        <v>0</v>
      </c>
      <c r="P37">
        <f t="shared" si="22"/>
        <v>0</v>
      </c>
      <c r="Q37">
        <f t="shared" si="23"/>
        <v>0</v>
      </c>
      <c r="R37">
        <f t="shared" si="24"/>
        <v>0</v>
      </c>
      <c r="S37">
        <f t="shared" si="25"/>
        <v>0</v>
      </c>
      <c r="T37">
        <f t="shared" si="26"/>
        <v>0</v>
      </c>
      <c r="U37">
        <f t="shared" si="27"/>
        <v>0</v>
      </c>
      <c r="V37">
        <f t="shared" si="28"/>
        <v>0</v>
      </c>
      <c r="W37">
        <f t="shared" si="29"/>
        <v>0</v>
      </c>
      <c r="X37">
        <f t="shared" si="30"/>
        <v>0</v>
      </c>
      <c r="Y37">
        <f t="shared" si="31"/>
        <v>0</v>
      </c>
      <c r="AA37">
        <v>55722484</v>
      </c>
      <c r="AB37">
        <f t="shared" si="32"/>
        <v>0</v>
      </c>
      <c r="AC37">
        <f t="shared" si="33"/>
        <v>0</v>
      </c>
      <c r="AD37">
        <f t="shared" si="57"/>
        <v>0</v>
      </c>
      <c r="AE37">
        <f t="shared" si="58"/>
        <v>0</v>
      </c>
      <c r="AF37">
        <f t="shared" si="59"/>
        <v>0</v>
      </c>
      <c r="AG37">
        <f t="shared" si="35"/>
        <v>0</v>
      </c>
      <c r="AH37">
        <f t="shared" si="60"/>
        <v>0</v>
      </c>
      <c r="AI37">
        <f t="shared" si="61"/>
        <v>0</v>
      </c>
      <c r="AJ37">
        <f t="shared" si="37"/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100</v>
      </c>
      <c r="AU37">
        <v>49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1</v>
      </c>
      <c r="BH37">
        <v>3</v>
      </c>
      <c r="BI37">
        <v>1</v>
      </c>
      <c r="BM37">
        <v>15001</v>
      </c>
      <c r="BN37">
        <v>0</v>
      </c>
      <c r="BP37">
        <v>0</v>
      </c>
      <c r="BQ37">
        <v>2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100</v>
      </c>
      <c r="CA37">
        <v>49</v>
      </c>
      <c r="CE37">
        <v>0</v>
      </c>
      <c r="CF37">
        <v>0</v>
      </c>
      <c r="CG37">
        <v>0</v>
      </c>
      <c r="CM37">
        <v>0</v>
      </c>
      <c r="CO37">
        <v>0</v>
      </c>
      <c r="CP37">
        <f t="shared" si="38"/>
        <v>0</v>
      </c>
      <c r="CQ37">
        <f t="shared" si="39"/>
        <v>0</v>
      </c>
      <c r="CR37">
        <f t="shared" si="62"/>
        <v>0</v>
      </c>
      <c r="CS37">
        <f t="shared" si="40"/>
        <v>0</v>
      </c>
      <c r="CT37">
        <f t="shared" si="41"/>
        <v>0</v>
      </c>
      <c r="CU37">
        <f t="shared" si="42"/>
        <v>0</v>
      </c>
      <c r="CV37">
        <f t="shared" si="43"/>
        <v>0</v>
      </c>
      <c r="CW37">
        <f t="shared" si="44"/>
        <v>0</v>
      </c>
      <c r="CX37">
        <f t="shared" si="45"/>
        <v>0</v>
      </c>
      <c r="CY37">
        <f t="shared" si="46"/>
        <v>0</v>
      </c>
      <c r="CZ37">
        <f t="shared" si="47"/>
        <v>0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54</v>
      </c>
      <c r="DW37" t="s">
        <v>54</v>
      </c>
      <c r="DX37">
        <v>1</v>
      </c>
      <c r="EE37">
        <v>55471694</v>
      </c>
      <c r="EF37">
        <v>2</v>
      </c>
      <c r="EG37" t="s">
        <v>45</v>
      </c>
      <c r="EH37">
        <v>15</v>
      </c>
      <c r="EI37" t="s">
        <v>46</v>
      </c>
      <c r="EJ37">
        <v>1</v>
      </c>
      <c r="EK37">
        <v>15001</v>
      </c>
      <c r="EL37" t="s">
        <v>46</v>
      </c>
      <c r="EM37" t="s">
        <v>47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FQ37">
        <v>0</v>
      </c>
      <c r="FR37">
        <f t="shared" si="48"/>
        <v>0</v>
      </c>
      <c r="FS37">
        <v>0</v>
      </c>
      <c r="FX37">
        <v>100</v>
      </c>
      <c r="FY37">
        <v>49</v>
      </c>
      <c r="GA37" t="s">
        <v>55</v>
      </c>
      <c r="GD37">
        <v>1</v>
      </c>
      <c r="GF37">
        <v>436627676</v>
      </c>
      <c r="GG37">
        <v>2</v>
      </c>
      <c r="GH37">
        <v>2</v>
      </c>
      <c r="GI37">
        <v>3</v>
      </c>
      <c r="GJ37">
        <v>0</v>
      </c>
      <c r="GK37">
        <v>0</v>
      </c>
      <c r="GL37">
        <f t="shared" si="49"/>
        <v>0</v>
      </c>
      <c r="GM37">
        <f t="shared" si="50"/>
        <v>0</v>
      </c>
      <c r="GN37">
        <f t="shared" si="51"/>
        <v>0</v>
      </c>
      <c r="GO37">
        <f t="shared" si="52"/>
        <v>0</v>
      </c>
      <c r="GP37">
        <f t="shared" si="53"/>
        <v>0</v>
      </c>
      <c r="GR37">
        <v>0</v>
      </c>
      <c r="GS37">
        <v>4</v>
      </c>
      <c r="GT37">
        <v>0</v>
      </c>
      <c r="GV37">
        <f t="shared" si="54"/>
        <v>0</v>
      </c>
      <c r="GW37">
        <v>1</v>
      </c>
      <c r="GX37">
        <f t="shared" si="55"/>
        <v>0</v>
      </c>
      <c r="HA37">
        <v>0</v>
      </c>
      <c r="HB37">
        <v>0</v>
      </c>
      <c r="HC37">
        <f t="shared" si="56"/>
        <v>0</v>
      </c>
      <c r="HN37" t="s">
        <v>49</v>
      </c>
      <c r="HO37" t="s">
        <v>50</v>
      </c>
      <c r="HP37" t="s">
        <v>46</v>
      </c>
      <c r="HQ37" t="s">
        <v>46</v>
      </c>
      <c r="IK37">
        <v>0</v>
      </c>
    </row>
    <row r="38" spans="1:255" ht="12.75">
      <c r="A38" s="2">
        <v>18</v>
      </c>
      <c r="B38" s="2">
        <v>1</v>
      </c>
      <c r="C38" s="2">
        <v>12</v>
      </c>
      <c r="D38" s="2"/>
      <c r="E38" s="2" t="s">
        <v>58</v>
      </c>
      <c r="F38" s="2" t="s">
        <v>52</v>
      </c>
      <c r="G38" s="2" t="s">
        <v>59</v>
      </c>
      <c r="H38" s="2" t="s">
        <v>54</v>
      </c>
      <c r="I38" s="2">
        <f>I32*J38</f>
        <v>2</v>
      </c>
      <c r="J38" s="2">
        <v>0.8474576271186441</v>
      </c>
      <c r="K38" s="2">
        <v>0.847458</v>
      </c>
      <c r="L38" s="2"/>
      <c r="M38" s="2"/>
      <c r="N38" s="2"/>
      <c r="O38" s="2">
        <f t="shared" si="21"/>
        <v>0</v>
      </c>
      <c r="P38" s="2">
        <f t="shared" si="22"/>
        <v>0</v>
      </c>
      <c r="Q38" s="2">
        <f t="shared" si="23"/>
        <v>0</v>
      </c>
      <c r="R38" s="2">
        <f t="shared" si="24"/>
        <v>0</v>
      </c>
      <c r="S38" s="2">
        <f t="shared" si="25"/>
        <v>0</v>
      </c>
      <c r="T38" s="2">
        <f t="shared" si="26"/>
        <v>0</v>
      </c>
      <c r="U38" s="2">
        <f t="shared" si="27"/>
        <v>0</v>
      </c>
      <c r="V38" s="2">
        <f t="shared" si="28"/>
        <v>0</v>
      </c>
      <c r="W38" s="2">
        <f t="shared" si="29"/>
        <v>0</v>
      </c>
      <c r="X38" s="2">
        <f t="shared" si="30"/>
        <v>0</v>
      </c>
      <c r="Y38" s="2">
        <f t="shared" si="31"/>
        <v>0</v>
      </c>
      <c r="Z38" s="2"/>
      <c r="AA38" s="2">
        <v>55722483</v>
      </c>
      <c r="AB38" s="2">
        <f t="shared" si="32"/>
        <v>0</v>
      </c>
      <c r="AC38" s="2">
        <f t="shared" si="33"/>
        <v>0</v>
      </c>
      <c r="AD38" s="2">
        <f t="shared" si="57"/>
        <v>0</v>
      </c>
      <c r="AE38" s="2">
        <f t="shared" si="58"/>
        <v>0</v>
      </c>
      <c r="AF38" s="2">
        <f t="shared" si="59"/>
        <v>0</v>
      </c>
      <c r="AG38" s="2">
        <f t="shared" si="35"/>
        <v>0</v>
      </c>
      <c r="AH38" s="2">
        <f t="shared" si="60"/>
        <v>0</v>
      </c>
      <c r="AI38" s="2">
        <f t="shared" si="61"/>
        <v>0</v>
      </c>
      <c r="AJ38" s="2">
        <f t="shared" si="37"/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100</v>
      </c>
      <c r="AU38" s="2">
        <v>49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3</v>
      </c>
      <c r="BI38" s="2">
        <v>1</v>
      </c>
      <c r="BJ38" s="2" t="s">
        <v>3</v>
      </c>
      <c r="BK38" s="2"/>
      <c r="BL38" s="2"/>
      <c r="BM38" s="2">
        <v>15001</v>
      </c>
      <c r="BN38" s="2">
        <v>0</v>
      </c>
      <c r="BO38" s="2" t="s">
        <v>3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100</v>
      </c>
      <c r="CA38" s="2">
        <v>49</v>
      </c>
      <c r="CB38" s="2" t="s">
        <v>3</v>
      </c>
      <c r="CC38" s="2"/>
      <c r="CD38" s="2"/>
      <c r="CE38" s="2">
        <v>0</v>
      </c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8"/>
        <v>0</v>
      </c>
      <c r="CQ38" s="2">
        <f t="shared" si="39"/>
        <v>0</v>
      </c>
      <c r="CR38" s="2">
        <f t="shared" si="62"/>
        <v>0</v>
      </c>
      <c r="CS38" s="2">
        <f t="shared" si="40"/>
        <v>0</v>
      </c>
      <c r="CT38" s="2">
        <f t="shared" si="41"/>
        <v>0</v>
      </c>
      <c r="CU38" s="2">
        <f t="shared" si="42"/>
        <v>0</v>
      </c>
      <c r="CV38" s="2">
        <f t="shared" si="43"/>
        <v>0</v>
      </c>
      <c r="CW38" s="2">
        <f t="shared" si="44"/>
        <v>0</v>
      </c>
      <c r="CX38" s="2">
        <f t="shared" si="45"/>
        <v>0</v>
      </c>
      <c r="CY38" s="2">
        <f t="shared" si="46"/>
        <v>0</v>
      </c>
      <c r="CZ38" s="2">
        <f t="shared" si="47"/>
        <v>0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54</v>
      </c>
      <c r="DW38" s="2" t="s">
        <v>54</v>
      </c>
      <c r="DX38" s="2">
        <v>1</v>
      </c>
      <c r="DY38" s="2"/>
      <c r="DZ38" s="2" t="s">
        <v>3</v>
      </c>
      <c r="EA38" s="2" t="s">
        <v>3</v>
      </c>
      <c r="EB38" s="2" t="s">
        <v>3</v>
      </c>
      <c r="EC38" s="2" t="s">
        <v>3</v>
      </c>
      <c r="ED38" s="2"/>
      <c r="EE38" s="2">
        <v>55471694</v>
      </c>
      <c r="EF38" s="2">
        <v>2</v>
      </c>
      <c r="EG38" s="2" t="s">
        <v>45</v>
      </c>
      <c r="EH38" s="2">
        <v>15</v>
      </c>
      <c r="EI38" s="2" t="s">
        <v>46</v>
      </c>
      <c r="EJ38" s="2">
        <v>1</v>
      </c>
      <c r="EK38" s="2">
        <v>15001</v>
      </c>
      <c r="EL38" s="2" t="s">
        <v>46</v>
      </c>
      <c r="EM38" s="2" t="s">
        <v>47</v>
      </c>
      <c r="EN38" s="2"/>
      <c r="EO38" s="2" t="s">
        <v>3</v>
      </c>
      <c r="EP38" s="2"/>
      <c r="EQ38" s="2">
        <v>0</v>
      </c>
      <c r="ER38" s="2">
        <v>0</v>
      </c>
      <c r="ES38" s="2">
        <v>0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8"/>
        <v>0</v>
      </c>
      <c r="FS38" s="2">
        <v>0</v>
      </c>
      <c r="FT38" s="2"/>
      <c r="FU38" s="2"/>
      <c r="FV38" s="2"/>
      <c r="FW38" s="2"/>
      <c r="FX38" s="2">
        <v>100</v>
      </c>
      <c r="FY38" s="2">
        <v>49</v>
      </c>
      <c r="FZ38" s="2"/>
      <c r="GA38" s="2" t="s">
        <v>55</v>
      </c>
      <c r="GB38" s="2"/>
      <c r="GC38" s="2"/>
      <c r="GD38" s="2">
        <v>1</v>
      </c>
      <c r="GE38" s="2"/>
      <c r="GF38" s="2">
        <v>1031016784</v>
      </c>
      <c r="GG38" s="2">
        <v>2</v>
      </c>
      <c r="GH38" s="2">
        <v>4</v>
      </c>
      <c r="GI38" s="2">
        <v>-2</v>
      </c>
      <c r="GJ38" s="2">
        <v>0</v>
      </c>
      <c r="GK38" s="2">
        <v>0</v>
      </c>
      <c r="GL38" s="2">
        <f t="shared" si="49"/>
        <v>0</v>
      </c>
      <c r="GM38" s="2">
        <f t="shared" si="50"/>
        <v>0</v>
      </c>
      <c r="GN38" s="2">
        <f t="shared" si="51"/>
        <v>0</v>
      </c>
      <c r="GO38" s="2">
        <f t="shared" si="52"/>
        <v>0</v>
      </c>
      <c r="GP38" s="2">
        <f t="shared" si="53"/>
        <v>0</v>
      </c>
      <c r="GQ38" s="2"/>
      <c r="GR38" s="2">
        <v>0</v>
      </c>
      <c r="GS38" s="2">
        <v>2</v>
      </c>
      <c r="GT38" s="2">
        <v>0</v>
      </c>
      <c r="GU38" s="2" t="s">
        <v>3</v>
      </c>
      <c r="GV38" s="2">
        <f t="shared" si="54"/>
        <v>0</v>
      </c>
      <c r="GW38" s="2">
        <v>1</v>
      </c>
      <c r="GX38" s="2">
        <f t="shared" si="55"/>
        <v>0</v>
      </c>
      <c r="GY38" s="2"/>
      <c r="GZ38" s="2"/>
      <c r="HA38" s="2">
        <v>0</v>
      </c>
      <c r="HB38" s="2">
        <v>0</v>
      </c>
      <c r="HC38" s="2">
        <f t="shared" si="56"/>
        <v>0</v>
      </c>
      <c r="HD38" s="2"/>
      <c r="HE38" s="2" t="s">
        <v>3</v>
      </c>
      <c r="HF38" s="2" t="s">
        <v>3</v>
      </c>
      <c r="HG38" s="2"/>
      <c r="HH38" s="2"/>
      <c r="HI38" s="2"/>
      <c r="HJ38" s="2"/>
      <c r="HK38" s="2"/>
      <c r="HL38" s="2"/>
      <c r="HM38" s="2" t="s">
        <v>3</v>
      </c>
      <c r="HN38" s="2" t="s">
        <v>49</v>
      </c>
      <c r="HO38" s="2" t="s">
        <v>50</v>
      </c>
      <c r="HP38" s="2" t="s">
        <v>46</v>
      </c>
      <c r="HQ38" s="2" t="s">
        <v>46</v>
      </c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45" ht="12.75">
      <c r="A39">
        <v>18</v>
      </c>
      <c r="B39">
        <v>1</v>
      </c>
      <c r="C39">
        <v>28</v>
      </c>
      <c r="E39" t="s">
        <v>58</v>
      </c>
      <c r="F39" t="s">
        <v>52</v>
      </c>
      <c r="G39" t="s">
        <v>59</v>
      </c>
      <c r="H39" t="s">
        <v>54</v>
      </c>
      <c r="I39">
        <f>I33*J39</f>
        <v>2</v>
      </c>
      <c r="J39">
        <v>0.8474576271186441</v>
      </c>
      <c r="K39">
        <v>0.847458</v>
      </c>
      <c r="O39">
        <f t="shared" si="21"/>
        <v>0</v>
      </c>
      <c r="P39">
        <f t="shared" si="22"/>
        <v>0</v>
      </c>
      <c r="Q39">
        <f t="shared" si="23"/>
        <v>0</v>
      </c>
      <c r="R39">
        <f t="shared" si="24"/>
        <v>0</v>
      </c>
      <c r="S39">
        <f t="shared" si="25"/>
        <v>0</v>
      </c>
      <c r="T39">
        <f t="shared" si="26"/>
        <v>0</v>
      </c>
      <c r="U39">
        <f t="shared" si="27"/>
        <v>0</v>
      </c>
      <c r="V39">
        <f t="shared" si="28"/>
        <v>0</v>
      </c>
      <c r="W39">
        <f t="shared" si="29"/>
        <v>0</v>
      </c>
      <c r="X39">
        <f t="shared" si="30"/>
        <v>0</v>
      </c>
      <c r="Y39">
        <f t="shared" si="31"/>
        <v>0</v>
      </c>
      <c r="AA39">
        <v>55722484</v>
      </c>
      <c r="AB39">
        <f t="shared" si="32"/>
        <v>0</v>
      </c>
      <c r="AC39">
        <f t="shared" si="33"/>
        <v>0</v>
      </c>
      <c r="AD39">
        <f t="shared" si="57"/>
        <v>0</v>
      </c>
      <c r="AE39">
        <f t="shared" si="58"/>
        <v>0</v>
      </c>
      <c r="AF39">
        <f t="shared" si="59"/>
        <v>0</v>
      </c>
      <c r="AG39">
        <f t="shared" si="35"/>
        <v>0</v>
      </c>
      <c r="AH39">
        <f t="shared" si="60"/>
        <v>0</v>
      </c>
      <c r="AI39">
        <f t="shared" si="61"/>
        <v>0</v>
      </c>
      <c r="AJ39">
        <f t="shared" si="37"/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100</v>
      </c>
      <c r="AU39">
        <v>49</v>
      </c>
      <c r="AV39">
        <v>1</v>
      </c>
      <c r="AW39">
        <v>1</v>
      </c>
      <c r="AZ39">
        <v>1</v>
      </c>
      <c r="BA39">
        <v>1</v>
      </c>
      <c r="BB39">
        <v>1</v>
      </c>
      <c r="BC39">
        <v>1</v>
      </c>
      <c r="BH39">
        <v>3</v>
      </c>
      <c r="BI39">
        <v>1</v>
      </c>
      <c r="BM39">
        <v>15001</v>
      </c>
      <c r="BN39">
        <v>0</v>
      </c>
      <c r="BP39">
        <v>0</v>
      </c>
      <c r="BQ39">
        <v>2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100</v>
      </c>
      <c r="CA39">
        <v>49</v>
      </c>
      <c r="CE39">
        <v>0</v>
      </c>
      <c r="CF39">
        <v>0</v>
      </c>
      <c r="CG39">
        <v>0</v>
      </c>
      <c r="CM39">
        <v>0</v>
      </c>
      <c r="CO39">
        <v>0</v>
      </c>
      <c r="CP39">
        <f t="shared" si="38"/>
        <v>0</v>
      </c>
      <c r="CQ39">
        <f t="shared" si="39"/>
        <v>0</v>
      </c>
      <c r="CR39">
        <f t="shared" si="62"/>
        <v>0</v>
      </c>
      <c r="CS39">
        <f t="shared" si="40"/>
        <v>0</v>
      </c>
      <c r="CT39">
        <f t="shared" si="41"/>
        <v>0</v>
      </c>
      <c r="CU39">
        <f t="shared" si="42"/>
        <v>0</v>
      </c>
      <c r="CV39">
        <f t="shared" si="43"/>
        <v>0</v>
      </c>
      <c r="CW39">
        <f t="shared" si="44"/>
        <v>0</v>
      </c>
      <c r="CX39">
        <f t="shared" si="45"/>
        <v>0</v>
      </c>
      <c r="CY39">
        <f t="shared" si="46"/>
        <v>0</v>
      </c>
      <c r="CZ39">
        <f t="shared" si="47"/>
        <v>0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54</v>
      </c>
      <c r="DW39" t="s">
        <v>54</v>
      </c>
      <c r="DX39">
        <v>1</v>
      </c>
      <c r="EE39">
        <v>55471694</v>
      </c>
      <c r="EF39">
        <v>2</v>
      </c>
      <c r="EG39" t="s">
        <v>45</v>
      </c>
      <c r="EH39">
        <v>15</v>
      </c>
      <c r="EI39" t="s">
        <v>46</v>
      </c>
      <c r="EJ39">
        <v>1</v>
      </c>
      <c r="EK39">
        <v>15001</v>
      </c>
      <c r="EL39" t="s">
        <v>46</v>
      </c>
      <c r="EM39" t="s">
        <v>47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FQ39">
        <v>0</v>
      </c>
      <c r="FR39">
        <f t="shared" si="48"/>
        <v>0</v>
      </c>
      <c r="FS39">
        <v>0</v>
      </c>
      <c r="FX39">
        <v>100</v>
      </c>
      <c r="FY39">
        <v>49</v>
      </c>
      <c r="GA39" t="s">
        <v>55</v>
      </c>
      <c r="GD39">
        <v>1</v>
      </c>
      <c r="GF39">
        <v>1031016784</v>
      </c>
      <c r="GG39">
        <v>2</v>
      </c>
      <c r="GH39">
        <v>2</v>
      </c>
      <c r="GI39">
        <v>3</v>
      </c>
      <c r="GJ39">
        <v>0</v>
      </c>
      <c r="GK39">
        <v>0</v>
      </c>
      <c r="GL39">
        <f t="shared" si="49"/>
        <v>0</v>
      </c>
      <c r="GM39">
        <f t="shared" si="50"/>
        <v>0</v>
      </c>
      <c r="GN39">
        <f t="shared" si="51"/>
        <v>0</v>
      </c>
      <c r="GO39">
        <f t="shared" si="52"/>
        <v>0</v>
      </c>
      <c r="GP39">
        <f t="shared" si="53"/>
        <v>0</v>
      </c>
      <c r="GR39">
        <v>0</v>
      </c>
      <c r="GS39">
        <v>4</v>
      </c>
      <c r="GT39">
        <v>0</v>
      </c>
      <c r="GV39">
        <f t="shared" si="54"/>
        <v>0</v>
      </c>
      <c r="GW39">
        <v>1</v>
      </c>
      <c r="GX39">
        <f t="shared" si="55"/>
        <v>0</v>
      </c>
      <c r="HA39">
        <v>0</v>
      </c>
      <c r="HB39">
        <v>0</v>
      </c>
      <c r="HC39">
        <f t="shared" si="56"/>
        <v>0</v>
      </c>
      <c r="HN39" t="s">
        <v>49</v>
      </c>
      <c r="HO39" t="s">
        <v>50</v>
      </c>
      <c r="HP39" t="s">
        <v>46</v>
      </c>
      <c r="HQ39" t="s">
        <v>46</v>
      </c>
      <c r="IK39">
        <v>0</v>
      </c>
    </row>
    <row r="40" spans="1:255" ht="12.75">
      <c r="A40" s="2">
        <v>18</v>
      </c>
      <c r="B40" s="2">
        <v>1</v>
      </c>
      <c r="C40" s="2">
        <v>13</v>
      </c>
      <c r="D40" s="2"/>
      <c r="E40" s="2" t="s">
        <v>60</v>
      </c>
      <c r="F40" s="2" t="s">
        <v>52</v>
      </c>
      <c r="G40" s="2" t="s">
        <v>61</v>
      </c>
      <c r="H40" s="2" t="s">
        <v>54</v>
      </c>
      <c r="I40" s="2">
        <f>I32*J40</f>
        <v>190.00000000000003</v>
      </c>
      <c r="J40" s="2">
        <v>80.5084745762712</v>
      </c>
      <c r="K40" s="2">
        <v>80.508475</v>
      </c>
      <c r="L40" s="2"/>
      <c r="M40" s="2"/>
      <c r="N40" s="2"/>
      <c r="O40" s="2">
        <f t="shared" si="21"/>
        <v>0</v>
      </c>
      <c r="P40" s="2">
        <f t="shared" si="22"/>
        <v>0</v>
      </c>
      <c r="Q40" s="2">
        <f t="shared" si="23"/>
        <v>0</v>
      </c>
      <c r="R40" s="2">
        <f t="shared" si="24"/>
        <v>0</v>
      </c>
      <c r="S40" s="2">
        <f t="shared" si="25"/>
        <v>0</v>
      </c>
      <c r="T40" s="2">
        <f t="shared" si="26"/>
        <v>0</v>
      </c>
      <c r="U40" s="2">
        <f t="shared" si="27"/>
        <v>0</v>
      </c>
      <c r="V40" s="2">
        <f t="shared" si="28"/>
        <v>0</v>
      </c>
      <c r="W40" s="2">
        <f t="shared" si="29"/>
        <v>0</v>
      </c>
      <c r="X40" s="2">
        <f t="shared" si="30"/>
        <v>0</v>
      </c>
      <c r="Y40" s="2">
        <f t="shared" si="31"/>
        <v>0</v>
      </c>
      <c r="Z40" s="2"/>
      <c r="AA40" s="2">
        <v>55722483</v>
      </c>
      <c r="AB40" s="2">
        <f t="shared" si="32"/>
        <v>0</v>
      </c>
      <c r="AC40" s="2">
        <f t="shared" si="33"/>
        <v>0</v>
      </c>
      <c r="AD40" s="2">
        <f t="shared" si="57"/>
        <v>0</v>
      </c>
      <c r="AE40" s="2">
        <f t="shared" si="58"/>
        <v>0</v>
      </c>
      <c r="AF40" s="2">
        <f t="shared" si="59"/>
        <v>0</v>
      </c>
      <c r="AG40" s="2">
        <f t="shared" si="35"/>
        <v>0</v>
      </c>
      <c r="AH40" s="2">
        <f t="shared" si="60"/>
        <v>0</v>
      </c>
      <c r="AI40" s="2">
        <f t="shared" si="61"/>
        <v>0</v>
      </c>
      <c r="AJ40" s="2">
        <f t="shared" si="37"/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100</v>
      </c>
      <c r="AU40" s="2">
        <v>49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3</v>
      </c>
      <c r="BI40" s="2">
        <v>1</v>
      </c>
      <c r="BJ40" s="2" t="s">
        <v>3</v>
      </c>
      <c r="BK40" s="2"/>
      <c r="BL40" s="2"/>
      <c r="BM40" s="2">
        <v>15001</v>
      </c>
      <c r="BN40" s="2">
        <v>0</v>
      </c>
      <c r="BO40" s="2" t="s">
        <v>3</v>
      </c>
      <c r="BP40" s="2">
        <v>0</v>
      </c>
      <c r="BQ40" s="2">
        <v>2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100</v>
      </c>
      <c r="CA40" s="2">
        <v>49</v>
      </c>
      <c r="CB40" s="2" t="s">
        <v>3</v>
      </c>
      <c r="CC40" s="2"/>
      <c r="CD40" s="2"/>
      <c r="CE40" s="2">
        <v>0</v>
      </c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8"/>
        <v>0</v>
      </c>
      <c r="CQ40" s="2">
        <f t="shared" si="39"/>
        <v>0</v>
      </c>
      <c r="CR40" s="2">
        <f t="shared" si="62"/>
        <v>0</v>
      </c>
      <c r="CS40" s="2">
        <f t="shared" si="40"/>
        <v>0</v>
      </c>
      <c r="CT40" s="2">
        <f t="shared" si="41"/>
        <v>0</v>
      </c>
      <c r="CU40" s="2">
        <f t="shared" si="42"/>
        <v>0</v>
      </c>
      <c r="CV40" s="2">
        <f t="shared" si="43"/>
        <v>0</v>
      </c>
      <c r="CW40" s="2">
        <f t="shared" si="44"/>
        <v>0</v>
      </c>
      <c r="CX40" s="2">
        <f t="shared" si="45"/>
        <v>0</v>
      </c>
      <c r="CY40" s="2">
        <f t="shared" si="46"/>
        <v>0</v>
      </c>
      <c r="CZ40" s="2">
        <f t="shared" si="47"/>
        <v>0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54</v>
      </c>
      <c r="DW40" s="2" t="s">
        <v>54</v>
      </c>
      <c r="DX40" s="2">
        <v>1</v>
      </c>
      <c r="DY40" s="2"/>
      <c r="DZ40" s="2" t="s">
        <v>3</v>
      </c>
      <c r="EA40" s="2" t="s">
        <v>3</v>
      </c>
      <c r="EB40" s="2" t="s">
        <v>3</v>
      </c>
      <c r="EC40" s="2" t="s">
        <v>3</v>
      </c>
      <c r="ED40" s="2"/>
      <c r="EE40" s="2">
        <v>55471694</v>
      </c>
      <c r="EF40" s="2">
        <v>2</v>
      </c>
      <c r="EG40" s="2" t="s">
        <v>45</v>
      </c>
      <c r="EH40" s="2">
        <v>15</v>
      </c>
      <c r="EI40" s="2" t="s">
        <v>46</v>
      </c>
      <c r="EJ40" s="2">
        <v>1</v>
      </c>
      <c r="EK40" s="2">
        <v>15001</v>
      </c>
      <c r="EL40" s="2" t="s">
        <v>46</v>
      </c>
      <c r="EM40" s="2" t="s">
        <v>47</v>
      </c>
      <c r="EN40" s="2"/>
      <c r="EO40" s="2" t="s">
        <v>3</v>
      </c>
      <c r="EP40" s="2"/>
      <c r="EQ40" s="2">
        <v>0</v>
      </c>
      <c r="ER40" s="2">
        <v>0</v>
      </c>
      <c r="ES40" s="2">
        <v>0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8"/>
        <v>0</v>
      </c>
      <c r="FS40" s="2">
        <v>0</v>
      </c>
      <c r="FT40" s="2"/>
      <c r="FU40" s="2"/>
      <c r="FV40" s="2"/>
      <c r="FW40" s="2"/>
      <c r="FX40" s="2">
        <v>100</v>
      </c>
      <c r="FY40" s="2">
        <v>49</v>
      </c>
      <c r="FZ40" s="2"/>
      <c r="GA40" s="2" t="s">
        <v>55</v>
      </c>
      <c r="GB40" s="2"/>
      <c r="GC40" s="2"/>
      <c r="GD40" s="2">
        <v>1</v>
      </c>
      <c r="GE40" s="2"/>
      <c r="GF40" s="2">
        <v>-593500999</v>
      </c>
      <c r="GG40" s="2">
        <v>2</v>
      </c>
      <c r="GH40" s="2">
        <v>4</v>
      </c>
      <c r="GI40" s="2">
        <v>-2</v>
      </c>
      <c r="GJ40" s="2">
        <v>0</v>
      </c>
      <c r="GK40" s="2">
        <v>0</v>
      </c>
      <c r="GL40" s="2">
        <f t="shared" si="49"/>
        <v>0</v>
      </c>
      <c r="GM40" s="2">
        <f t="shared" si="50"/>
        <v>0</v>
      </c>
      <c r="GN40" s="2">
        <f t="shared" si="51"/>
        <v>0</v>
      </c>
      <c r="GO40" s="2">
        <f t="shared" si="52"/>
        <v>0</v>
      </c>
      <c r="GP40" s="2">
        <f t="shared" si="53"/>
        <v>0</v>
      </c>
      <c r="GQ40" s="2"/>
      <c r="GR40" s="2">
        <v>0</v>
      </c>
      <c r="GS40" s="2">
        <v>2</v>
      </c>
      <c r="GT40" s="2">
        <v>0</v>
      </c>
      <c r="GU40" s="2" t="s">
        <v>3</v>
      </c>
      <c r="GV40" s="2">
        <f t="shared" si="54"/>
        <v>0</v>
      </c>
      <c r="GW40" s="2">
        <v>1</v>
      </c>
      <c r="GX40" s="2">
        <f t="shared" si="55"/>
        <v>0</v>
      </c>
      <c r="GY40" s="2"/>
      <c r="GZ40" s="2"/>
      <c r="HA40" s="2">
        <v>0</v>
      </c>
      <c r="HB40" s="2">
        <v>0</v>
      </c>
      <c r="HC40" s="2">
        <f t="shared" si="56"/>
        <v>0</v>
      </c>
      <c r="HD40" s="2"/>
      <c r="HE40" s="2" t="s">
        <v>3</v>
      </c>
      <c r="HF40" s="2" t="s">
        <v>3</v>
      </c>
      <c r="HG40" s="2"/>
      <c r="HH40" s="2"/>
      <c r="HI40" s="2"/>
      <c r="HJ40" s="2"/>
      <c r="HK40" s="2"/>
      <c r="HL40" s="2"/>
      <c r="HM40" s="2" t="s">
        <v>3</v>
      </c>
      <c r="HN40" s="2" t="s">
        <v>49</v>
      </c>
      <c r="HO40" s="2" t="s">
        <v>50</v>
      </c>
      <c r="HP40" s="2" t="s">
        <v>46</v>
      </c>
      <c r="HQ40" s="2" t="s">
        <v>46</v>
      </c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45" ht="12.75">
      <c r="A41">
        <v>18</v>
      </c>
      <c r="B41">
        <v>1</v>
      </c>
      <c r="C41">
        <v>29</v>
      </c>
      <c r="E41" t="s">
        <v>60</v>
      </c>
      <c r="F41" t="s">
        <v>52</v>
      </c>
      <c r="G41" t="s">
        <v>61</v>
      </c>
      <c r="H41" t="s">
        <v>54</v>
      </c>
      <c r="I41">
        <f>I33*J41</f>
        <v>190.00000000000003</v>
      </c>
      <c r="J41">
        <v>80.5084745762712</v>
      </c>
      <c r="K41">
        <v>80.508475</v>
      </c>
      <c r="O41">
        <f t="shared" si="21"/>
        <v>0</v>
      </c>
      <c r="P41">
        <f t="shared" si="22"/>
        <v>0</v>
      </c>
      <c r="Q41">
        <f t="shared" si="23"/>
        <v>0</v>
      </c>
      <c r="R41">
        <f t="shared" si="24"/>
        <v>0</v>
      </c>
      <c r="S41">
        <f t="shared" si="25"/>
        <v>0</v>
      </c>
      <c r="T41">
        <f t="shared" si="26"/>
        <v>0</v>
      </c>
      <c r="U41">
        <f t="shared" si="27"/>
        <v>0</v>
      </c>
      <c r="V41">
        <f t="shared" si="28"/>
        <v>0</v>
      </c>
      <c r="W41">
        <f t="shared" si="29"/>
        <v>0</v>
      </c>
      <c r="X41">
        <f t="shared" si="30"/>
        <v>0</v>
      </c>
      <c r="Y41">
        <f t="shared" si="31"/>
        <v>0</v>
      </c>
      <c r="AA41">
        <v>55722484</v>
      </c>
      <c r="AB41">
        <f t="shared" si="32"/>
        <v>0</v>
      </c>
      <c r="AC41">
        <f t="shared" si="33"/>
        <v>0</v>
      </c>
      <c r="AD41">
        <f t="shared" si="57"/>
        <v>0</v>
      </c>
      <c r="AE41">
        <f t="shared" si="58"/>
        <v>0</v>
      </c>
      <c r="AF41">
        <f t="shared" si="59"/>
        <v>0</v>
      </c>
      <c r="AG41">
        <f t="shared" si="35"/>
        <v>0</v>
      </c>
      <c r="AH41">
        <f t="shared" si="60"/>
        <v>0</v>
      </c>
      <c r="AI41">
        <f t="shared" si="61"/>
        <v>0</v>
      </c>
      <c r="AJ41">
        <f t="shared" si="37"/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100</v>
      </c>
      <c r="AU41">
        <v>49</v>
      </c>
      <c r="AV41">
        <v>1</v>
      </c>
      <c r="AW41">
        <v>1</v>
      </c>
      <c r="AZ41">
        <v>1</v>
      </c>
      <c r="BA41">
        <v>1</v>
      </c>
      <c r="BB41">
        <v>1</v>
      </c>
      <c r="BC41">
        <v>1</v>
      </c>
      <c r="BH41">
        <v>3</v>
      </c>
      <c r="BI41">
        <v>1</v>
      </c>
      <c r="BM41">
        <v>15001</v>
      </c>
      <c r="BN41">
        <v>0</v>
      </c>
      <c r="BP41">
        <v>0</v>
      </c>
      <c r="BQ41">
        <v>2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100</v>
      </c>
      <c r="CA41">
        <v>49</v>
      </c>
      <c r="CE41">
        <v>0</v>
      </c>
      <c r="CF41">
        <v>0</v>
      </c>
      <c r="CG41">
        <v>0</v>
      </c>
      <c r="CM41">
        <v>0</v>
      </c>
      <c r="CO41">
        <v>0</v>
      </c>
      <c r="CP41">
        <f t="shared" si="38"/>
        <v>0</v>
      </c>
      <c r="CQ41">
        <f t="shared" si="39"/>
        <v>0</v>
      </c>
      <c r="CR41">
        <f t="shared" si="62"/>
        <v>0</v>
      </c>
      <c r="CS41">
        <f t="shared" si="40"/>
        <v>0</v>
      </c>
      <c r="CT41">
        <f t="shared" si="41"/>
        <v>0</v>
      </c>
      <c r="CU41">
        <f t="shared" si="42"/>
        <v>0</v>
      </c>
      <c r="CV41">
        <f t="shared" si="43"/>
        <v>0</v>
      </c>
      <c r="CW41">
        <f t="shared" si="44"/>
        <v>0</v>
      </c>
      <c r="CX41">
        <f t="shared" si="45"/>
        <v>0</v>
      </c>
      <c r="CY41">
        <f t="shared" si="46"/>
        <v>0</v>
      </c>
      <c r="CZ41">
        <f t="shared" si="47"/>
        <v>0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54</v>
      </c>
      <c r="DW41" t="s">
        <v>54</v>
      </c>
      <c r="DX41">
        <v>1</v>
      </c>
      <c r="EE41">
        <v>55471694</v>
      </c>
      <c r="EF41">
        <v>2</v>
      </c>
      <c r="EG41" t="s">
        <v>45</v>
      </c>
      <c r="EH41">
        <v>15</v>
      </c>
      <c r="EI41" t="s">
        <v>46</v>
      </c>
      <c r="EJ41">
        <v>1</v>
      </c>
      <c r="EK41">
        <v>15001</v>
      </c>
      <c r="EL41" t="s">
        <v>46</v>
      </c>
      <c r="EM41" t="s">
        <v>47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FQ41">
        <v>0</v>
      </c>
      <c r="FR41">
        <f t="shared" si="48"/>
        <v>0</v>
      </c>
      <c r="FS41">
        <v>0</v>
      </c>
      <c r="FX41">
        <v>100</v>
      </c>
      <c r="FY41">
        <v>49</v>
      </c>
      <c r="GA41" t="s">
        <v>55</v>
      </c>
      <c r="GD41">
        <v>1</v>
      </c>
      <c r="GF41">
        <v>-593500999</v>
      </c>
      <c r="GG41">
        <v>2</v>
      </c>
      <c r="GH41">
        <v>2</v>
      </c>
      <c r="GI41">
        <v>3</v>
      </c>
      <c r="GJ41">
        <v>0</v>
      </c>
      <c r="GK41">
        <v>0</v>
      </c>
      <c r="GL41">
        <f t="shared" si="49"/>
        <v>0</v>
      </c>
      <c r="GM41">
        <f t="shared" si="50"/>
        <v>0</v>
      </c>
      <c r="GN41">
        <f t="shared" si="51"/>
        <v>0</v>
      </c>
      <c r="GO41">
        <f t="shared" si="52"/>
        <v>0</v>
      </c>
      <c r="GP41">
        <f t="shared" si="53"/>
        <v>0</v>
      </c>
      <c r="GR41">
        <v>0</v>
      </c>
      <c r="GS41">
        <v>4</v>
      </c>
      <c r="GT41">
        <v>0</v>
      </c>
      <c r="GV41">
        <f t="shared" si="54"/>
        <v>0</v>
      </c>
      <c r="GW41">
        <v>1</v>
      </c>
      <c r="GX41">
        <f t="shared" si="55"/>
        <v>0</v>
      </c>
      <c r="HA41">
        <v>0</v>
      </c>
      <c r="HB41">
        <v>0</v>
      </c>
      <c r="HC41">
        <f t="shared" si="56"/>
        <v>0</v>
      </c>
      <c r="HN41" t="s">
        <v>49</v>
      </c>
      <c r="HO41" t="s">
        <v>50</v>
      </c>
      <c r="HP41" t="s">
        <v>46</v>
      </c>
      <c r="HQ41" t="s">
        <v>46</v>
      </c>
      <c r="IK41">
        <v>0</v>
      </c>
    </row>
    <row r="42" spans="1:255" ht="12.75">
      <c r="A42" s="2">
        <v>18</v>
      </c>
      <c r="B42" s="2">
        <v>1</v>
      </c>
      <c r="C42" s="2">
        <v>14</v>
      </c>
      <c r="D42" s="2"/>
      <c r="E42" s="2" t="s">
        <v>62</v>
      </c>
      <c r="F42" s="2" t="s">
        <v>52</v>
      </c>
      <c r="G42" s="2" t="s">
        <v>63</v>
      </c>
      <c r="H42" s="2" t="s">
        <v>54</v>
      </c>
      <c r="I42" s="2">
        <f>I32*J42</f>
        <v>20</v>
      </c>
      <c r="J42" s="2">
        <v>8.474576271186441</v>
      </c>
      <c r="K42" s="2">
        <v>8.474576</v>
      </c>
      <c r="L42" s="2"/>
      <c r="M42" s="2"/>
      <c r="N42" s="2"/>
      <c r="O42" s="2">
        <f t="shared" si="21"/>
        <v>0</v>
      </c>
      <c r="P42" s="2">
        <f t="shared" si="22"/>
        <v>0</v>
      </c>
      <c r="Q42" s="2">
        <f t="shared" si="23"/>
        <v>0</v>
      </c>
      <c r="R42" s="2">
        <f t="shared" si="24"/>
        <v>0</v>
      </c>
      <c r="S42" s="2">
        <f t="shared" si="25"/>
        <v>0</v>
      </c>
      <c r="T42" s="2">
        <f t="shared" si="26"/>
        <v>0</v>
      </c>
      <c r="U42" s="2">
        <f t="shared" si="27"/>
        <v>0</v>
      </c>
      <c r="V42" s="2">
        <f t="shared" si="28"/>
        <v>0</v>
      </c>
      <c r="W42" s="2">
        <f t="shared" si="29"/>
        <v>0</v>
      </c>
      <c r="X42" s="2">
        <f t="shared" si="30"/>
        <v>0</v>
      </c>
      <c r="Y42" s="2">
        <f t="shared" si="31"/>
        <v>0</v>
      </c>
      <c r="Z42" s="2"/>
      <c r="AA42" s="2">
        <v>55722483</v>
      </c>
      <c r="AB42" s="2">
        <f t="shared" si="32"/>
        <v>0</v>
      </c>
      <c r="AC42" s="2">
        <f t="shared" si="33"/>
        <v>0</v>
      </c>
      <c r="AD42" s="2">
        <f t="shared" si="57"/>
        <v>0</v>
      </c>
      <c r="AE42" s="2">
        <f t="shared" si="58"/>
        <v>0</v>
      </c>
      <c r="AF42" s="2">
        <f t="shared" si="59"/>
        <v>0</v>
      </c>
      <c r="AG42" s="2">
        <f t="shared" si="35"/>
        <v>0</v>
      </c>
      <c r="AH42" s="2">
        <f t="shared" si="60"/>
        <v>0</v>
      </c>
      <c r="AI42" s="2">
        <f t="shared" si="61"/>
        <v>0</v>
      </c>
      <c r="AJ42" s="2">
        <f t="shared" si="37"/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100</v>
      </c>
      <c r="AU42" s="2">
        <v>49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3</v>
      </c>
      <c r="BI42" s="2">
        <v>1</v>
      </c>
      <c r="BJ42" s="2" t="s">
        <v>3</v>
      </c>
      <c r="BK42" s="2"/>
      <c r="BL42" s="2"/>
      <c r="BM42" s="2">
        <v>15001</v>
      </c>
      <c r="BN42" s="2">
        <v>0</v>
      </c>
      <c r="BO42" s="2" t="s">
        <v>3</v>
      </c>
      <c r="BP42" s="2">
        <v>0</v>
      </c>
      <c r="BQ42" s="2">
        <v>2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100</v>
      </c>
      <c r="CA42" s="2">
        <v>49</v>
      </c>
      <c r="CB42" s="2" t="s">
        <v>3</v>
      </c>
      <c r="CC42" s="2"/>
      <c r="CD42" s="2"/>
      <c r="CE42" s="2">
        <v>0</v>
      </c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8"/>
        <v>0</v>
      </c>
      <c r="CQ42" s="2">
        <f t="shared" si="39"/>
        <v>0</v>
      </c>
      <c r="CR42" s="2">
        <f t="shared" si="62"/>
        <v>0</v>
      </c>
      <c r="CS42" s="2">
        <f t="shared" si="40"/>
        <v>0</v>
      </c>
      <c r="CT42" s="2">
        <f t="shared" si="41"/>
        <v>0</v>
      </c>
      <c r="CU42" s="2">
        <f t="shared" si="42"/>
        <v>0</v>
      </c>
      <c r="CV42" s="2">
        <f t="shared" si="43"/>
        <v>0</v>
      </c>
      <c r="CW42" s="2">
        <f t="shared" si="44"/>
        <v>0</v>
      </c>
      <c r="CX42" s="2">
        <f t="shared" si="45"/>
        <v>0</v>
      </c>
      <c r="CY42" s="2">
        <f t="shared" si="46"/>
        <v>0</v>
      </c>
      <c r="CZ42" s="2">
        <f t="shared" si="47"/>
        <v>0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1013</v>
      </c>
      <c r="DV42" s="2" t="s">
        <v>54</v>
      </c>
      <c r="DW42" s="2" t="s">
        <v>54</v>
      </c>
      <c r="DX42" s="2">
        <v>1</v>
      </c>
      <c r="DY42" s="2"/>
      <c r="DZ42" s="2" t="s">
        <v>3</v>
      </c>
      <c r="EA42" s="2" t="s">
        <v>3</v>
      </c>
      <c r="EB42" s="2" t="s">
        <v>3</v>
      </c>
      <c r="EC42" s="2" t="s">
        <v>3</v>
      </c>
      <c r="ED42" s="2"/>
      <c r="EE42" s="2">
        <v>55471694</v>
      </c>
      <c r="EF42" s="2">
        <v>2</v>
      </c>
      <c r="EG42" s="2" t="s">
        <v>45</v>
      </c>
      <c r="EH42" s="2">
        <v>15</v>
      </c>
      <c r="EI42" s="2" t="s">
        <v>46</v>
      </c>
      <c r="EJ42" s="2">
        <v>1</v>
      </c>
      <c r="EK42" s="2">
        <v>15001</v>
      </c>
      <c r="EL42" s="2" t="s">
        <v>46</v>
      </c>
      <c r="EM42" s="2" t="s">
        <v>47</v>
      </c>
      <c r="EN42" s="2"/>
      <c r="EO42" s="2" t="s">
        <v>3</v>
      </c>
      <c r="EP42" s="2"/>
      <c r="EQ42" s="2">
        <v>0</v>
      </c>
      <c r="ER42" s="2">
        <v>0</v>
      </c>
      <c r="ES42" s="2">
        <v>0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8"/>
        <v>0</v>
      </c>
      <c r="FS42" s="2">
        <v>0</v>
      </c>
      <c r="FT42" s="2"/>
      <c r="FU42" s="2"/>
      <c r="FV42" s="2"/>
      <c r="FW42" s="2"/>
      <c r="FX42" s="2">
        <v>100</v>
      </c>
      <c r="FY42" s="2">
        <v>49</v>
      </c>
      <c r="FZ42" s="2"/>
      <c r="GA42" s="2" t="s">
        <v>55</v>
      </c>
      <c r="GB42" s="2"/>
      <c r="GC42" s="2"/>
      <c r="GD42" s="2">
        <v>1</v>
      </c>
      <c r="GE42" s="2"/>
      <c r="GF42" s="2">
        <v>-1332956592</v>
      </c>
      <c r="GG42" s="2">
        <v>2</v>
      </c>
      <c r="GH42" s="2">
        <v>4</v>
      </c>
      <c r="GI42" s="2">
        <v>-2</v>
      </c>
      <c r="GJ42" s="2">
        <v>0</v>
      </c>
      <c r="GK42" s="2">
        <v>0</v>
      </c>
      <c r="GL42" s="2">
        <f t="shared" si="49"/>
        <v>0</v>
      </c>
      <c r="GM42" s="2">
        <f t="shared" si="50"/>
        <v>0</v>
      </c>
      <c r="GN42" s="2">
        <f t="shared" si="51"/>
        <v>0</v>
      </c>
      <c r="GO42" s="2">
        <f t="shared" si="52"/>
        <v>0</v>
      </c>
      <c r="GP42" s="2">
        <f t="shared" si="53"/>
        <v>0</v>
      </c>
      <c r="GQ42" s="2"/>
      <c r="GR42" s="2">
        <v>0</v>
      </c>
      <c r="GS42" s="2">
        <v>2</v>
      </c>
      <c r="GT42" s="2">
        <v>0</v>
      </c>
      <c r="GU42" s="2" t="s">
        <v>3</v>
      </c>
      <c r="GV42" s="2">
        <f t="shared" si="54"/>
        <v>0</v>
      </c>
      <c r="GW42" s="2">
        <v>1</v>
      </c>
      <c r="GX42" s="2">
        <f t="shared" si="55"/>
        <v>0</v>
      </c>
      <c r="GY42" s="2"/>
      <c r="GZ42" s="2"/>
      <c r="HA42" s="2">
        <v>0</v>
      </c>
      <c r="HB42" s="2">
        <v>0</v>
      </c>
      <c r="HC42" s="2">
        <f t="shared" si="56"/>
        <v>0</v>
      </c>
      <c r="HD42" s="2"/>
      <c r="HE42" s="2" t="s">
        <v>3</v>
      </c>
      <c r="HF42" s="2" t="s">
        <v>3</v>
      </c>
      <c r="HG42" s="2"/>
      <c r="HH42" s="2"/>
      <c r="HI42" s="2"/>
      <c r="HJ42" s="2"/>
      <c r="HK42" s="2"/>
      <c r="HL42" s="2"/>
      <c r="HM42" s="2" t="s">
        <v>3</v>
      </c>
      <c r="HN42" s="2" t="s">
        <v>49</v>
      </c>
      <c r="HO42" s="2" t="s">
        <v>50</v>
      </c>
      <c r="HP42" s="2" t="s">
        <v>46</v>
      </c>
      <c r="HQ42" s="2" t="s">
        <v>46</v>
      </c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45" ht="12.75">
      <c r="A43">
        <v>18</v>
      </c>
      <c r="B43">
        <v>1</v>
      </c>
      <c r="C43">
        <v>30</v>
      </c>
      <c r="E43" t="s">
        <v>62</v>
      </c>
      <c r="F43" t="s">
        <v>52</v>
      </c>
      <c r="G43" t="s">
        <v>63</v>
      </c>
      <c r="H43" t="s">
        <v>54</v>
      </c>
      <c r="I43">
        <f>I33*J43</f>
        <v>20</v>
      </c>
      <c r="J43">
        <v>8.474576271186441</v>
      </c>
      <c r="K43">
        <v>8.474576</v>
      </c>
      <c r="O43">
        <f t="shared" si="21"/>
        <v>0</v>
      </c>
      <c r="P43">
        <f t="shared" si="22"/>
        <v>0</v>
      </c>
      <c r="Q43">
        <f t="shared" si="23"/>
        <v>0</v>
      </c>
      <c r="R43">
        <f t="shared" si="24"/>
        <v>0</v>
      </c>
      <c r="S43">
        <f t="shared" si="25"/>
        <v>0</v>
      </c>
      <c r="T43">
        <f t="shared" si="26"/>
        <v>0</v>
      </c>
      <c r="U43">
        <f t="shared" si="27"/>
        <v>0</v>
      </c>
      <c r="V43">
        <f t="shared" si="28"/>
        <v>0</v>
      </c>
      <c r="W43">
        <f t="shared" si="29"/>
        <v>0</v>
      </c>
      <c r="X43">
        <f t="shared" si="30"/>
        <v>0</v>
      </c>
      <c r="Y43">
        <f t="shared" si="31"/>
        <v>0</v>
      </c>
      <c r="AA43">
        <v>55722484</v>
      </c>
      <c r="AB43">
        <f t="shared" si="32"/>
        <v>0</v>
      </c>
      <c r="AC43">
        <f t="shared" si="33"/>
        <v>0</v>
      </c>
      <c r="AD43">
        <f t="shared" si="57"/>
        <v>0</v>
      </c>
      <c r="AE43">
        <f t="shared" si="58"/>
        <v>0</v>
      </c>
      <c r="AF43">
        <f t="shared" si="59"/>
        <v>0</v>
      </c>
      <c r="AG43">
        <f t="shared" si="35"/>
        <v>0</v>
      </c>
      <c r="AH43">
        <f t="shared" si="60"/>
        <v>0</v>
      </c>
      <c r="AI43">
        <f t="shared" si="61"/>
        <v>0</v>
      </c>
      <c r="AJ43">
        <f t="shared" si="37"/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100</v>
      </c>
      <c r="AU43">
        <v>49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1</v>
      </c>
      <c r="BH43">
        <v>3</v>
      </c>
      <c r="BI43">
        <v>1</v>
      </c>
      <c r="BM43">
        <v>15001</v>
      </c>
      <c r="BN43">
        <v>0</v>
      </c>
      <c r="BP43">
        <v>0</v>
      </c>
      <c r="BQ43">
        <v>2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Z43">
        <v>100</v>
      </c>
      <c r="CA43">
        <v>49</v>
      </c>
      <c r="CE43">
        <v>0</v>
      </c>
      <c r="CF43">
        <v>0</v>
      </c>
      <c r="CG43">
        <v>0</v>
      </c>
      <c r="CM43">
        <v>0</v>
      </c>
      <c r="CO43">
        <v>0</v>
      </c>
      <c r="CP43">
        <f t="shared" si="38"/>
        <v>0</v>
      </c>
      <c r="CQ43">
        <f t="shared" si="39"/>
        <v>0</v>
      </c>
      <c r="CR43">
        <f t="shared" si="62"/>
        <v>0</v>
      </c>
      <c r="CS43">
        <f t="shared" si="40"/>
        <v>0</v>
      </c>
      <c r="CT43">
        <f t="shared" si="41"/>
        <v>0</v>
      </c>
      <c r="CU43">
        <f t="shared" si="42"/>
        <v>0</v>
      </c>
      <c r="CV43">
        <f t="shared" si="43"/>
        <v>0</v>
      </c>
      <c r="CW43">
        <f t="shared" si="44"/>
        <v>0</v>
      </c>
      <c r="CX43">
        <f t="shared" si="45"/>
        <v>0</v>
      </c>
      <c r="CY43">
        <f t="shared" si="46"/>
        <v>0</v>
      </c>
      <c r="CZ43">
        <f t="shared" si="47"/>
        <v>0</v>
      </c>
      <c r="DN43">
        <v>0</v>
      </c>
      <c r="DO43">
        <v>0</v>
      </c>
      <c r="DP43">
        <v>1</v>
      </c>
      <c r="DQ43">
        <v>1</v>
      </c>
      <c r="DU43">
        <v>1013</v>
      </c>
      <c r="DV43" t="s">
        <v>54</v>
      </c>
      <c r="DW43" t="s">
        <v>54</v>
      </c>
      <c r="DX43">
        <v>1</v>
      </c>
      <c r="EE43">
        <v>55471694</v>
      </c>
      <c r="EF43">
        <v>2</v>
      </c>
      <c r="EG43" t="s">
        <v>45</v>
      </c>
      <c r="EH43">
        <v>15</v>
      </c>
      <c r="EI43" t="s">
        <v>46</v>
      </c>
      <c r="EJ43">
        <v>1</v>
      </c>
      <c r="EK43">
        <v>15001</v>
      </c>
      <c r="EL43" t="s">
        <v>46</v>
      </c>
      <c r="EM43" t="s">
        <v>47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FQ43">
        <v>0</v>
      </c>
      <c r="FR43">
        <f t="shared" si="48"/>
        <v>0</v>
      </c>
      <c r="FS43">
        <v>0</v>
      </c>
      <c r="FX43">
        <v>100</v>
      </c>
      <c r="FY43">
        <v>49</v>
      </c>
      <c r="GA43" t="s">
        <v>55</v>
      </c>
      <c r="GD43">
        <v>1</v>
      </c>
      <c r="GF43">
        <v>-1332956592</v>
      </c>
      <c r="GG43">
        <v>2</v>
      </c>
      <c r="GH43">
        <v>2</v>
      </c>
      <c r="GI43">
        <v>3</v>
      </c>
      <c r="GJ43">
        <v>0</v>
      </c>
      <c r="GK43">
        <v>0</v>
      </c>
      <c r="GL43">
        <f t="shared" si="49"/>
        <v>0</v>
      </c>
      <c r="GM43">
        <f t="shared" si="50"/>
        <v>0</v>
      </c>
      <c r="GN43">
        <f t="shared" si="51"/>
        <v>0</v>
      </c>
      <c r="GO43">
        <f t="shared" si="52"/>
        <v>0</v>
      </c>
      <c r="GP43">
        <f t="shared" si="53"/>
        <v>0</v>
      </c>
      <c r="GR43">
        <v>0</v>
      </c>
      <c r="GS43">
        <v>4</v>
      </c>
      <c r="GT43">
        <v>0</v>
      </c>
      <c r="GV43">
        <f t="shared" si="54"/>
        <v>0</v>
      </c>
      <c r="GW43">
        <v>1</v>
      </c>
      <c r="GX43">
        <f t="shared" si="55"/>
        <v>0</v>
      </c>
      <c r="HA43">
        <v>0</v>
      </c>
      <c r="HB43">
        <v>0</v>
      </c>
      <c r="HC43">
        <f t="shared" si="56"/>
        <v>0</v>
      </c>
      <c r="HN43" t="s">
        <v>49</v>
      </c>
      <c r="HO43" t="s">
        <v>50</v>
      </c>
      <c r="HP43" t="s">
        <v>46</v>
      </c>
      <c r="HQ43" t="s">
        <v>46</v>
      </c>
      <c r="IK43">
        <v>0</v>
      </c>
    </row>
    <row r="44" spans="1:255" ht="12.75">
      <c r="A44" s="2">
        <v>18</v>
      </c>
      <c r="B44" s="2">
        <v>1</v>
      </c>
      <c r="C44" s="2">
        <v>15</v>
      </c>
      <c r="D44" s="2"/>
      <c r="E44" s="2" t="s">
        <v>64</v>
      </c>
      <c r="F44" s="2" t="s">
        <v>52</v>
      </c>
      <c r="G44" s="2" t="s">
        <v>65</v>
      </c>
      <c r="H44" s="2" t="s">
        <v>54</v>
      </c>
      <c r="I44" s="2">
        <f>I32*J44</f>
        <v>190.00000000000003</v>
      </c>
      <c r="J44" s="2">
        <v>80.5084745762712</v>
      </c>
      <c r="K44" s="2">
        <v>80.508475</v>
      </c>
      <c r="L44" s="2"/>
      <c r="M44" s="2"/>
      <c r="N44" s="2"/>
      <c r="O44" s="2">
        <f t="shared" si="21"/>
        <v>0</v>
      </c>
      <c r="P44" s="2">
        <f t="shared" si="22"/>
        <v>0</v>
      </c>
      <c r="Q44" s="2">
        <f t="shared" si="23"/>
        <v>0</v>
      </c>
      <c r="R44" s="2">
        <f t="shared" si="24"/>
        <v>0</v>
      </c>
      <c r="S44" s="2">
        <f t="shared" si="25"/>
        <v>0</v>
      </c>
      <c r="T44" s="2">
        <f t="shared" si="26"/>
        <v>0</v>
      </c>
      <c r="U44" s="2">
        <f t="shared" si="27"/>
        <v>0</v>
      </c>
      <c r="V44" s="2">
        <f t="shared" si="28"/>
        <v>0</v>
      </c>
      <c r="W44" s="2">
        <f t="shared" si="29"/>
        <v>0</v>
      </c>
      <c r="X44" s="2">
        <f t="shared" si="30"/>
        <v>0</v>
      </c>
      <c r="Y44" s="2">
        <f t="shared" si="31"/>
        <v>0</v>
      </c>
      <c r="Z44" s="2"/>
      <c r="AA44" s="2">
        <v>55722483</v>
      </c>
      <c r="AB44" s="2">
        <f t="shared" si="32"/>
        <v>0</v>
      </c>
      <c r="AC44" s="2">
        <f t="shared" si="33"/>
        <v>0</v>
      </c>
      <c r="AD44" s="2">
        <f t="shared" si="57"/>
        <v>0</v>
      </c>
      <c r="AE44" s="2">
        <f t="shared" si="58"/>
        <v>0</v>
      </c>
      <c r="AF44" s="2">
        <f t="shared" si="59"/>
        <v>0</v>
      </c>
      <c r="AG44" s="2">
        <f t="shared" si="35"/>
        <v>0</v>
      </c>
      <c r="AH44" s="2">
        <f t="shared" si="60"/>
        <v>0</v>
      </c>
      <c r="AI44" s="2">
        <f t="shared" si="61"/>
        <v>0</v>
      </c>
      <c r="AJ44" s="2">
        <f t="shared" si="37"/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100</v>
      </c>
      <c r="AU44" s="2">
        <v>49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3</v>
      </c>
      <c r="BI44" s="2">
        <v>1</v>
      </c>
      <c r="BJ44" s="2" t="s">
        <v>3</v>
      </c>
      <c r="BK44" s="2"/>
      <c r="BL44" s="2"/>
      <c r="BM44" s="2">
        <v>15001</v>
      </c>
      <c r="BN44" s="2">
        <v>0</v>
      </c>
      <c r="BO44" s="2" t="s">
        <v>3</v>
      </c>
      <c r="BP44" s="2">
        <v>0</v>
      </c>
      <c r="BQ44" s="2">
        <v>2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100</v>
      </c>
      <c r="CA44" s="2">
        <v>49</v>
      </c>
      <c r="CB44" s="2" t="s">
        <v>3</v>
      </c>
      <c r="CC44" s="2"/>
      <c r="CD44" s="2"/>
      <c r="CE44" s="2">
        <v>0</v>
      </c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8"/>
        <v>0</v>
      </c>
      <c r="CQ44" s="2">
        <f t="shared" si="39"/>
        <v>0</v>
      </c>
      <c r="CR44" s="2">
        <f t="shared" si="62"/>
        <v>0</v>
      </c>
      <c r="CS44" s="2">
        <f t="shared" si="40"/>
        <v>0</v>
      </c>
      <c r="CT44" s="2">
        <f t="shared" si="41"/>
        <v>0</v>
      </c>
      <c r="CU44" s="2">
        <f t="shared" si="42"/>
        <v>0</v>
      </c>
      <c r="CV44" s="2">
        <f t="shared" si="43"/>
        <v>0</v>
      </c>
      <c r="CW44" s="2">
        <f t="shared" si="44"/>
        <v>0</v>
      </c>
      <c r="CX44" s="2">
        <f t="shared" si="45"/>
        <v>0</v>
      </c>
      <c r="CY44" s="2">
        <f t="shared" si="46"/>
        <v>0</v>
      </c>
      <c r="CZ44" s="2">
        <f t="shared" si="47"/>
        <v>0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1013</v>
      </c>
      <c r="DV44" s="2" t="s">
        <v>54</v>
      </c>
      <c r="DW44" s="2" t="s">
        <v>54</v>
      </c>
      <c r="DX44" s="2">
        <v>1</v>
      </c>
      <c r="DY44" s="2"/>
      <c r="DZ44" s="2" t="s">
        <v>3</v>
      </c>
      <c r="EA44" s="2" t="s">
        <v>3</v>
      </c>
      <c r="EB44" s="2" t="s">
        <v>3</v>
      </c>
      <c r="EC44" s="2" t="s">
        <v>3</v>
      </c>
      <c r="ED44" s="2"/>
      <c r="EE44" s="2">
        <v>55471694</v>
      </c>
      <c r="EF44" s="2">
        <v>2</v>
      </c>
      <c r="EG44" s="2" t="s">
        <v>45</v>
      </c>
      <c r="EH44" s="2">
        <v>15</v>
      </c>
      <c r="EI44" s="2" t="s">
        <v>46</v>
      </c>
      <c r="EJ44" s="2">
        <v>1</v>
      </c>
      <c r="EK44" s="2">
        <v>15001</v>
      </c>
      <c r="EL44" s="2" t="s">
        <v>46</v>
      </c>
      <c r="EM44" s="2" t="s">
        <v>47</v>
      </c>
      <c r="EN44" s="2"/>
      <c r="EO44" s="2" t="s">
        <v>3</v>
      </c>
      <c r="EP44" s="2"/>
      <c r="EQ44" s="2">
        <v>0</v>
      </c>
      <c r="ER44" s="2">
        <v>0</v>
      </c>
      <c r="ES44" s="2">
        <v>0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8"/>
        <v>0</v>
      </c>
      <c r="FS44" s="2">
        <v>0</v>
      </c>
      <c r="FT44" s="2"/>
      <c r="FU44" s="2"/>
      <c r="FV44" s="2"/>
      <c r="FW44" s="2"/>
      <c r="FX44" s="2">
        <v>100</v>
      </c>
      <c r="FY44" s="2">
        <v>49</v>
      </c>
      <c r="FZ44" s="2"/>
      <c r="GA44" s="2" t="s">
        <v>55</v>
      </c>
      <c r="GB44" s="2"/>
      <c r="GC44" s="2"/>
      <c r="GD44" s="2">
        <v>1</v>
      </c>
      <c r="GE44" s="2"/>
      <c r="GF44" s="2">
        <v>-1240923795</v>
      </c>
      <c r="GG44" s="2">
        <v>2</v>
      </c>
      <c r="GH44" s="2">
        <v>4</v>
      </c>
      <c r="GI44" s="2">
        <v>-2</v>
      </c>
      <c r="GJ44" s="2">
        <v>0</v>
      </c>
      <c r="GK44" s="2">
        <v>0</v>
      </c>
      <c r="GL44" s="2">
        <f t="shared" si="49"/>
        <v>0</v>
      </c>
      <c r="GM44" s="2">
        <f t="shared" si="50"/>
        <v>0</v>
      </c>
      <c r="GN44" s="2">
        <f t="shared" si="51"/>
        <v>0</v>
      </c>
      <c r="GO44" s="2">
        <f t="shared" si="52"/>
        <v>0</v>
      </c>
      <c r="GP44" s="2">
        <f t="shared" si="53"/>
        <v>0</v>
      </c>
      <c r="GQ44" s="2"/>
      <c r="GR44" s="2">
        <v>0</v>
      </c>
      <c r="GS44" s="2">
        <v>2</v>
      </c>
      <c r="GT44" s="2">
        <v>0</v>
      </c>
      <c r="GU44" s="2" t="s">
        <v>3</v>
      </c>
      <c r="GV44" s="2">
        <f t="shared" si="54"/>
        <v>0</v>
      </c>
      <c r="GW44" s="2">
        <v>1</v>
      </c>
      <c r="GX44" s="2">
        <f t="shared" si="55"/>
        <v>0</v>
      </c>
      <c r="GY44" s="2"/>
      <c r="GZ44" s="2"/>
      <c r="HA44" s="2">
        <v>0</v>
      </c>
      <c r="HB44" s="2">
        <v>0</v>
      </c>
      <c r="HC44" s="2">
        <f t="shared" si="56"/>
        <v>0</v>
      </c>
      <c r="HD44" s="2"/>
      <c r="HE44" s="2" t="s">
        <v>3</v>
      </c>
      <c r="HF44" s="2" t="s">
        <v>3</v>
      </c>
      <c r="HG44" s="2"/>
      <c r="HH44" s="2"/>
      <c r="HI44" s="2"/>
      <c r="HJ44" s="2"/>
      <c r="HK44" s="2"/>
      <c r="HL44" s="2"/>
      <c r="HM44" s="2" t="s">
        <v>3</v>
      </c>
      <c r="HN44" s="2" t="s">
        <v>49</v>
      </c>
      <c r="HO44" s="2" t="s">
        <v>50</v>
      </c>
      <c r="HP44" s="2" t="s">
        <v>46</v>
      </c>
      <c r="HQ44" s="2" t="s">
        <v>46</v>
      </c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45" ht="12.75">
      <c r="A45">
        <v>18</v>
      </c>
      <c r="B45">
        <v>1</v>
      </c>
      <c r="C45">
        <v>31</v>
      </c>
      <c r="E45" t="s">
        <v>64</v>
      </c>
      <c r="F45" t="s">
        <v>52</v>
      </c>
      <c r="G45" t="s">
        <v>65</v>
      </c>
      <c r="H45" t="s">
        <v>54</v>
      </c>
      <c r="I45">
        <f>I33*J45</f>
        <v>190.00000000000003</v>
      </c>
      <c r="J45">
        <v>80.5084745762712</v>
      </c>
      <c r="K45">
        <v>80.508475</v>
      </c>
      <c r="O45">
        <f t="shared" si="21"/>
        <v>0</v>
      </c>
      <c r="P45">
        <f t="shared" si="22"/>
        <v>0</v>
      </c>
      <c r="Q45">
        <f t="shared" si="23"/>
        <v>0</v>
      </c>
      <c r="R45">
        <f t="shared" si="24"/>
        <v>0</v>
      </c>
      <c r="S45">
        <f t="shared" si="25"/>
        <v>0</v>
      </c>
      <c r="T45">
        <f t="shared" si="26"/>
        <v>0</v>
      </c>
      <c r="U45">
        <f t="shared" si="27"/>
        <v>0</v>
      </c>
      <c r="V45">
        <f t="shared" si="28"/>
        <v>0</v>
      </c>
      <c r="W45">
        <f t="shared" si="29"/>
        <v>0</v>
      </c>
      <c r="X45">
        <f t="shared" si="30"/>
        <v>0</v>
      </c>
      <c r="Y45">
        <f t="shared" si="31"/>
        <v>0</v>
      </c>
      <c r="AA45">
        <v>55722484</v>
      </c>
      <c r="AB45">
        <f t="shared" si="32"/>
        <v>0</v>
      </c>
      <c r="AC45">
        <f t="shared" si="33"/>
        <v>0</v>
      </c>
      <c r="AD45">
        <f t="shared" si="57"/>
        <v>0</v>
      </c>
      <c r="AE45">
        <f t="shared" si="58"/>
        <v>0</v>
      </c>
      <c r="AF45">
        <f t="shared" si="59"/>
        <v>0</v>
      </c>
      <c r="AG45">
        <f t="shared" si="35"/>
        <v>0</v>
      </c>
      <c r="AH45">
        <f t="shared" si="60"/>
        <v>0</v>
      </c>
      <c r="AI45">
        <f t="shared" si="61"/>
        <v>0</v>
      </c>
      <c r="AJ45">
        <f t="shared" si="37"/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100</v>
      </c>
      <c r="AU45">
        <v>49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1</v>
      </c>
      <c r="BH45">
        <v>3</v>
      </c>
      <c r="BI45">
        <v>1</v>
      </c>
      <c r="BM45">
        <v>15001</v>
      </c>
      <c r="BN45">
        <v>0</v>
      </c>
      <c r="BP45">
        <v>0</v>
      </c>
      <c r="BQ45">
        <v>2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Z45">
        <v>100</v>
      </c>
      <c r="CA45">
        <v>49</v>
      </c>
      <c r="CE45">
        <v>0</v>
      </c>
      <c r="CF45">
        <v>0</v>
      </c>
      <c r="CG45">
        <v>0</v>
      </c>
      <c r="CM45">
        <v>0</v>
      </c>
      <c r="CO45">
        <v>0</v>
      </c>
      <c r="CP45">
        <f t="shared" si="38"/>
        <v>0</v>
      </c>
      <c r="CQ45">
        <f t="shared" si="39"/>
        <v>0</v>
      </c>
      <c r="CR45">
        <f t="shared" si="62"/>
        <v>0</v>
      </c>
      <c r="CS45">
        <f t="shared" si="40"/>
        <v>0</v>
      </c>
      <c r="CT45">
        <f t="shared" si="41"/>
        <v>0</v>
      </c>
      <c r="CU45">
        <f t="shared" si="42"/>
        <v>0</v>
      </c>
      <c r="CV45">
        <f t="shared" si="43"/>
        <v>0</v>
      </c>
      <c r="CW45">
        <f t="shared" si="44"/>
        <v>0</v>
      </c>
      <c r="CX45">
        <f t="shared" si="45"/>
        <v>0</v>
      </c>
      <c r="CY45">
        <f t="shared" si="46"/>
        <v>0</v>
      </c>
      <c r="CZ45">
        <f t="shared" si="47"/>
        <v>0</v>
      </c>
      <c r="DN45">
        <v>0</v>
      </c>
      <c r="DO45">
        <v>0</v>
      </c>
      <c r="DP45">
        <v>1</v>
      </c>
      <c r="DQ45">
        <v>1</v>
      </c>
      <c r="DU45">
        <v>1013</v>
      </c>
      <c r="DV45" t="s">
        <v>54</v>
      </c>
      <c r="DW45" t="s">
        <v>54</v>
      </c>
      <c r="DX45">
        <v>1</v>
      </c>
      <c r="EE45">
        <v>55471694</v>
      </c>
      <c r="EF45">
        <v>2</v>
      </c>
      <c r="EG45" t="s">
        <v>45</v>
      </c>
      <c r="EH45">
        <v>15</v>
      </c>
      <c r="EI45" t="s">
        <v>46</v>
      </c>
      <c r="EJ45">
        <v>1</v>
      </c>
      <c r="EK45">
        <v>15001</v>
      </c>
      <c r="EL45" t="s">
        <v>46</v>
      </c>
      <c r="EM45" t="s">
        <v>47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FQ45">
        <v>0</v>
      </c>
      <c r="FR45">
        <f t="shared" si="48"/>
        <v>0</v>
      </c>
      <c r="FS45">
        <v>0</v>
      </c>
      <c r="FX45">
        <v>100</v>
      </c>
      <c r="FY45">
        <v>49</v>
      </c>
      <c r="GA45" t="s">
        <v>55</v>
      </c>
      <c r="GD45">
        <v>1</v>
      </c>
      <c r="GF45">
        <v>-1240923795</v>
      </c>
      <c r="GG45">
        <v>2</v>
      </c>
      <c r="GH45">
        <v>2</v>
      </c>
      <c r="GI45">
        <v>3</v>
      </c>
      <c r="GJ45">
        <v>0</v>
      </c>
      <c r="GK45">
        <v>0</v>
      </c>
      <c r="GL45">
        <f t="shared" si="49"/>
        <v>0</v>
      </c>
      <c r="GM45">
        <f t="shared" si="50"/>
        <v>0</v>
      </c>
      <c r="GN45">
        <f t="shared" si="51"/>
        <v>0</v>
      </c>
      <c r="GO45">
        <f t="shared" si="52"/>
        <v>0</v>
      </c>
      <c r="GP45">
        <f t="shared" si="53"/>
        <v>0</v>
      </c>
      <c r="GR45">
        <v>0</v>
      </c>
      <c r="GS45">
        <v>4</v>
      </c>
      <c r="GT45">
        <v>0</v>
      </c>
      <c r="GV45">
        <f t="shared" si="54"/>
        <v>0</v>
      </c>
      <c r="GW45">
        <v>1</v>
      </c>
      <c r="GX45">
        <f t="shared" si="55"/>
        <v>0</v>
      </c>
      <c r="HA45">
        <v>0</v>
      </c>
      <c r="HB45">
        <v>0</v>
      </c>
      <c r="HC45">
        <f t="shared" si="56"/>
        <v>0</v>
      </c>
      <c r="HN45" t="s">
        <v>49</v>
      </c>
      <c r="HO45" t="s">
        <v>50</v>
      </c>
      <c r="HP45" t="s">
        <v>46</v>
      </c>
      <c r="HQ45" t="s">
        <v>46</v>
      </c>
      <c r="IK45">
        <v>0</v>
      </c>
    </row>
    <row r="46" spans="1:255" ht="12.75">
      <c r="A46" s="2">
        <v>18</v>
      </c>
      <c r="B46" s="2">
        <v>1</v>
      </c>
      <c r="C46" s="2">
        <v>16</v>
      </c>
      <c r="D46" s="2"/>
      <c r="E46" s="2" t="s">
        <v>66</v>
      </c>
      <c r="F46" s="2" t="s">
        <v>52</v>
      </c>
      <c r="G46" s="2" t="s">
        <v>67</v>
      </c>
      <c r="H46" s="2" t="s">
        <v>54</v>
      </c>
      <c r="I46" s="2">
        <f>I32*J46</f>
        <v>28</v>
      </c>
      <c r="J46" s="2">
        <v>11.864406779661017</v>
      </c>
      <c r="K46" s="2">
        <v>11.864407</v>
      </c>
      <c r="L46" s="2"/>
      <c r="M46" s="2"/>
      <c r="N46" s="2"/>
      <c r="O46" s="2">
        <f t="shared" si="21"/>
        <v>0</v>
      </c>
      <c r="P46" s="2">
        <f t="shared" si="22"/>
        <v>0</v>
      </c>
      <c r="Q46" s="2">
        <f t="shared" si="23"/>
        <v>0</v>
      </c>
      <c r="R46" s="2">
        <f t="shared" si="24"/>
        <v>0</v>
      </c>
      <c r="S46" s="2">
        <f t="shared" si="25"/>
        <v>0</v>
      </c>
      <c r="T46" s="2">
        <f t="shared" si="26"/>
        <v>0</v>
      </c>
      <c r="U46" s="2">
        <f t="shared" si="27"/>
        <v>0</v>
      </c>
      <c r="V46" s="2">
        <f t="shared" si="28"/>
        <v>0</v>
      </c>
      <c r="W46" s="2">
        <f t="shared" si="29"/>
        <v>0</v>
      </c>
      <c r="X46" s="2">
        <f t="shared" si="30"/>
        <v>0</v>
      </c>
      <c r="Y46" s="2">
        <f t="shared" si="31"/>
        <v>0</v>
      </c>
      <c r="Z46" s="2"/>
      <c r="AA46" s="2">
        <v>55722483</v>
      </c>
      <c r="AB46" s="2">
        <f t="shared" si="32"/>
        <v>0</v>
      </c>
      <c r="AC46" s="2">
        <f t="shared" si="33"/>
        <v>0</v>
      </c>
      <c r="AD46" s="2">
        <f t="shared" si="57"/>
        <v>0</v>
      </c>
      <c r="AE46" s="2">
        <f t="shared" si="58"/>
        <v>0</v>
      </c>
      <c r="AF46" s="2">
        <f t="shared" si="59"/>
        <v>0</v>
      </c>
      <c r="AG46" s="2">
        <f t="shared" si="35"/>
        <v>0</v>
      </c>
      <c r="AH46" s="2">
        <f t="shared" si="60"/>
        <v>0</v>
      </c>
      <c r="AI46" s="2">
        <f t="shared" si="61"/>
        <v>0</v>
      </c>
      <c r="AJ46" s="2">
        <f t="shared" si="37"/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100</v>
      </c>
      <c r="AU46" s="2">
        <v>49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3</v>
      </c>
      <c r="BI46" s="2">
        <v>1</v>
      </c>
      <c r="BJ46" s="2" t="s">
        <v>3</v>
      </c>
      <c r="BK46" s="2"/>
      <c r="BL46" s="2"/>
      <c r="BM46" s="2">
        <v>15001</v>
      </c>
      <c r="BN46" s="2">
        <v>0</v>
      </c>
      <c r="BO46" s="2" t="s">
        <v>3</v>
      </c>
      <c r="BP46" s="2">
        <v>0</v>
      </c>
      <c r="BQ46" s="2">
        <v>2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100</v>
      </c>
      <c r="CA46" s="2">
        <v>49</v>
      </c>
      <c r="CB46" s="2" t="s">
        <v>3</v>
      </c>
      <c r="CC46" s="2"/>
      <c r="CD46" s="2"/>
      <c r="CE46" s="2">
        <v>0</v>
      </c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8"/>
        <v>0</v>
      </c>
      <c r="CQ46" s="2">
        <f t="shared" si="39"/>
        <v>0</v>
      </c>
      <c r="CR46" s="2">
        <f t="shared" si="62"/>
        <v>0</v>
      </c>
      <c r="CS46" s="2">
        <f t="shared" si="40"/>
        <v>0</v>
      </c>
      <c r="CT46" s="2">
        <f t="shared" si="41"/>
        <v>0</v>
      </c>
      <c r="CU46" s="2">
        <f t="shared" si="42"/>
        <v>0</v>
      </c>
      <c r="CV46" s="2">
        <f t="shared" si="43"/>
        <v>0</v>
      </c>
      <c r="CW46" s="2">
        <f t="shared" si="44"/>
        <v>0</v>
      </c>
      <c r="CX46" s="2">
        <f t="shared" si="45"/>
        <v>0</v>
      </c>
      <c r="CY46" s="2">
        <f t="shared" si="46"/>
        <v>0</v>
      </c>
      <c r="CZ46" s="2">
        <f t="shared" si="47"/>
        <v>0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1013</v>
      </c>
      <c r="DV46" s="2" t="s">
        <v>54</v>
      </c>
      <c r="DW46" s="2" t="s">
        <v>54</v>
      </c>
      <c r="DX46" s="2">
        <v>1</v>
      </c>
      <c r="DY46" s="2"/>
      <c r="DZ46" s="2" t="s">
        <v>3</v>
      </c>
      <c r="EA46" s="2" t="s">
        <v>3</v>
      </c>
      <c r="EB46" s="2" t="s">
        <v>3</v>
      </c>
      <c r="EC46" s="2" t="s">
        <v>3</v>
      </c>
      <c r="ED46" s="2"/>
      <c r="EE46" s="2">
        <v>55471694</v>
      </c>
      <c r="EF46" s="2">
        <v>2</v>
      </c>
      <c r="EG46" s="2" t="s">
        <v>45</v>
      </c>
      <c r="EH46" s="2">
        <v>15</v>
      </c>
      <c r="EI46" s="2" t="s">
        <v>46</v>
      </c>
      <c r="EJ46" s="2">
        <v>1</v>
      </c>
      <c r="EK46" s="2">
        <v>15001</v>
      </c>
      <c r="EL46" s="2" t="s">
        <v>46</v>
      </c>
      <c r="EM46" s="2" t="s">
        <v>47</v>
      </c>
      <c r="EN46" s="2"/>
      <c r="EO46" s="2" t="s">
        <v>3</v>
      </c>
      <c r="EP46" s="2"/>
      <c r="EQ46" s="2">
        <v>0</v>
      </c>
      <c r="ER46" s="2">
        <v>0</v>
      </c>
      <c r="ES46" s="2">
        <v>0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8"/>
        <v>0</v>
      </c>
      <c r="FS46" s="2">
        <v>0</v>
      </c>
      <c r="FT46" s="2"/>
      <c r="FU46" s="2"/>
      <c r="FV46" s="2"/>
      <c r="FW46" s="2"/>
      <c r="FX46" s="2">
        <v>100</v>
      </c>
      <c r="FY46" s="2">
        <v>49</v>
      </c>
      <c r="FZ46" s="2"/>
      <c r="GA46" s="2" t="s">
        <v>55</v>
      </c>
      <c r="GB46" s="2"/>
      <c r="GC46" s="2"/>
      <c r="GD46" s="2">
        <v>1</v>
      </c>
      <c r="GE46" s="2"/>
      <c r="GF46" s="2">
        <v>220597244</v>
      </c>
      <c r="GG46" s="2">
        <v>2</v>
      </c>
      <c r="GH46" s="2">
        <v>4</v>
      </c>
      <c r="GI46" s="2">
        <v>-2</v>
      </c>
      <c r="GJ46" s="2">
        <v>0</v>
      </c>
      <c r="GK46" s="2">
        <v>0</v>
      </c>
      <c r="GL46" s="2">
        <f t="shared" si="49"/>
        <v>0</v>
      </c>
      <c r="GM46" s="2">
        <f t="shared" si="50"/>
        <v>0</v>
      </c>
      <c r="GN46" s="2">
        <f t="shared" si="51"/>
        <v>0</v>
      </c>
      <c r="GO46" s="2">
        <f t="shared" si="52"/>
        <v>0</v>
      </c>
      <c r="GP46" s="2">
        <f t="shared" si="53"/>
        <v>0</v>
      </c>
      <c r="GQ46" s="2"/>
      <c r="GR46" s="2">
        <v>0</v>
      </c>
      <c r="GS46" s="2">
        <v>2</v>
      </c>
      <c r="GT46" s="2">
        <v>0</v>
      </c>
      <c r="GU46" s="2" t="s">
        <v>3</v>
      </c>
      <c r="GV46" s="2">
        <f t="shared" si="54"/>
        <v>0</v>
      </c>
      <c r="GW46" s="2">
        <v>1</v>
      </c>
      <c r="GX46" s="2">
        <f t="shared" si="55"/>
        <v>0</v>
      </c>
      <c r="GY46" s="2"/>
      <c r="GZ46" s="2"/>
      <c r="HA46" s="2">
        <v>0</v>
      </c>
      <c r="HB46" s="2">
        <v>0</v>
      </c>
      <c r="HC46" s="2">
        <f t="shared" si="56"/>
        <v>0</v>
      </c>
      <c r="HD46" s="2"/>
      <c r="HE46" s="2" t="s">
        <v>3</v>
      </c>
      <c r="HF46" s="2" t="s">
        <v>3</v>
      </c>
      <c r="HG46" s="2"/>
      <c r="HH46" s="2"/>
      <c r="HI46" s="2"/>
      <c r="HJ46" s="2"/>
      <c r="HK46" s="2"/>
      <c r="HL46" s="2"/>
      <c r="HM46" s="2" t="s">
        <v>3</v>
      </c>
      <c r="HN46" s="2" t="s">
        <v>49</v>
      </c>
      <c r="HO46" s="2" t="s">
        <v>50</v>
      </c>
      <c r="HP46" s="2" t="s">
        <v>46</v>
      </c>
      <c r="HQ46" s="2" t="s">
        <v>46</v>
      </c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45" ht="12.75">
      <c r="A47">
        <v>18</v>
      </c>
      <c r="B47">
        <v>1</v>
      </c>
      <c r="C47">
        <v>32</v>
      </c>
      <c r="E47" t="s">
        <v>66</v>
      </c>
      <c r="F47" t="s">
        <v>52</v>
      </c>
      <c r="G47" t="s">
        <v>67</v>
      </c>
      <c r="H47" t="s">
        <v>54</v>
      </c>
      <c r="I47">
        <f>I33*J47</f>
        <v>28</v>
      </c>
      <c r="J47">
        <v>11.864406779661017</v>
      </c>
      <c r="K47">
        <v>11.864407</v>
      </c>
      <c r="O47">
        <f t="shared" si="21"/>
        <v>0</v>
      </c>
      <c r="P47">
        <f t="shared" si="22"/>
        <v>0</v>
      </c>
      <c r="Q47">
        <f t="shared" si="23"/>
        <v>0</v>
      </c>
      <c r="R47">
        <f t="shared" si="24"/>
        <v>0</v>
      </c>
      <c r="S47">
        <f t="shared" si="25"/>
        <v>0</v>
      </c>
      <c r="T47">
        <f t="shared" si="26"/>
        <v>0</v>
      </c>
      <c r="U47">
        <f t="shared" si="27"/>
        <v>0</v>
      </c>
      <c r="V47">
        <f t="shared" si="28"/>
        <v>0</v>
      </c>
      <c r="W47">
        <f t="shared" si="29"/>
        <v>0</v>
      </c>
      <c r="X47">
        <f t="shared" si="30"/>
        <v>0</v>
      </c>
      <c r="Y47">
        <f t="shared" si="31"/>
        <v>0</v>
      </c>
      <c r="AA47">
        <v>55722484</v>
      </c>
      <c r="AB47">
        <f t="shared" si="32"/>
        <v>0</v>
      </c>
      <c r="AC47">
        <f t="shared" si="33"/>
        <v>0</v>
      </c>
      <c r="AD47">
        <f t="shared" si="57"/>
        <v>0</v>
      </c>
      <c r="AE47">
        <f t="shared" si="58"/>
        <v>0</v>
      </c>
      <c r="AF47">
        <f t="shared" si="59"/>
        <v>0</v>
      </c>
      <c r="AG47">
        <f t="shared" si="35"/>
        <v>0</v>
      </c>
      <c r="AH47">
        <f t="shared" si="60"/>
        <v>0</v>
      </c>
      <c r="AI47">
        <f t="shared" si="61"/>
        <v>0</v>
      </c>
      <c r="AJ47">
        <f t="shared" si="37"/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100</v>
      </c>
      <c r="AU47">
        <v>49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1</v>
      </c>
      <c r="BH47">
        <v>3</v>
      </c>
      <c r="BI47">
        <v>1</v>
      </c>
      <c r="BM47">
        <v>15001</v>
      </c>
      <c r="BN47">
        <v>0</v>
      </c>
      <c r="BP47">
        <v>0</v>
      </c>
      <c r="BQ47">
        <v>2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Z47">
        <v>100</v>
      </c>
      <c r="CA47">
        <v>49</v>
      </c>
      <c r="CE47">
        <v>0</v>
      </c>
      <c r="CF47">
        <v>0</v>
      </c>
      <c r="CG47">
        <v>0</v>
      </c>
      <c r="CM47">
        <v>0</v>
      </c>
      <c r="CO47">
        <v>0</v>
      </c>
      <c r="CP47">
        <f t="shared" si="38"/>
        <v>0</v>
      </c>
      <c r="CQ47">
        <f t="shared" si="39"/>
        <v>0</v>
      </c>
      <c r="CR47">
        <f t="shared" si="62"/>
        <v>0</v>
      </c>
      <c r="CS47">
        <f t="shared" si="40"/>
        <v>0</v>
      </c>
      <c r="CT47">
        <f t="shared" si="41"/>
        <v>0</v>
      </c>
      <c r="CU47">
        <f t="shared" si="42"/>
        <v>0</v>
      </c>
      <c r="CV47">
        <f t="shared" si="43"/>
        <v>0</v>
      </c>
      <c r="CW47">
        <f t="shared" si="44"/>
        <v>0</v>
      </c>
      <c r="CX47">
        <f t="shared" si="45"/>
        <v>0</v>
      </c>
      <c r="CY47">
        <f t="shared" si="46"/>
        <v>0</v>
      </c>
      <c r="CZ47">
        <f t="shared" si="47"/>
        <v>0</v>
      </c>
      <c r="DN47">
        <v>0</v>
      </c>
      <c r="DO47">
        <v>0</v>
      </c>
      <c r="DP47">
        <v>1</v>
      </c>
      <c r="DQ47">
        <v>1</v>
      </c>
      <c r="DU47">
        <v>1013</v>
      </c>
      <c r="DV47" t="s">
        <v>54</v>
      </c>
      <c r="DW47" t="s">
        <v>54</v>
      </c>
      <c r="DX47">
        <v>1</v>
      </c>
      <c r="EE47">
        <v>55471694</v>
      </c>
      <c r="EF47">
        <v>2</v>
      </c>
      <c r="EG47" t="s">
        <v>45</v>
      </c>
      <c r="EH47">
        <v>15</v>
      </c>
      <c r="EI47" t="s">
        <v>46</v>
      </c>
      <c r="EJ47">
        <v>1</v>
      </c>
      <c r="EK47">
        <v>15001</v>
      </c>
      <c r="EL47" t="s">
        <v>46</v>
      </c>
      <c r="EM47" t="s">
        <v>47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FQ47">
        <v>0</v>
      </c>
      <c r="FR47">
        <f t="shared" si="48"/>
        <v>0</v>
      </c>
      <c r="FS47">
        <v>0</v>
      </c>
      <c r="FX47">
        <v>100</v>
      </c>
      <c r="FY47">
        <v>49</v>
      </c>
      <c r="GA47" t="s">
        <v>55</v>
      </c>
      <c r="GD47">
        <v>1</v>
      </c>
      <c r="GF47">
        <v>220597244</v>
      </c>
      <c r="GG47">
        <v>2</v>
      </c>
      <c r="GH47">
        <v>2</v>
      </c>
      <c r="GI47">
        <v>3</v>
      </c>
      <c r="GJ47">
        <v>0</v>
      </c>
      <c r="GK47">
        <v>0</v>
      </c>
      <c r="GL47">
        <f t="shared" si="49"/>
        <v>0</v>
      </c>
      <c r="GM47">
        <f t="shared" si="50"/>
        <v>0</v>
      </c>
      <c r="GN47">
        <f t="shared" si="51"/>
        <v>0</v>
      </c>
      <c r="GO47">
        <f t="shared" si="52"/>
        <v>0</v>
      </c>
      <c r="GP47">
        <f t="shared" si="53"/>
        <v>0</v>
      </c>
      <c r="GR47">
        <v>0</v>
      </c>
      <c r="GS47">
        <v>4</v>
      </c>
      <c r="GT47">
        <v>0</v>
      </c>
      <c r="GV47">
        <f t="shared" si="54"/>
        <v>0</v>
      </c>
      <c r="GW47">
        <v>1</v>
      </c>
      <c r="GX47">
        <f t="shared" si="55"/>
        <v>0</v>
      </c>
      <c r="HA47">
        <v>0</v>
      </c>
      <c r="HB47">
        <v>0</v>
      </c>
      <c r="HC47">
        <f t="shared" si="56"/>
        <v>0</v>
      </c>
      <c r="HN47" t="s">
        <v>49</v>
      </c>
      <c r="HO47" t="s">
        <v>50</v>
      </c>
      <c r="HP47" t="s">
        <v>46</v>
      </c>
      <c r="HQ47" t="s">
        <v>46</v>
      </c>
      <c r="IK47">
        <v>0</v>
      </c>
    </row>
    <row r="48" spans="1:255" ht="12.75">
      <c r="A48" s="2">
        <v>18</v>
      </c>
      <c r="B48" s="2">
        <v>1</v>
      </c>
      <c r="C48" s="2">
        <v>17</v>
      </c>
      <c r="D48" s="2"/>
      <c r="E48" s="2" t="s">
        <v>68</v>
      </c>
      <c r="F48" s="2" t="s">
        <v>52</v>
      </c>
      <c r="G48" s="2" t="s">
        <v>69</v>
      </c>
      <c r="H48" s="2" t="s">
        <v>54</v>
      </c>
      <c r="I48" s="2">
        <f>I32*J48</f>
        <v>25</v>
      </c>
      <c r="J48" s="2">
        <v>10.593220338983052</v>
      </c>
      <c r="K48" s="2">
        <v>10.59322</v>
      </c>
      <c r="L48" s="2"/>
      <c r="M48" s="2"/>
      <c r="N48" s="2"/>
      <c r="O48" s="2">
        <f t="shared" si="21"/>
        <v>0</v>
      </c>
      <c r="P48" s="2">
        <f t="shared" si="22"/>
        <v>0</v>
      </c>
      <c r="Q48" s="2">
        <f t="shared" si="23"/>
        <v>0</v>
      </c>
      <c r="R48" s="2">
        <f t="shared" si="24"/>
        <v>0</v>
      </c>
      <c r="S48" s="2">
        <f t="shared" si="25"/>
        <v>0</v>
      </c>
      <c r="T48" s="2">
        <f t="shared" si="26"/>
        <v>0</v>
      </c>
      <c r="U48" s="2">
        <f t="shared" si="27"/>
        <v>0</v>
      </c>
      <c r="V48" s="2">
        <f t="shared" si="28"/>
        <v>0</v>
      </c>
      <c r="W48" s="2">
        <f t="shared" si="29"/>
        <v>0</v>
      </c>
      <c r="X48" s="2">
        <f t="shared" si="30"/>
        <v>0</v>
      </c>
      <c r="Y48" s="2">
        <f t="shared" si="31"/>
        <v>0</v>
      </c>
      <c r="Z48" s="2"/>
      <c r="AA48" s="2">
        <v>55722483</v>
      </c>
      <c r="AB48" s="2">
        <f t="shared" si="32"/>
        <v>0</v>
      </c>
      <c r="AC48" s="2">
        <f t="shared" si="33"/>
        <v>0</v>
      </c>
      <c r="AD48" s="2">
        <f t="shared" si="57"/>
        <v>0</v>
      </c>
      <c r="AE48" s="2">
        <f t="shared" si="58"/>
        <v>0</v>
      </c>
      <c r="AF48" s="2">
        <f t="shared" si="59"/>
        <v>0</v>
      </c>
      <c r="AG48" s="2">
        <f t="shared" si="35"/>
        <v>0</v>
      </c>
      <c r="AH48" s="2">
        <f t="shared" si="60"/>
        <v>0</v>
      </c>
      <c r="AI48" s="2">
        <f t="shared" si="61"/>
        <v>0</v>
      </c>
      <c r="AJ48" s="2">
        <f t="shared" si="37"/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100</v>
      </c>
      <c r="AU48" s="2">
        <v>49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15001</v>
      </c>
      <c r="BN48" s="2">
        <v>0</v>
      </c>
      <c r="BO48" s="2" t="s">
        <v>3</v>
      </c>
      <c r="BP48" s="2">
        <v>0</v>
      </c>
      <c r="BQ48" s="2">
        <v>2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100</v>
      </c>
      <c r="CA48" s="2">
        <v>49</v>
      </c>
      <c r="CB48" s="2" t="s">
        <v>3</v>
      </c>
      <c r="CC48" s="2"/>
      <c r="CD48" s="2"/>
      <c r="CE48" s="2">
        <v>0</v>
      </c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8"/>
        <v>0</v>
      </c>
      <c r="CQ48" s="2">
        <f t="shared" si="39"/>
        <v>0</v>
      </c>
      <c r="CR48" s="2">
        <f t="shared" si="62"/>
        <v>0</v>
      </c>
      <c r="CS48" s="2">
        <f t="shared" si="40"/>
        <v>0</v>
      </c>
      <c r="CT48" s="2">
        <f t="shared" si="41"/>
        <v>0</v>
      </c>
      <c r="CU48" s="2">
        <f t="shared" si="42"/>
        <v>0</v>
      </c>
      <c r="CV48" s="2">
        <f t="shared" si="43"/>
        <v>0</v>
      </c>
      <c r="CW48" s="2">
        <f t="shared" si="44"/>
        <v>0</v>
      </c>
      <c r="CX48" s="2">
        <f t="shared" si="45"/>
        <v>0</v>
      </c>
      <c r="CY48" s="2">
        <f t="shared" si="46"/>
        <v>0</v>
      </c>
      <c r="CZ48" s="2">
        <f t="shared" si="47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1013</v>
      </c>
      <c r="DV48" s="2" t="s">
        <v>54</v>
      </c>
      <c r="DW48" s="2" t="s">
        <v>54</v>
      </c>
      <c r="DX48" s="2">
        <v>1</v>
      </c>
      <c r="DY48" s="2"/>
      <c r="DZ48" s="2" t="s">
        <v>3</v>
      </c>
      <c r="EA48" s="2" t="s">
        <v>3</v>
      </c>
      <c r="EB48" s="2" t="s">
        <v>3</v>
      </c>
      <c r="EC48" s="2" t="s">
        <v>3</v>
      </c>
      <c r="ED48" s="2"/>
      <c r="EE48" s="2">
        <v>55471694</v>
      </c>
      <c r="EF48" s="2">
        <v>2</v>
      </c>
      <c r="EG48" s="2" t="s">
        <v>45</v>
      </c>
      <c r="EH48" s="2">
        <v>15</v>
      </c>
      <c r="EI48" s="2" t="s">
        <v>46</v>
      </c>
      <c r="EJ48" s="2">
        <v>1</v>
      </c>
      <c r="EK48" s="2">
        <v>15001</v>
      </c>
      <c r="EL48" s="2" t="s">
        <v>46</v>
      </c>
      <c r="EM48" s="2" t="s">
        <v>47</v>
      </c>
      <c r="EN48" s="2"/>
      <c r="EO48" s="2" t="s">
        <v>3</v>
      </c>
      <c r="EP48" s="2"/>
      <c r="EQ48" s="2">
        <v>0</v>
      </c>
      <c r="ER48" s="2">
        <v>0</v>
      </c>
      <c r="ES48" s="2">
        <v>0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8"/>
        <v>0</v>
      </c>
      <c r="FS48" s="2">
        <v>0</v>
      </c>
      <c r="FT48" s="2"/>
      <c r="FU48" s="2"/>
      <c r="FV48" s="2"/>
      <c r="FW48" s="2"/>
      <c r="FX48" s="2">
        <v>100</v>
      </c>
      <c r="FY48" s="2">
        <v>49</v>
      </c>
      <c r="FZ48" s="2"/>
      <c r="GA48" s="2" t="s">
        <v>55</v>
      </c>
      <c r="GB48" s="2"/>
      <c r="GC48" s="2"/>
      <c r="GD48" s="2">
        <v>1</v>
      </c>
      <c r="GE48" s="2"/>
      <c r="GF48" s="2">
        <v>933089995</v>
      </c>
      <c r="GG48" s="2">
        <v>2</v>
      </c>
      <c r="GH48" s="2">
        <v>4</v>
      </c>
      <c r="GI48" s="2">
        <v>-2</v>
      </c>
      <c r="GJ48" s="2">
        <v>0</v>
      </c>
      <c r="GK48" s="2">
        <v>0</v>
      </c>
      <c r="GL48" s="2">
        <f t="shared" si="49"/>
        <v>0</v>
      </c>
      <c r="GM48" s="2">
        <f t="shared" si="50"/>
        <v>0</v>
      </c>
      <c r="GN48" s="2">
        <f t="shared" si="51"/>
        <v>0</v>
      </c>
      <c r="GO48" s="2">
        <f t="shared" si="52"/>
        <v>0</v>
      </c>
      <c r="GP48" s="2">
        <f t="shared" si="53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54"/>
        <v>0</v>
      </c>
      <c r="GW48" s="2">
        <v>1</v>
      </c>
      <c r="GX48" s="2">
        <f t="shared" si="55"/>
        <v>0</v>
      </c>
      <c r="GY48" s="2"/>
      <c r="GZ48" s="2"/>
      <c r="HA48" s="2">
        <v>0</v>
      </c>
      <c r="HB48" s="2">
        <v>0</v>
      </c>
      <c r="HC48" s="2">
        <f t="shared" si="56"/>
        <v>0</v>
      </c>
      <c r="HD48" s="2"/>
      <c r="HE48" s="2" t="s">
        <v>3</v>
      </c>
      <c r="HF48" s="2" t="s">
        <v>3</v>
      </c>
      <c r="HG48" s="2"/>
      <c r="HH48" s="2"/>
      <c r="HI48" s="2"/>
      <c r="HJ48" s="2"/>
      <c r="HK48" s="2"/>
      <c r="HL48" s="2"/>
      <c r="HM48" s="2" t="s">
        <v>3</v>
      </c>
      <c r="HN48" s="2" t="s">
        <v>49</v>
      </c>
      <c r="HO48" s="2" t="s">
        <v>50</v>
      </c>
      <c r="HP48" s="2" t="s">
        <v>46</v>
      </c>
      <c r="HQ48" s="2" t="s">
        <v>46</v>
      </c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45" ht="12.75">
      <c r="A49">
        <v>18</v>
      </c>
      <c r="B49">
        <v>1</v>
      </c>
      <c r="C49">
        <v>33</v>
      </c>
      <c r="E49" t="s">
        <v>68</v>
      </c>
      <c r="F49" t="s">
        <v>52</v>
      </c>
      <c r="G49" t="s">
        <v>69</v>
      </c>
      <c r="H49" t="s">
        <v>54</v>
      </c>
      <c r="I49">
        <f>I33*J49</f>
        <v>25</v>
      </c>
      <c r="J49">
        <v>10.593220338983052</v>
      </c>
      <c r="K49">
        <v>10.59322</v>
      </c>
      <c r="O49">
        <f t="shared" si="21"/>
        <v>0</v>
      </c>
      <c r="P49">
        <f t="shared" si="22"/>
        <v>0</v>
      </c>
      <c r="Q49">
        <f t="shared" si="23"/>
        <v>0</v>
      </c>
      <c r="R49">
        <f t="shared" si="24"/>
        <v>0</v>
      </c>
      <c r="S49">
        <f t="shared" si="25"/>
        <v>0</v>
      </c>
      <c r="T49">
        <f t="shared" si="26"/>
        <v>0</v>
      </c>
      <c r="U49">
        <f t="shared" si="27"/>
        <v>0</v>
      </c>
      <c r="V49">
        <f t="shared" si="28"/>
        <v>0</v>
      </c>
      <c r="W49">
        <f t="shared" si="29"/>
        <v>0</v>
      </c>
      <c r="X49">
        <f t="shared" si="30"/>
        <v>0</v>
      </c>
      <c r="Y49">
        <f t="shared" si="31"/>
        <v>0</v>
      </c>
      <c r="AA49">
        <v>55722484</v>
      </c>
      <c r="AB49">
        <f t="shared" si="32"/>
        <v>0</v>
      </c>
      <c r="AC49">
        <f t="shared" si="33"/>
        <v>0</v>
      </c>
      <c r="AD49">
        <f t="shared" si="57"/>
        <v>0</v>
      </c>
      <c r="AE49">
        <f t="shared" si="58"/>
        <v>0</v>
      </c>
      <c r="AF49">
        <f t="shared" si="59"/>
        <v>0</v>
      </c>
      <c r="AG49">
        <f t="shared" si="35"/>
        <v>0</v>
      </c>
      <c r="AH49">
        <f t="shared" si="60"/>
        <v>0</v>
      </c>
      <c r="AI49">
        <f t="shared" si="61"/>
        <v>0</v>
      </c>
      <c r="AJ49">
        <f t="shared" si="37"/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100</v>
      </c>
      <c r="AU49">
        <v>49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1</v>
      </c>
      <c r="BH49">
        <v>3</v>
      </c>
      <c r="BI49">
        <v>1</v>
      </c>
      <c r="BM49">
        <v>15001</v>
      </c>
      <c r="BN49">
        <v>0</v>
      </c>
      <c r="BP49">
        <v>0</v>
      </c>
      <c r="BQ49">
        <v>2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Z49">
        <v>100</v>
      </c>
      <c r="CA49">
        <v>49</v>
      </c>
      <c r="CE49">
        <v>0</v>
      </c>
      <c r="CF49">
        <v>0</v>
      </c>
      <c r="CG49">
        <v>0</v>
      </c>
      <c r="CM49">
        <v>0</v>
      </c>
      <c r="CO49">
        <v>0</v>
      </c>
      <c r="CP49">
        <f t="shared" si="38"/>
        <v>0</v>
      </c>
      <c r="CQ49">
        <f t="shared" si="39"/>
        <v>0</v>
      </c>
      <c r="CR49">
        <f t="shared" si="62"/>
        <v>0</v>
      </c>
      <c r="CS49">
        <f t="shared" si="40"/>
        <v>0</v>
      </c>
      <c r="CT49">
        <f t="shared" si="41"/>
        <v>0</v>
      </c>
      <c r="CU49">
        <f t="shared" si="42"/>
        <v>0</v>
      </c>
      <c r="CV49">
        <f t="shared" si="43"/>
        <v>0</v>
      </c>
      <c r="CW49">
        <f t="shared" si="44"/>
        <v>0</v>
      </c>
      <c r="CX49">
        <f t="shared" si="45"/>
        <v>0</v>
      </c>
      <c r="CY49">
        <f t="shared" si="46"/>
        <v>0</v>
      </c>
      <c r="CZ49">
        <f t="shared" si="47"/>
        <v>0</v>
      </c>
      <c r="DN49">
        <v>0</v>
      </c>
      <c r="DO49">
        <v>0</v>
      </c>
      <c r="DP49">
        <v>1</v>
      </c>
      <c r="DQ49">
        <v>1</v>
      </c>
      <c r="DU49">
        <v>1013</v>
      </c>
      <c r="DV49" t="s">
        <v>54</v>
      </c>
      <c r="DW49" t="s">
        <v>54</v>
      </c>
      <c r="DX49">
        <v>1</v>
      </c>
      <c r="EE49">
        <v>55471694</v>
      </c>
      <c r="EF49">
        <v>2</v>
      </c>
      <c r="EG49" t="s">
        <v>45</v>
      </c>
      <c r="EH49">
        <v>15</v>
      </c>
      <c r="EI49" t="s">
        <v>46</v>
      </c>
      <c r="EJ49">
        <v>1</v>
      </c>
      <c r="EK49">
        <v>15001</v>
      </c>
      <c r="EL49" t="s">
        <v>46</v>
      </c>
      <c r="EM49" t="s">
        <v>47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FQ49">
        <v>0</v>
      </c>
      <c r="FR49">
        <f t="shared" si="48"/>
        <v>0</v>
      </c>
      <c r="FS49">
        <v>0</v>
      </c>
      <c r="FX49">
        <v>100</v>
      </c>
      <c r="FY49">
        <v>49</v>
      </c>
      <c r="GA49" t="s">
        <v>55</v>
      </c>
      <c r="GD49">
        <v>1</v>
      </c>
      <c r="GF49">
        <v>933089995</v>
      </c>
      <c r="GG49">
        <v>2</v>
      </c>
      <c r="GH49">
        <v>2</v>
      </c>
      <c r="GI49">
        <v>3</v>
      </c>
      <c r="GJ49">
        <v>0</v>
      </c>
      <c r="GK49">
        <v>0</v>
      </c>
      <c r="GL49">
        <f t="shared" si="49"/>
        <v>0</v>
      </c>
      <c r="GM49">
        <f t="shared" si="50"/>
        <v>0</v>
      </c>
      <c r="GN49">
        <f t="shared" si="51"/>
        <v>0</v>
      </c>
      <c r="GO49">
        <f t="shared" si="52"/>
        <v>0</v>
      </c>
      <c r="GP49">
        <f t="shared" si="53"/>
        <v>0</v>
      </c>
      <c r="GR49">
        <v>0</v>
      </c>
      <c r="GS49">
        <v>4</v>
      </c>
      <c r="GT49">
        <v>0</v>
      </c>
      <c r="GV49">
        <f t="shared" si="54"/>
        <v>0</v>
      </c>
      <c r="GW49">
        <v>1</v>
      </c>
      <c r="GX49">
        <f t="shared" si="55"/>
        <v>0</v>
      </c>
      <c r="HA49">
        <v>0</v>
      </c>
      <c r="HB49">
        <v>0</v>
      </c>
      <c r="HC49">
        <f t="shared" si="56"/>
        <v>0</v>
      </c>
      <c r="HN49" t="s">
        <v>49</v>
      </c>
      <c r="HO49" t="s">
        <v>50</v>
      </c>
      <c r="HP49" t="s">
        <v>46</v>
      </c>
      <c r="HQ49" t="s">
        <v>46</v>
      </c>
      <c r="IK49">
        <v>0</v>
      </c>
    </row>
    <row r="50" spans="1:255" ht="12.75">
      <c r="A50" s="2">
        <v>18</v>
      </c>
      <c r="B50" s="2">
        <v>1</v>
      </c>
      <c r="C50" s="2">
        <v>18</v>
      </c>
      <c r="D50" s="2"/>
      <c r="E50" s="2" t="s">
        <v>70</v>
      </c>
      <c r="F50" s="2" t="s">
        <v>52</v>
      </c>
      <c r="G50" s="2" t="s">
        <v>71</v>
      </c>
      <c r="H50" s="2" t="s">
        <v>72</v>
      </c>
      <c r="I50" s="2">
        <f>I32*J50</f>
        <v>136.8</v>
      </c>
      <c r="J50" s="2">
        <v>57.96610169491526</v>
      </c>
      <c r="K50" s="2">
        <v>57.966102</v>
      </c>
      <c r="L50" s="2"/>
      <c r="M50" s="2"/>
      <c r="N50" s="2"/>
      <c r="O50" s="2">
        <f t="shared" si="21"/>
        <v>0</v>
      </c>
      <c r="P50" s="2">
        <f t="shared" si="22"/>
        <v>0</v>
      </c>
      <c r="Q50" s="2">
        <f t="shared" si="23"/>
        <v>0</v>
      </c>
      <c r="R50" s="2">
        <f t="shared" si="24"/>
        <v>0</v>
      </c>
      <c r="S50" s="2">
        <f t="shared" si="25"/>
        <v>0</v>
      </c>
      <c r="T50" s="2">
        <f t="shared" si="26"/>
        <v>0</v>
      </c>
      <c r="U50" s="2">
        <f t="shared" si="27"/>
        <v>0</v>
      </c>
      <c r="V50" s="2">
        <f t="shared" si="28"/>
        <v>0</v>
      </c>
      <c r="W50" s="2">
        <f t="shared" si="29"/>
        <v>0</v>
      </c>
      <c r="X50" s="2">
        <f t="shared" si="30"/>
        <v>0</v>
      </c>
      <c r="Y50" s="2">
        <f t="shared" si="31"/>
        <v>0</v>
      </c>
      <c r="Z50" s="2"/>
      <c r="AA50" s="2">
        <v>55722483</v>
      </c>
      <c r="AB50" s="2">
        <f t="shared" si="32"/>
        <v>0</v>
      </c>
      <c r="AC50" s="2">
        <f t="shared" si="33"/>
        <v>0</v>
      </c>
      <c r="AD50" s="2">
        <f t="shared" si="57"/>
        <v>0</v>
      </c>
      <c r="AE50" s="2">
        <f t="shared" si="58"/>
        <v>0</v>
      </c>
      <c r="AF50" s="2">
        <f t="shared" si="59"/>
        <v>0</v>
      </c>
      <c r="AG50" s="2">
        <f t="shared" si="35"/>
        <v>0</v>
      </c>
      <c r="AH50" s="2">
        <f t="shared" si="60"/>
        <v>0</v>
      </c>
      <c r="AI50" s="2">
        <f t="shared" si="61"/>
        <v>0</v>
      </c>
      <c r="AJ50" s="2">
        <f t="shared" si="37"/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100</v>
      </c>
      <c r="AU50" s="2">
        <v>49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15001</v>
      </c>
      <c r="BN50" s="2">
        <v>0</v>
      </c>
      <c r="BO50" s="2" t="s">
        <v>3</v>
      </c>
      <c r="BP50" s="2">
        <v>0</v>
      </c>
      <c r="BQ50" s="2">
        <v>2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100</v>
      </c>
      <c r="CA50" s="2">
        <v>49</v>
      </c>
      <c r="CB50" s="2" t="s">
        <v>3</v>
      </c>
      <c r="CC50" s="2"/>
      <c r="CD50" s="2"/>
      <c r="CE50" s="2">
        <v>0</v>
      </c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8"/>
        <v>0</v>
      </c>
      <c r="CQ50" s="2">
        <f t="shared" si="39"/>
        <v>0</v>
      </c>
      <c r="CR50" s="2">
        <f t="shared" si="62"/>
        <v>0</v>
      </c>
      <c r="CS50" s="2">
        <f t="shared" si="40"/>
        <v>0</v>
      </c>
      <c r="CT50" s="2">
        <f t="shared" si="41"/>
        <v>0</v>
      </c>
      <c r="CU50" s="2">
        <f t="shared" si="42"/>
        <v>0</v>
      </c>
      <c r="CV50" s="2">
        <f t="shared" si="43"/>
        <v>0</v>
      </c>
      <c r="CW50" s="2">
        <f t="shared" si="44"/>
        <v>0</v>
      </c>
      <c r="CX50" s="2">
        <f t="shared" si="45"/>
        <v>0</v>
      </c>
      <c r="CY50" s="2">
        <f t="shared" si="46"/>
        <v>0</v>
      </c>
      <c r="CZ50" s="2">
        <f t="shared" si="47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1005</v>
      </c>
      <c r="DV50" s="2" t="s">
        <v>72</v>
      </c>
      <c r="DW50" s="2" t="s">
        <v>72</v>
      </c>
      <c r="DX50" s="2">
        <v>1</v>
      </c>
      <c r="DY50" s="2"/>
      <c r="DZ50" s="2" t="s">
        <v>3</v>
      </c>
      <c r="EA50" s="2" t="s">
        <v>3</v>
      </c>
      <c r="EB50" s="2" t="s">
        <v>3</v>
      </c>
      <c r="EC50" s="2" t="s">
        <v>3</v>
      </c>
      <c r="ED50" s="2"/>
      <c r="EE50" s="2">
        <v>55471694</v>
      </c>
      <c r="EF50" s="2">
        <v>2</v>
      </c>
      <c r="EG50" s="2" t="s">
        <v>45</v>
      </c>
      <c r="EH50" s="2">
        <v>15</v>
      </c>
      <c r="EI50" s="2" t="s">
        <v>46</v>
      </c>
      <c r="EJ50" s="2">
        <v>1</v>
      </c>
      <c r="EK50" s="2">
        <v>15001</v>
      </c>
      <c r="EL50" s="2" t="s">
        <v>46</v>
      </c>
      <c r="EM50" s="2" t="s">
        <v>47</v>
      </c>
      <c r="EN50" s="2"/>
      <c r="EO50" s="2" t="s">
        <v>3</v>
      </c>
      <c r="EP50" s="2"/>
      <c r="EQ50" s="2">
        <v>0</v>
      </c>
      <c r="ER50" s="2">
        <v>0</v>
      </c>
      <c r="ES50" s="2">
        <v>0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8"/>
        <v>0</v>
      </c>
      <c r="FS50" s="2">
        <v>0</v>
      </c>
      <c r="FT50" s="2"/>
      <c r="FU50" s="2"/>
      <c r="FV50" s="2"/>
      <c r="FW50" s="2"/>
      <c r="FX50" s="2">
        <v>100</v>
      </c>
      <c r="FY50" s="2">
        <v>49</v>
      </c>
      <c r="FZ50" s="2"/>
      <c r="GA50" s="2" t="s">
        <v>55</v>
      </c>
      <c r="GB50" s="2"/>
      <c r="GC50" s="2"/>
      <c r="GD50" s="2">
        <v>1</v>
      </c>
      <c r="GE50" s="2"/>
      <c r="GF50" s="2">
        <v>-554993894</v>
      </c>
      <c r="GG50" s="2">
        <v>2</v>
      </c>
      <c r="GH50" s="2">
        <v>4</v>
      </c>
      <c r="GI50" s="2">
        <v>-2</v>
      </c>
      <c r="GJ50" s="2">
        <v>0</v>
      </c>
      <c r="GK50" s="2">
        <v>0</v>
      </c>
      <c r="GL50" s="2">
        <f t="shared" si="49"/>
        <v>0</v>
      </c>
      <c r="GM50" s="2">
        <f t="shared" si="50"/>
        <v>0</v>
      </c>
      <c r="GN50" s="2">
        <f t="shared" si="51"/>
        <v>0</v>
      </c>
      <c r="GO50" s="2">
        <f t="shared" si="52"/>
        <v>0</v>
      </c>
      <c r="GP50" s="2">
        <f t="shared" si="53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54"/>
        <v>0</v>
      </c>
      <c r="GW50" s="2">
        <v>1</v>
      </c>
      <c r="GX50" s="2">
        <f t="shared" si="55"/>
        <v>0</v>
      </c>
      <c r="GY50" s="2"/>
      <c r="GZ50" s="2"/>
      <c r="HA50" s="2">
        <v>0</v>
      </c>
      <c r="HB50" s="2">
        <v>0</v>
      </c>
      <c r="HC50" s="2">
        <f t="shared" si="56"/>
        <v>0</v>
      </c>
      <c r="HD50" s="2"/>
      <c r="HE50" s="2" t="s">
        <v>3</v>
      </c>
      <c r="HF50" s="2" t="s">
        <v>3</v>
      </c>
      <c r="HG50" s="2"/>
      <c r="HH50" s="2"/>
      <c r="HI50" s="2"/>
      <c r="HJ50" s="2"/>
      <c r="HK50" s="2"/>
      <c r="HL50" s="2"/>
      <c r="HM50" s="2" t="s">
        <v>3</v>
      </c>
      <c r="HN50" s="2" t="s">
        <v>49</v>
      </c>
      <c r="HO50" s="2" t="s">
        <v>50</v>
      </c>
      <c r="HP50" s="2" t="s">
        <v>46</v>
      </c>
      <c r="HQ50" s="2" t="s">
        <v>46</v>
      </c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45" ht="12.75">
      <c r="A51">
        <v>18</v>
      </c>
      <c r="B51">
        <v>1</v>
      </c>
      <c r="C51">
        <v>34</v>
      </c>
      <c r="E51" t="s">
        <v>70</v>
      </c>
      <c r="F51" t="s">
        <v>52</v>
      </c>
      <c r="G51" t="s">
        <v>71</v>
      </c>
      <c r="H51" t="s">
        <v>72</v>
      </c>
      <c r="I51">
        <f>I33*J51</f>
        <v>136.8</v>
      </c>
      <c r="J51">
        <v>57.96610169491526</v>
      </c>
      <c r="K51">
        <v>57.966102</v>
      </c>
      <c r="O51">
        <f t="shared" si="21"/>
        <v>0</v>
      </c>
      <c r="P51">
        <f t="shared" si="22"/>
        <v>0</v>
      </c>
      <c r="Q51">
        <f t="shared" si="23"/>
        <v>0</v>
      </c>
      <c r="R51">
        <f t="shared" si="24"/>
        <v>0</v>
      </c>
      <c r="S51">
        <f t="shared" si="25"/>
        <v>0</v>
      </c>
      <c r="T51">
        <f t="shared" si="26"/>
        <v>0</v>
      </c>
      <c r="U51">
        <f t="shared" si="27"/>
        <v>0</v>
      </c>
      <c r="V51">
        <f t="shared" si="28"/>
        <v>0</v>
      </c>
      <c r="W51">
        <f t="shared" si="29"/>
        <v>0</v>
      </c>
      <c r="X51">
        <f t="shared" si="30"/>
        <v>0</v>
      </c>
      <c r="Y51">
        <f t="shared" si="31"/>
        <v>0</v>
      </c>
      <c r="AA51">
        <v>55722484</v>
      </c>
      <c r="AB51">
        <f t="shared" si="32"/>
        <v>0</v>
      </c>
      <c r="AC51">
        <f t="shared" si="33"/>
        <v>0</v>
      </c>
      <c r="AD51">
        <f t="shared" si="57"/>
        <v>0</v>
      </c>
      <c r="AE51">
        <f t="shared" si="58"/>
        <v>0</v>
      </c>
      <c r="AF51">
        <f t="shared" si="59"/>
        <v>0</v>
      </c>
      <c r="AG51">
        <f t="shared" si="35"/>
        <v>0</v>
      </c>
      <c r="AH51">
        <f t="shared" si="60"/>
        <v>0</v>
      </c>
      <c r="AI51">
        <f t="shared" si="61"/>
        <v>0</v>
      </c>
      <c r="AJ51">
        <f t="shared" si="37"/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100</v>
      </c>
      <c r="AU51">
        <v>49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1</v>
      </c>
      <c r="BH51">
        <v>3</v>
      </c>
      <c r="BI51">
        <v>1</v>
      </c>
      <c r="BM51">
        <v>15001</v>
      </c>
      <c r="BN51">
        <v>0</v>
      </c>
      <c r="BP51">
        <v>0</v>
      </c>
      <c r="BQ51">
        <v>2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Z51">
        <v>100</v>
      </c>
      <c r="CA51">
        <v>49</v>
      </c>
      <c r="CE51">
        <v>0</v>
      </c>
      <c r="CF51">
        <v>0</v>
      </c>
      <c r="CG51">
        <v>0</v>
      </c>
      <c r="CM51">
        <v>0</v>
      </c>
      <c r="CO51">
        <v>0</v>
      </c>
      <c r="CP51">
        <f t="shared" si="38"/>
        <v>0</v>
      </c>
      <c r="CQ51">
        <f t="shared" si="39"/>
        <v>0</v>
      </c>
      <c r="CR51">
        <f t="shared" si="62"/>
        <v>0</v>
      </c>
      <c r="CS51">
        <f t="shared" si="40"/>
        <v>0</v>
      </c>
      <c r="CT51">
        <f t="shared" si="41"/>
        <v>0</v>
      </c>
      <c r="CU51">
        <f t="shared" si="42"/>
        <v>0</v>
      </c>
      <c r="CV51">
        <f t="shared" si="43"/>
        <v>0</v>
      </c>
      <c r="CW51">
        <f t="shared" si="44"/>
        <v>0</v>
      </c>
      <c r="CX51">
        <f t="shared" si="45"/>
        <v>0</v>
      </c>
      <c r="CY51">
        <f t="shared" si="46"/>
        <v>0</v>
      </c>
      <c r="CZ51">
        <f t="shared" si="47"/>
        <v>0</v>
      </c>
      <c r="DN51">
        <v>0</v>
      </c>
      <c r="DO51">
        <v>0</v>
      </c>
      <c r="DP51">
        <v>1</v>
      </c>
      <c r="DQ51">
        <v>1</v>
      </c>
      <c r="DU51">
        <v>1005</v>
      </c>
      <c r="DV51" t="s">
        <v>72</v>
      </c>
      <c r="DW51" t="s">
        <v>72</v>
      </c>
      <c r="DX51">
        <v>1</v>
      </c>
      <c r="EE51">
        <v>55471694</v>
      </c>
      <c r="EF51">
        <v>2</v>
      </c>
      <c r="EG51" t="s">
        <v>45</v>
      </c>
      <c r="EH51">
        <v>15</v>
      </c>
      <c r="EI51" t="s">
        <v>46</v>
      </c>
      <c r="EJ51">
        <v>1</v>
      </c>
      <c r="EK51">
        <v>15001</v>
      </c>
      <c r="EL51" t="s">
        <v>46</v>
      </c>
      <c r="EM51" t="s">
        <v>47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48"/>
        <v>0</v>
      </c>
      <c r="FS51">
        <v>0</v>
      </c>
      <c r="FX51">
        <v>100</v>
      </c>
      <c r="FY51">
        <v>49</v>
      </c>
      <c r="GA51" t="s">
        <v>55</v>
      </c>
      <c r="GD51">
        <v>1</v>
      </c>
      <c r="GF51">
        <v>-554993894</v>
      </c>
      <c r="GG51">
        <v>2</v>
      </c>
      <c r="GH51">
        <v>2</v>
      </c>
      <c r="GI51">
        <v>3</v>
      </c>
      <c r="GJ51">
        <v>0</v>
      </c>
      <c r="GK51">
        <v>0</v>
      </c>
      <c r="GL51">
        <f t="shared" si="49"/>
        <v>0</v>
      </c>
      <c r="GM51">
        <f t="shared" si="50"/>
        <v>0</v>
      </c>
      <c r="GN51">
        <f t="shared" si="51"/>
        <v>0</v>
      </c>
      <c r="GO51">
        <f t="shared" si="52"/>
        <v>0</v>
      </c>
      <c r="GP51">
        <f t="shared" si="53"/>
        <v>0</v>
      </c>
      <c r="GR51">
        <v>0</v>
      </c>
      <c r="GS51">
        <v>4</v>
      </c>
      <c r="GT51">
        <v>0</v>
      </c>
      <c r="GV51">
        <f t="shared" si="54"/>
        <v>0</v>
      </c>
      <c r="GW51">
        <v>1</v>
      </c>
      <c r="GX51">
        <f t="shared" si="55"/>
        <v>0</v>
      </c>
      <c r="HA51">
        <v>0</v>
      </c>
      <c r="HB51">
        <v>0</v>
      </c>
      <c r="HC51">
        <f t="shared" si="56"/>
        <v>0</v>
      </c>
      <c r="HN51" t="s">
        <v>49</v>
      </c>
      <c r="HO51" t="s">
        <v>50</v>
      </c>
      <c r="HP51" t="s">
        <v>46</v>
      </c>
      <c r="HQ51" t="s">
        <v>46</v>
      </c>
      <c r="IK51">
        <v>0</v>
      </c>
    </row>
    <row r="52" spans="1:255" ht="12.75">
      <c r="A52" s="2">
        <v>18</v>
      </c>
      <c r="B52" s="2">
        <v>1</v>
      </c>
      <c r="C52" s="2">
        <v>19</v>
      </c>
      <c r="D52" s="2"/>
      <c r="E52" s="2" t="s">
        <v>73</v>
      </c>
      <c r="F52" s="2" t="s">
        <v>52</v>
      </c>
      <c r="G52" s="2" t="s">
        <v>74</v>
      </c>
      <c r="H52" s="2" t="s">
        <v>72</v>
      </c>
      <c r="I52" s="2">
        <f>I32*J52</f>
        <v>13.32</v>
      </c>
      <c r="J52" s="2">
        <v>5.6440677966101696</v>
      </c>
      <c r="K52" s="2">
        <v>5.644068</v>
      </c>
      <c r="L52" s="2"/>
      <c r="M52" s="2"/>
      <c r="N52" s="2"/>
      <c r="O52" s="2">
        <f t="shared" si="21"/>
        <v>0</v>
      </c>
      <c r="P52" s="2">
        <f t="shared" si="22"/>
        <v>0</v>
      </c>
      <c r="Q52" s="2">
        <f t="shared" si="23"/>
        <v>0</v>
      </c>
      <c r="R52" s="2">
        <f t="shared" si="24"/>
        <v>0</v>
      </c>
      <c r="S52" s="2">
        <f t="shared" si="25"/>
        <v>0</v>
      </c>
      <c r="T52" s="2">
        <f t="shared" si="26"/>
        <v>0</v>
      </c>
      <c r="U52" s="2">
        <f t="shared" si="27"/>
        <v>0</v>
      </c>
      <c r="V52" s="2">
        <f t="shared" si="28"/>
        <v>0</v>
      </c>
      <c r="W52" s="2">
        <f t="shared" si="29"/>
        <v>0</v>
      </c>
      <c r="X52" s="2">
        <f t="shared" si="30"/>
        <v>0</v>
      </c>
      <c r="Y52" s="2">
        <f t="shared" si="31"/>
        <v>0</v>
      </c>
      <c r="Z52" s="2"/>
      <c r="AA52" s="2">
        <v>55722483</v>
      </c>
      <c r="AB52" s="2">
        <f t="shared" si="32"/>
        <v>0</v>
      </c>
      <c r="AC52" s="2">
        <f t="shared" si="33"/>
        <v>0</v>
      </c>
      <c r="AD52" s="2">
        <f t="shared" si="57"/>
        <v>0</v>
      </c>
      <c r="AE52" s="2">
        <f t="shared" si="58"/>
        <v>0</v>
      </c>
      <c r="AF52" s="2">
        <f t="shared" si="59"/>
        <v>0</v>
      </c>
      <c r="AG52" s="2">
        <f t="shared" si="35"/>
        <v>0</v>
      </c>
      <c r="AH52" s="2">
        <f t="shared" si="60"/>
        <v>0</v>
      </c>
      <c r="AI52" s="2">
        <f t="shared" si="61"/>
        <v>0</v>
      </c>
      <c r="AJ52" s="2">
        <f t="shared" si="37"/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100</v>
      </c>
      <c r="AU52" s="2">
        <v>49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15001</v>
      </c>
      <c r="BN52" s="2">
        <v>0</v>
      </c>
      <c r="BO52" s="2" t="s">
        <v>3</v>
      </c>
      <c r="BP52" s="2">
        <v>0</v>
      </c>
      <c r="BQ52" s="2">
        <v>2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100</v>
      </c>
      <c r="CA52" s="2">
        <v>49</v>
      </c>
      <c r="CB52" s="2" t="s">
        <v>3</v>
      </c>
      <c r="CC52" s="2"/>
      <c r="CD52" s="2"/>
      <c r="CE52" s="2">
        <v>0</v>
      </c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8"/>
        <v>0</v>
      </c>
      <c r="CQ52" s="2">
        <f t="shared" si="39"/>
        <v>0</v>
      </c>
      <c r="CR52" s="2">
        <f t="shared" si="62"/>
        <v>0</v>
      </c>
      <c r="CS52" s="2">
        <f t="shared" si="40"/>
        <v>0</v>
      </c>
      <c r="CT52" s="2">
        <f t="shared" si="41"/>
        <v>0</v>
      </c>
      <c r="CU52" s="2">
        <f t="shared" si="42"/>
        <v>0</v>
      </c>
      <c r="CV52" s="2">
        <f t="shared" si="43"/>
        <v>0</v>
      </c>
      <c r="CW52" s="2">
        <f t="shared" si="44"/>
        <v>0</v>
      </c>
      <c r="CX52" s="2">
        <f t="shared" si="45"/>
        <v>0</v>
      </c>
      <c r="CY52" s="2">
        <f t="shared" si="46"/>
        <v>0</v>
      </c>
      <c r="CZ52" s="2">
        <f t="shared" si="47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1005</v>
      </c>
      <c r="DV52" s="2" t="s">
        <v>72</v>
      </c>
      <c r="DW52" s="2" t="s">
        <v>72</v>
      </c>
      <c r="DX52" s="2">
        <v>1</v>
      </c>
      <c r="DY52" s="2"/>
      <c r="DZ52" s="2" t="s">
        <v>3</v>
      </c>
      <c r="EA52" s="2" t="s">
        <v>3</v>
      </c>
      <c r="EB52" s="2" t="s">
        <v>3</v>
      </c>
      <c r="EC52" s="2" t="s">
        <v>3</v>
      </c>
      <c r="ED52" s="2"/>
      <c r="EE52" s="2">
        <v>55471694</v>
      </c>
      <c r="EF52" s="2">
        <v>2</v>
      </c>
      <c r="EG52" s="2" t="s">
        <v>45</v>
      </c>
      <c r="EH52" s="2">
        <v>15</v>
      </c>
      <c r="EI52" s="2" t="s">
        <v>46</v>
      </c>
      <c r="EJ52" s="2">
        <v>1</v>
      </c>
      <c r="EK52" s="2">
        <v>15001</v>
      </c>
      <c r="EL52" s="2" t="s">
        <v>46</v>
      </c>
      <c r="EM52" s="2" t="s">
        <v>47</v>
      </c>
      <c r="EN52" s="2"/>
      <c r="EO52" s="2" t="s">
        <v>3</v>
      </c>
      <c r="EP52" s="2"/>
      <c r="EQ52" s="2">
        <v>0</v>
      </c>
      <c r="ER52" s="2">
        <v>0</v>
      </c>
      <c r="ES52" s="2">
        <v>0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8"/>
        <v>0</v>
      </c>
      <c r="FS52" s="2">
        <v>0</v>
      </c>
      <c r="FT52" s="2"/>
      <c r="FU52" s="2"/>
      <c r="FV52" s="2"/>
      <c r="FW52" s="2"/>
      <c r="FX52" s="2">
        <v>100</v>
      </c>
      <c r="FY52" s="2">
        <v>49</v>
      </c>
      <c r="FZ52" s="2"/>
      <c r="GA52" s="2" t="s">
        <v>55</v>
      </c>
      <c r="GB52" s="2"/>
      <c r="GC52" s="2"/>
      <c r="GD52" s="2">
        <v>1</v>
      </c>
      <c r="GE52" s="2"/>
      <c r="GF52" s="2">
        <v>-325392107</v>
      </c>
      <c r="GG52" s="2">
        <v>2</v>
      </c>
      <c r="GH52" s="2">
        <v>4</v>
      </c>
      <c r="GI52" s="2">
        <v>-2</v>
      </c>
      <c r="GJ52" s="2">
        <v>0</v>
      </c>
      <c r="GK52" s="2">
        <v>0</v>
      </c>
      <c r="GL52" s="2">
        <f t="shared" si="49"/>
        <v>0</v>
      </c>
      <c r="GM52" s="2">
        <f t="shared" si="50"/>
        <v>0</v>
      </c>
      <c r="GN52" s="2">
        <f t="shared" si="51"/>
        <v>0</v>
      </c>
      <c r="GO52" s="2">
        <f t="shared" si="52"/>
        <v>0</v>
      </c>
      <c r="GP52" s="2">
        <f t="shared" si="53"/>
        <v>0</v>
      </c>
      <c r="GQ52" s="2"/>
      <c r="GR52" s="2">
        <v>0</v>
      </c>
      <c r="GS52" s="2">
        <v>2</v>
      </c>
      <c r="GT52" s="2">
        <v>0</v>
      </c>
      <c r="GU52" s="2" t="s">
        <v>3</v>
      </c>
      <c r="GV52" s="2">
        <f t="shared" si="54"/>
        <v>0</v>
      </c>
      <c r="GW52" s="2">
        <v>1</v>
      </c>
      <c r="GX52" s="2">
        <f t="shared" si="55"/>
        <v>0</v>
      </c>
      <c r="GY52" s="2"/>
      <c r="GZ52" s="2"/>
      <c r="HA52" s="2">
        <v>0</v>
      </c>
      <c r="HB52" s="2">
        <v>0</v>
      </c>
      <c r="HC52" s="2">
        <f t="shared" si="56"/>
        <v>0</v>
      </c>
      <c r="HD52" s="2"/>
      <c r="HE52" s="2" t="s">
        <v>3</v>
      </c>
      <c r="HF52" s="2" t="s">
        <v>3</v>
      </c>
      <c r="HG52" s="2"/>
      <c r="HH52" s="2"/>
      <c r="HI52" s="2"/>
      <c r="HJ52" s="2"/>
      <c r="HK52" s="2"/>
      <c r="HL52" s="2"/>
      <c r="HM52" s="2" t="s">
        <v>3</v>
      </c>
      <c r="HN52" s="2" t="s">
        <v>49</v>
      </c>
      <c r="HO52" s="2" t="s">
        <v>50</v>
      </c>
      <c r="HP52" s="2" t="s">
        <v>46</v>
      </c>
      <c r="HQ52" s="2" t="s">
        <v>46</v>
      </c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45" ht="12.75">
      <c r="A53">
        <v>18</v>
      </c>
      <c r="B53">
        <v>1</v>
      </c>
      <c r="C53">
        <v>35</v>
      </c>
      <c r="E53" t="s">
        <v>73</v>
      </c>
      <c r="F53" t="s">
        <v>52</v>
      </c>
      <c r="G53" t="s">
        <v>74</v>
      </c>
      <c r="H53" t="s">
        <v>72</v>
      </c>
      <c r="I53">
        <f>I33*J53</f>
        <v>13.32</v>
      </c>
      <c r="J53">
        <v>5.6440677966101696</v>
      </c>
      <c r="K53">
        <v>5.644068</v>
      </c>
      <c r="O53">
        <f t="shared" si="21"/>
        <v>0</v>
      </c>
      <c r="P53">
        <f t="shared" si="22"/>
        <v>0</v>
      </c>
      <c r="Q53">
        <f t="shared" si="23"/>
        <v>0</v>
      </c>
      <c r="R53">
        <f t="shared" si="24"/>
        <v>0</v>
      </c>
      <c r="S53">
        <f t="shared" si="25"/>
        <v>0</v>
      </c>
      <c r="T53">
        <f t="shared" si="26"/>
        <v>0</v>
      </c>
      <c r="U53">
        <f t="shared" si="27"/>
        <v>0</v>
      </c>
      <c r="V53">
        <f t="shared" si="28"/>
        <v>0</v>
      </c>
      <c r="W53">
        <f t="shared" si="29"/>
        <v>0</v>
      </c>
      <c r="X53">
        <f t="shared" si="30"/>
        <v>0</v>
      </c>
      <c r="Y53">
        <f t="shared" si="31"/>
        <v>0</v>
      </c>
      <c r="AA53">
        <v>55722484</v>
      </c>
      <c r="AB53">
        <f t="shared" si="32"/>
        <v>0</v>
      </c>
      <c r="AC53">
        <f t="shared" si="33"/>
        <v>0</v>
      </c>
      <c r="AD53">
        <f t="shared" si="57"/>
        <v>0</v>
      </c>
      <c r="AE53">
        <f t="shared" si="58"/>
        <v>0</v>
      </c>
      <c r="AF53">
        <f t="shared" si="59"/>
        <v>0</v>
      </c>
      <c r="AG53">
        <f t="shared" si="35"/>
        <v>0</v>
      </c>
      <c r="AH53">
        <f t="shared" si="60"/>
        <v>0</v>
      </c>
      <c r="AI53">
        <f t="shared" si="61"/>
        <v>0</v>
      </c>
      <c r="AJ53">
        <f t="shared" si="37"/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100</v>
      </c>
      <c r="AU53">
        <v>49</v>
      </c>
      <c r="AV53">
        <v>1</v>
      </c>
      <c r="AW53">
        <v>1</v>
      </c>
      <c r="AZ53">
        <v>1</v>
      </c>
      <c r="BA53">
        <v>1</v>
      </c>
      <c r="BB53">
        <v>1</v>
      </c>
      <c r="BC53">
        <v>1</v>
      </c>
      <c r="BH53">
        <v>3</v>
      </c>
      <c r="BI53">
        <v>1</v>
      </c>
      <c r="BM53">
        <v>15001</v>
      </c>
      <c r="BN53">
        <v>0</v>
      </c>
      <c r="BP53">
        <v>0</v>
      </c>
      <c r="BQ53">
        <v>2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Z53">
        <v>100</v>
      </c>
      <c r="CA53">
        <v>49</v>
      </c>
      <c r="CE53">
        <v>0</v>
      </c>
      <c r="CF53">
        <v>0</v>
      </c>
      <c r="CG53">
        <v>0</v>
      </c>
      <c r="CM53">
        <v>0</v>
      </c>
      <c r="CO53">
        <v>0</v>
      </c>
      <c r="CP53">
        <f t="shared" si="38"/>
        <v>0</v>
      </c>
      <c r="CQ53">
        <f t="shared" si="39"/>
        <v>0</v>
      </c>
      <c r="CR53">
        <f t="shared" si="62"/>
        <v>0</v>
      </c>
      <c r="CS53">
        <f t="shared" si="40"/>
        <v>0</v>
      </c>
      <c r="CT53">
        <f t="shared" si="41"/>
        <v>0</v>
      </c>
      <c r="CU53">
        <f t="shared" si="42"/>
        <v>0</v>
      </c>
      <c r="CV53">
        <f t="shared" si="43"/>
        <v>0</v>
      </c>
      <c r="CW53">
        <f t="shared" si="44"/>
        <v>0</v>
      </c>
      <c r="CX53">
        <f t="shared" si="45"/>
        <v>0</v>
      </c>
      <c r="CY53">
        <f t="shared" si="46"/>
        <v>0</v>
      </c>
      <c r="CZ53">
        <f t="shared" si="47"/>
        <v>0</v>
      </c>
      <c r="DN53">
        <v>0</v>
      </c>
      <c r="DO53">
        <v>0</v>
      </c>
      <c r="DP53">
        <v>1</v>
      </c>
      <c r="DQ53">
        <v>1</v>
      </c>
      <c r="DU53">
        <v>1005</v>
      </c>
      <c r="DV53" t="s">
        <v>72</v>
      </c>
      <c r="DW53" t="s">
        <v>72</v>
      </c>
      <c r="DX53">
        <v>1</v>
      </c>
      <c r="EE53">
        <v>55471694</v>
      </c>
      <c r="EF53">
        <v>2</v>
      </c>
      <c r="EG53" t="s">
        <v>45</v>
      </c>
      <c r="EH53">
        <v>15</v>
      </c>
      <c r="EI53" t="s">
        <v>46</v>
      </c>
      <c r="EJ53">
        <v>1</v>
      </c>
      <c r="EK53">
        <v>15001</v>
      </c>
      <c r="EL53" t="s">
        <v>46</v>
      </c>
      <c r="EM53" t="s">
        <v>47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FQ53">
        <v>0</v>
      </c>
      <c r="FR53">
        <f t="shared" si="48"/>
        <v>0</v>
      </c>
      <c r="FS53">
        <v>0</v>
      </c>
      <c r="FX53">
        <v>100</v>
      </c>
      <c r="FY53">
        <v>49</v>
      </c>
      <c r="GA53" t="s">
        <v>55</v>
      </c>
      <c r="GD53">
        <v>1</v>
      </c>
      <c r="GF53">
        <v>-325392107</v>
      </c>
      <c r="GG53">
        <v>2</v>
      </c>
      <c r="GH53">
        <v>2</v>
      </c>
      <c r="GI53">
        <v>3</v>
      </c>
      <c r="GJ53">
        <v>0</v>
      </c>
      <c r="GK53">
        <v>0</v>
      </c>
      <c r="GL53">
        <f t="shared" si="49"/>
        <v>0</v>
      </c>
      <c r="GM53">
        <f t="shared" si="50"/>
        <v>0</v>
      </c>
      <c r="GN53">
        <f t="shared" si="51"/>
        <v>0</v>
      </c>
      <c r="GO53">
        <f t="shared" si="52"/>
        <v>0</v>
      </c>
      <c r="GP53">
        <f t="shared" si="53"/>
        <v>0</v>
      </c>
      <c r="GR53">
        <v>0</v>
      </c>
      <c r="GS53">
        <v>4</v>
      </c>
      <c r="GT53">
        <v>0</v>
      </c>
      <c r="GV53">
        <f t="shared" si="54"/>
        <v>0</v>
      </c>
      <c r="GW53">
        <v>1</v>
      </c>
      <c r="GX53">
        <f t="shared" si="55"/>
        <v>0</v>
      </c>
      <c r="HA53">
        <v>0</v>
      </c>
      <c r="HB53">
        <v>0</v>
      </c>
      <c r="HC53">
        <f t="shared" si="56"/>
        <v>0</v>
      </c>
      <c r="HN53" t="s">
        <v>49</v>
      </c>
      <c r="HO53" t="s">
        <v>50</v>
      </c>
      <c r="HP53" t="s">
        <v>46</v>
      </c>
      <c r="HQ53" t="s">
        <v>46</v>
      </c>
      <c r="IK53">
        <v>0</v>
      </c>
    </row>
    <row r="54" spans="1:255" ht="12.75">
      <c r="A54" s="2">
        <v>18</v>
      </c>
      <c r="B54" s="2">
        <v>1</v>
      </c>
      <c r="C54" s="2">
        <v>10</v>
      </c>
      <c r="D54" s="2"/>
      <c r="E54" s="2" t="s">
        <v>75</v>
      </c>
      <c r="F54" s="2" t="s">
        <v>76</v>
      </c>
      <c r="G54" s="2" t="s">
        <v>77</v>
      </c>
      <c r="H54" s="2" t="s">
        <v>72</v>
      </c>
      <c r="I54" s="2">
        <f>I32*J54</f>
        <v>93.08</v>
      </c>
      <c r="J54" s="2">
        <v>39.440677966101696</v>
      </c>
      <c r="K54" s="2">
        <v>39.440678</v>
      </c>
      <c r="L54" s="2"/>
      <c r="M54" s="2"/>
      <c r="N54" s="2"/>
      <c r="O54" s="2">
        <f t="shared" si="21"/>
        <v>4821.54</v>
      </c>
      <c r="P54" s="2">
        <f t="shared" si="22"/>
        <v>4821.54</v>
      </c>
      <c r="Q54" s="2">
        <f t="shared" si="23"/>
        <v>0</v>
      </c>
      <c r="R54" s="2">
        <f t="shared" si="24"/>
        <v>0</v>
      </c>
      <c r="S54" s="2">
        <f t="shared" si="25"/>
        <v>0</v>
      </c>
      <c r="T54" s="2">
        <f t="shared" si="26"/>
        <v>0</v>
      </c>
      <c r="U54" s="2">
        <f t="shared" si="27"/>
        <v>0</v>
      </c>
      <c r="V54" s="2">
        <f t="shared" si="28"/>
        <v>0</v>
      </c>
      <c r="W54" s="2">
        <f t="shared" si="29"/>
        <v>0</v>
      </c>
      <c r="X54" s="2">
        <f t="shared" si="30"/>
        <v>0</v>
      </c>
      <c r="Y54" s="2">
        <f t="shared" si="31"/>
        <v>0</v>
      </c>
      <c r="Z54" s="2"/>
      <c r="AA54" s="2">
        <v>55722483</v>
      </c>
      <c r="AB54" s="2">
        <f t="shared" si="32"/>
        <v>51.8</v>
      </c>
      <c r="AC54" s="2">
        <f t="shared" si="33"/>
        <v>51.8</v>
      </c>
      <c r="AD54" s="2">
        <f t="shared" si="57"/>
        <v>0</v>
      </c>
      <c r="AE54" s="2">
        <f t="shared" si="58"/>
        <v>0</v>
      </c>
      <c r="AF54" s="2">
        <f t="shared" si="59"/>
        <v>0</v>
      </c>
      <c r="AG54" s="2">
        <f t="shared" si="35"/>
        <v>0</v>
      </c>
      <c r="AH54" s="2">
        <f t="shared" si="60"/>
        <v>0</v>
      </c>
      <c r="AI54" s="2">
        <f t="shared" si="61"/>
        <v>0</v>
      </c>
      <c r="AJ54" s="2">
        <f t="shared" si="37"/>
        <v>0</v>
      </c>
      <c r="AK54" s="2">
        <v>51.8</v>
      </c>
      <c r="AL54" s="2">
        <v>51.8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100</v>
      </c>
      <c r="AU54" s="2">
        <v>49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78</v>
      </c>
      <c r="BK54" s="2"/>
      <c r="BL54" s="2"/>
      <c r="BM54" s="2">
        <v>15001</v>
      </c>
      <c r="BN54" s="2">
        <v>0</v>
      </c>
      <c r="BO54" s="2" t="s">
        <v>3</v>
      </c>
      <c r="BP54" s="2">
        <v>0</v>
      </c>
      <c r="BQ54" s="2">
        <v>2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100</v>
      </c>
      <c r="CA54" s="2">
        <v>49</v>
      </c>
      <c r="CB54" s="2" t="s">
        <v>3</v>
      </c>
      <c r="CC54" s="2"/>
      <c r="CD54" s="2"/>
      <c r="CE54" s="2">
        <v>0</v>
      </c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8"/>
        <v>4821.54</v>
      </c>
      <c r="CQ54" s="2">
        <f t="shared" si="39"/>
        <v>51.8</v>
      </c>
      <c r="CR54" s="2">
        <f t="shared" si="62"/>
        <v>0</v>
      </c>
      <c r="CS54" s="2">
        <f t="shared" si="40"/>
        <v>0</v>
      </c>
      <c r="CT54" s="2">
        <f t="shared" si="41"/>
        <v>0</v>
      </c>
      <c r="CU54" s="2">
        <f t="shared" si="42"/>
        <v>0</v>
      </c>
      <c r="CV54" s="2">
        <f t="shared" si="43"/>
        <v>0</v>
      </c>
      <c r="CW54" s="2">
        <f t="shared" si="44"/>
        <v>0</v>
      </c>
      <c r="CX54" s="2">
        <f t="shared" si="45"/>
        <v>0</v>
      </c>
      <c r="CY54" s="2">
        <f t="shared" si="46"/>
        <v>0</v>
      </c>
      <c r="CZ54" s="2">
        <f t="shared" si="47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1005</v>
      </c>
      <c r="DV54" s="2" t="s">
        <v>72</v>
      </c>
      <c r="DW54" s="2" t="s">
        <v>72</v>
      </c>
      <c r="DX54" s="2">
        <v>1</v>
      </c>
      <c r="DY54" s="2"/>
      <c r="DZ54" s="2" t="s">
        <v>3</v>
      </c>
      <c r="EA54" s="2" t="s">
        <v>3</v>
      </c>
      <c r="EB54" s="2" t="s">
        <v>3</v>
      </c>
      <c r="EC54" s="2" t="s">
        <v>3</v>
      </c>
      <c r="ED54" s="2"/>
      <c r="EE54" s="2">
        <v>55471694</v>
      </c>
      <c r="EF54" s="2">
        <v>2</v>
      </c>
      <c r="EG54" s="2" t="s">
        <v>45</v>
      </c>
      <c r="EH54" s="2">
        <v>15</v>
      </c>
      <c r="EI54" s="2" t="s">
        <v>46</v>
      </c>
      <c r="EJ54" s="2">
        <v>1</v>
      </c>
      <c r="EK54" s="2">
        <v>15001</v>
      </c>
      <c r="EL54" s="2" t="s">
        <v>46</v>
      </c>
      <c r="EM54" s="2" t="s">
        <v>47</v>
      </c>
      <c r="EN54" s="2"/>
      <c r="EO54" s="2" t="s">
        <v>3</v>
      </c>
      <c r="EP54" s="2"/>
      <c r="EQ54" s="2">
        <v>0</v>
      </c>
      <c r="ER54" s="2">
        <v>51.8</v>
      </c>
      <c r="ES54" s="2">
        <v>51.8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8"/>
        <v>0</v>
      </c>
      <c r="FS54" s="2">
        <v>0</v>
      </c>
      <c r="FT54" s="2"/>
      <c r="FU54" s="2"/>
      <c r="FV54" s="2"/>
      <c r="FW54" s="2"/>
      <c r="FX54" s="2">
        <v>100</v>
      </c>
      <c r="FY54" s="2">
        <v>49</v>
      </c>
      <c r="FZ54" s="2"/>
      <c r="GA54" s="2" t="s">
        <v>3</v>
      </c>
      <c r="GB54" s="2"/>
      <c r="GC54" s="2"/>
      <c r="GD54" s="2">
        <v>1</v>
      </c>
      <c r="GE54" s="2"/>
      <c r="GF54" s="2">
        <v>-952132946</v>
      </c>
      <c r="GG54" s="2">
        <v>2</v>
      </c>
      <c r="GH54" s="2">
        <v>1</v>
      </c>
      <c r="GI54" s="2">
        <v>-2</v>
      </c>
      <c r="GJ54" s="2">
        <v>0</v>
      </c>
      <c r="GK54" s="2">
        <v>0</v>
      </c>
      <c r="GL54" s="2">
        <f t="shared" si="49"/>
        <v>0</v>
      </c>
      <c r="GM54" s="2">
        <f t="shared" si="50"/>
        <v>4821.54</v>
      </c>
      <c r="GN54" s="2">
        <f t="shared" si="51"/>
        <v>4821.54</v>
      </c>
      <c r="GO54" s="2">
        <f t="shared" si="52"/>
        <v>0</v>
      </c>
      <c r="GP54" s="2">
        <f t="shared" si="53"/>
        <v>0</v>
      </c>
      <c r="GQ54" s="2"/>
      <c r="GR54" s="2">
        <v>0</v>
      </c>
      <c r="GS54" s="2">
        <v>3</v>
      </c>
      <c r="GT54" s="2">
        <v>0</v>
      </c>
      <c r="GU54" s="2" t="s">
        <v>3</v>
      </c>
      <c r="GV54" s="2">
        <f t="shared" si="54"/>
        <v>0</v>
      </c>
      <c r="GW54" s="2">
        <v>1</v>
      </c>
      <c r="GX54" s="2">
        <f t="shared" si="55"/>
        <v>0</v>
      </c>
      <c r="GY54" s="2"/>
      <c r="GZ54" s="2"/>
      <c r="HA54" s="2">
        <v>0</v>
      </c>
      <c r="HB54" s="2">
        <v>0</v>
      </c>
      <c r="HC54" s="2">
        <f t="shared" si="56"/>
        <v>0</v>
      </c>
      <c r="HD54" s="2"/>
      <c r="HE54" s="2" t="s">
        <v>3</v>
      </c>
      <c r="HF54" s="2" t="s">
        <v>3</v>
      </c>
      <c r="HG54" s="2"/>
      <c r="HH54" s="2"/>
      <c r="HI54" s="2"/>
      <c r="HJ54" s="2"/>
      <c r="HK54" s="2"/>
      <c r="HL54" s="2"/>
      <c r="HM54" s="2" t="s">
        <v>3</v>
      </c>
      <c r="HN54" s="2" t="s">
        <v>49</v>
      </c>
      <c r="HO54" s="2" t="s">
        <v>50</v>
      </c>
      <c r="HP54" s="2" t="s">
        <v>46</v>
      </c>
      <c r="HQ54" s="2" t="s">
        <v>46</v>
      </c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45" ht="12.75">
      <c r="A55">
        <v>18</v>
      </c>
      <c r="B55">
        <v>1</v>
      </c>
      <c r="C55">
        <v>26</v>
      </c>
      <c r="E55" t="s">
        <v>75</v>
      </c>
      <c r="F55" t="s">
        <v>76</v>
      </c>
      <c r="G55" t="s">
        <v>77</v>
      </c>
      <c r="H55" t="s">
        <v>72</v>
      </c>
      <c r="I55">
        <f>I33*J55</f>
        <v>93.08</v>
      </c>
      <c r="J55">
        <v>39.440677966101696</v>
      </c>
      <c r="K55">
        <v>39.440678</v>
      </c>
      <c r="O55">
        <f t="shared" si="21"/>
        <v>32882.93</v>
      </c>
      <c r="P55">
        <f t="shared" si="22"/>
        <v>32882.93</v>
      </c>
      <c r="Q55">
        <f t="shared" si="23"/>
        <v>0</v>
      </c>
      <c r="R55">
        <f t="shared" si="24"/>
        <v>0</v>
      </c>
      <c r="S55">
        <f t="shared" si="25"/>
        <v>0</v>
      </c>
      <c r="T55">
        <f t="shared" si="26"/>
        <v>0</v>
      </c>
      <c r="U55">
        <f t="shared" si="27"/>
        <v>0</v>
      </c>
      <c r="V55">
        <f t="shared" si="28"/>
        <v>0</v>
      </c>
      <c r="W55">
        <f t="shared" si="29"/>
        <v>0</v>
      </c>
      <c r="X55">
        <f t="shared" si="30"/>
        <v>0</v>
      </c>
      <c r="Y55">
        <f t="shared" si="31"/>
        <v>0</v>
      </c>
      <c r="AA55">
        <v>55722484</v>
      </c>
      <c r="AB55">
        <f t="shared" si="32"/>
        <v>51.8</v>
      </c>
      <c r="AC55">
        <f t="shared" si="33"/>
        <v>51.8</v>
      </c>
      <c r="AD55">
        <f t="shared" si="57"/>
        <v>0</v>
      </c>
      <c r="AE55">
        <f t="shared" si="58"/>
        <v>0</v>
      </c>
      <c r="AF55">
        <f t="shared" si="59"/>
        <v>0</v>
      </c>
      <c r="AG55">
        <f t="shared" si="35"/>
        <v>0</v>
      </c>
      <c r="AH55">
        <f t="shared" si="60"/>
        <v>0</v>
      </c>
      <c r="AI55">
        <f t="shared" si="61"/>
        <v>0</v>
      </c>
      <c r="AJ55">
        <f t="shared" si="37"/>
        <v>0</v>
      </c>
      <c r="AK55">
        <v>51.8</v>
      </c>
      <c r="AL55">
        <v>51.8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100</v>
      </c>
      <c r="AU55">
        <v>49</v>
      </c>
      <c r="AV55">
        <v>1</v>
      </c>
      <c r="AW55">
        <v>1</v>
      </c>
      <c r="AZ55">
        <v>1</v>
      </c>
      <c r="BA55">
        <v>1</v>
      </c>
      <c r="BB55">
        <v>1</v>
      </c>
      <c r="BC55">
        <v>6.82</v>
      </c>
      <c r="BH55">
        <v>3</v>
      </c>
      <c r="BI55">
        <v>1</v>
      </c>
      <c r="BJ55" t="s">
        <v>78</v>
      </c>
      <c r="BM55">
        <v>15001</v>
      </c>
      <c r="BN55">
        <v>0</v>
      </c>
      <c r="BO55" t="s">
        <v>32</v>
      </c>
      <c r="BP55">
        <v>1</v>
      </c>
      <c r="BQ55">
        <v>2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Z55">
        <v>100</v>
      </c>
      <c r="CA55">
        <v>49</v>
      </c>
      <c r="CE55">
        <v>0</v>
      </c>
      <c r="CF55">
        <v>0</v>
      </c>
      <c r="CG55">
        <v>0</v>
      </c>
      <c r="CM55">
        <v>0</v>
      </c>
      <c r="CO55">
        <v>0</v>
      </c>
      <c r="CP55">
        <f t="shared" si="38"/>
        <v>32882.93</v>
      </c>
      <c r="CQ55">
        <f t="shared" si="39"/>
        <v>353.276</v>
      </c>
      <c r="CR55">
        <f t="shared" si="62"/>
        <v>0</v>
      </c>
      <c r="CS55">
        <f t="shared" si="40"/>
        <v>0</v>
      </c>
      <c r="CT55">
        <f t="shared" si="41"/>
        <v>0</v>
      </c>
      <c r="CU55">
        <f t="shared" si="42"/>
        <v>0</v>
      </c>
      <c r="CV55">
        <f t="shared" si="43"/>
        <v>0</v>
      </c>
      <c r="CW55">
        <f t="shared" si="44"/>
        <v>0</v>
      </c>
      <c r="CX55">
        <f t="shared" si="45"/>
        <v>0</v>
      </c>
      <c r="CY55">
        <f t="shared" si="46"/>
        <v>0</v>
      </c>
      <c r="CZ55">
        <f t="shared" si="47"/>
        <v>0</v>
      </c>
      <c r="DN55">
        <v>0</v>
      </c>
      <c r="DO55">
        <v>0</v>
      </c>
      <c r="DP55">
        <v>1</v>
      </c>
      <c r="DQ55">
        <v>1</v>
      </c>
      <c r="DU55">
        <v>1005</v>
      </c>
      <c r="DV55" t="s">
        <v>72</v>
      </c>
      <c r="DW55" t="s">
        <v>72</v>
      </c>
      <c r="DX55">
        <v>1</v>
      </c>
      <c r="EE55">
        <v>55471694</v>
      </c>
      <c r="EF55">
        <v>2</v>
      </c>
      <c r="EG55" t="s">
        <v>45</v>
      </c>
      <c r="EH55">
        <v>15</v>
      </c>
      <c r="EI55" t="s">
        <v>46</v>
      </c>
      <c r="EJ55">
        <v>1</v>
      </c>
      <c r="EK55">
        <v>15001</v>
      </c>
      <c r="EL55" t="s">
        <v>46</v>
      </c>
      <c r="EM55" t="s">
        <v>47</v>
      </c>
      <c r="EQ55">
        <v>0</v>
      </c>
      <c r="ER55">
        <v>51.8</v>
      </c>
      <c r="ES55">
        <v>51.8</v>
      </c>
      <c r="ET55">
        <v>0</v>
      </c>
      <c r="EU55">
        <v>0</v>
      </c>
      <c r="EV55">
        <v>0</v>
      </c>
      <c r="EW55">
        <v>0</v>
      </c>
      <c r="EX55">
        <v>0</v>
      </c>
      <c r="FQ55">
        <v>0</v>
      </c>
      <c r="FR55">
        <f t="shared" si="48"/>
        <v>0</v>
      </c>
      <c r="FS55">
        <v>0</v>
      </c>
      <c r="FX55">
        <v>100</v>
      </c>
      <c r="FY55">
        <v>49</v>
      </c>
      <c r="GD55">
        <v>1</v>
      </c>
      <c r="GF55">
        <v>-952132946</v>
      </c>
      <c r="GG55">
        <v>2</v>
      </c>
      <c r="GH55">
        <v>1</v>
      </c>
      <c r="GI55">
        <v>4</v>
      </c>
      <c r="GJ55">
        <v>0</v>
      </c>
      <c r="GK55">
        <v>0</v>
      </c>
      <c r="GL55">
        <f t="shared" si="49"/>
        <v>0</v>
      </c>
      <c r="GM55">
        <f t="shared" si="50"/>
        <v>32882.93</v>
      </c>
      <c r="GN55">
        <f t="shared" si="51"/>
        <v>32882.93</v>
      </c>
      <c r="GO55">
        <f t="shared" si="52"/>
        <v>0</v>
      </c>
      <c r="GP55">
        <f t="shared" si="53"/>
        <v>0</v>
      </c>
      <c r="GR55">
        <v>0</v>
      </c>
      <c r="GS55">
        <v>3</v>
      </c>
      <c r="GT55">
        <v>0</v>
      </c>
      <c r="GV55">
        <f t="shared" si="54"/>
        <v>0</v>
      </c>
      <c r="GW55">
        <v>1</v>
      </c>
      <c r="GX55">
        <f t="shared" si="55"/>
        <v>0</v>
      </c>
      <c r="HA55">
        <v>0</v>
      </c>
      <c r="HB55">
        <v>0</v>
      </c>
      <c r="HC55">
        <f t="shared" si="56"/>
        <v>0</v>
      </c>
      <c r="HN55" t="s">
        <v>49</v>
      </c>
      <c r="HO55" t="s">
        <v>50</v>
      </c>
      <c r="HP55" t="s">
        <v>46</v>
      </c>
      <c r="HQ55" t="s">
        <v>46</v>
      </c>
      <c r="IK55">
        <v>0</v>
      </c>
    </row>
    <row r="56" spans="1:255" ht="12.75">
      <c r="A56" s="2">
        <v>18</v>
      </c>
      <c r="B56" s="2">
        <v>1</v>
      </c>
      <c r="C56" s="2">
        <v>9</v>
      </c>
      <c r="D56" s="2"/>
      <c r="E56" s="2" t="s">
        <v>79</v>
      </c>
      <c r="F56" s="2" t="s">
        <v>76</v>
      </c>
      <c r="G56" s="2" t="s">
        <v>77</v>
      </c>
      <c r="H56" s="2" t="s">
        <v>72</v>
      </c>
      <c r="I56" s="2">
        <f>I32*J56</f>
        <v>-243.07999999999998</v>
      </c>
      <c r="J56" s="2">
        <v>-103</v>
      </c>
      <c r="K56" s="2">
        <v>-103</v>
      </c>
      <c r="L56" s="2"/>
      <c r="M56" s="2"/>
      <c r="N56" s="2"/>
      <c r="O56" s="2">
        <f t="shared" si="21"/>
        <v>-12591.54</v>
      </c>
      <c r="P56" s="2">
        <f t="shared" si="22"/>
        <v>-12591.54</v>
      </c>
      <c r="Q56" s="2">
        <f t="shared" si="23"/>
        <v>0</v>
      </c>
      <c r="R56" s="2">
        <f t="shared" si="24"/>
        <v>0</v>
      </c>
      <c r="S56" s="2">
        <f t="shared" si="25"/>
        <v>0</v>
      </c>
      <c r="T56" s="2">
        <f t="shared" si="26"/>
        <v>0</v>
      </c>
      <c r="U56" s="2">
        <f t="shared" si="27"/>
        <v>0</v>
      </c>
      <c r="V56" s="2">
        <f t="shared" si="28"/>
        <v>0</v>
      </c>
      <c r="W56" s="2">
        <f t="shared" si="29"/>
        <v>0</v>
      </c>
      <c r="X56" s="2">
        <f t="shared" si="30"/>
        <v>0</v>
      </c>
      <c r="Y56" s="2">
        <f t="shared" si="31"/>
        <v>0</v>
      </c>
      <c r="Z56" s="2"/>
      <c r="AA56" s="2">
        <v>55722483</v>
      </c>
      <c r="AB56" s="2">
        <f t="shared" si="32"/>
        <v>51.8</v>
      </c>
      <c r="AC56" s="2">
        <f t="shared" si="33"/>
        <v>51.8</v>
      </c>
      <c r="AD56" s="2">
        <f t="shared" si="57"/>
        <v>0</v>
      </c>
      <c r="AE56" s="2">
        <f t="shared" si="58"/>
        <v>0</v>
      </c>
      <c r="AF56" s="2">
        <f t="shared" si="59"/>
        <v>0</v>
      </c>
      <c r="AG56" s="2">
        <f t="shared" si="35"/>
        <v>0</v>
      </c>
      <c r="AH56" s="2">
        <f t="shared" si="60"/>
        <v>0</v>
      </c>
      <c r="AI56" s="2">
        <f t="shared" si="61"/>
        <v>0</v>
      </c>
      <c r="AJ56" s="2">
        <f t="shared" si="37"/>
        <v>0</v>
      </c>
      <c r="AK56" s="2">
        <v>51.8</v>
      </c>
      <c r="AL56" s="2">
        <v>51.8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100</v>
      </c>
      <c r="AU56" s="2">
        <v>49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78</v>
      </c>
      <c r="BK56" s="2"/>
      <c r="BL56" s="2"/>
      <c r="BM56" s="2">
        <v>15001</v>
      </c>
      <c r="BN56" s="2">
        <v>0</v>
      </c>
      <c r="BO56" s="2" t="s">
        <v>3</v>
      </c>
      <c r="BP56" s="2">
        <v>0</v>
      </c>
      <c r="BQ56" s="2">
        <v>2</v>
      </c>
      <c r="BR56" s="2">
        <v>1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100</v>
      </c>
      <c r="CA56" s="2">
        <v>49</v>
      </c>
      <c r="CB56" s="2" t="s">
        <v>3</v>
      </c>
      <c r="CC56" s="2"/>
      <c r="CD56" s="2"/>
      <c r="CE56" s="2">
        <v>0</v>
      </c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si="38"/>
        <v>-12591.54</v>
      </c>
      <c r="CQ56" s="2">
        <f t="shared" si="39"/>
        <v>51.8</v>
      </c>
      <c r="CR56" s="2">
        <f t="shared" si="62"/>
        <v>0</v>
      </c>
      <c r="CS56" s="2">
        <f t="shared" si="40"/>
        <v>0</v>
      </c>
      <c r="CT56" s="2">
        <f t="shared" si="41"/>
        <v>0</v>
      </c>
      <c r="CU56" s="2">
        <f t="shared" si="42"/>
        <v>0</v>
      </c>
      <c r="CV56" s="2">
        <f t="shared" si="43"/>
        <v>0</v>
      </c>
      <c r="CW56" s="2">
        <f t="shared" si="44"/>
        <v>0</v>
      </c>
      <c r="CX56" s="2">
        <f t="shared" si="45"/>
        <v>0</v>
      </c>
      <c r="CY56" s="2">
        <f t="shared" si="46"/>
        <v>0</v>
      </c>
      <c r="CZ56" s="2">
        <f t="shared" si="47"/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1005</v>
      </c>
      <c r="DV56" s="2" t="s">
        <v>72</v>
      </c>
      <c r="DW56" s="2" t="s">
        <v>72</v>
      </c>
      <c r="DX56" s="2">
        <v>1</v>
      </c>
      <c r="DY56" s="2"/>
      <c r="DZ56" s="2" t="s">
        <v>3</v>
      </c>
      <c r="EA56" s="2" t="s">
        <v>3</v>
      </c>
      <c r="EB56" s="2" t="s">
        <v>3</v>
      </c>
      <c r="EC56" s="2" t="s">
        <v>3</v>
      </c>
      <c r="ED56" s="2"/>
      <c r="EE56" s="2">
        <v>55471694</v>
      </c>
      <c r="EF56" s="2">
        <v>2</v>
      </c>
      <c r="EG56" s="2" t="s">
        <v>45</v>
      </c>
      <c r="EH56" s="2">
        <v>15</v>
      </c>
      <c r="EI56" s="2" t="s">
        <v>46</v>
      </c>
      <c r="EJ56" s="2">
        <v>1</v>
      </c>
      <c r="EK56" s="2">
        <v>15001</v>
      </c>
      <c r="EL56" s="2" t="s">
        <v>46</v>
      </c>
      <c r="EM56" s="2" t="s">
        <v>47</v>
      </c>
      <c r="EN56" s="2"/>
      <c r="EO56" s="2" t="s">
        <v>3</v>
      </c>
      <c r="EP56" s="2"/>
      <c r="EQ56" s="2">
        <v>0</v>
      </c>
      <c r="ER56" s="2">
        <v>51.8</v>
      </c>
      <c r="ES56" s="2">
        <v>51.8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si="48"/>
        <v>0</v>
      </c>
      <c r="FS56" s="2">
        <v>0</v>
      </c>
      <c r="FT56" s="2"/>
      <c r="FU56" s="2"/>
      <c r="FV56" s="2"/>
      <c r="FW56" s="2"/>
      <c r="FX56" s="2">
        <v>100</v>
      </c>
      <c r="FY56" s="2">
        <v>49</v>
      </c>
      <c r="FZ56" s="2"/>
      <c r="GA56" s="2" t="s">
        <v>3</v>
      </c>
      <c r="GB56" s="2"/>
      <c r="GC56" s="2"/>
      <c r="GD56" s="2">
        <v>1</v>
      </c>
      <c r="GE56" s="2"/>
      <c r="GF56" s="2">
        <v>-952132946</v>
      </c>
      <c r="GG56" s="2">
        <v>2</v>
      </c>
      <c r="GH56" s="2">
        <v>1</v>
      </c>
      <c r="GI56" s="2">
        <v>-2</v>
      </c>
      <c r="GJ56" s="2">
        <v>0</v>
      </c>
      <c r="GK56" s="2">
        <v>0</v>
      </c>
      <c r="GL56" s="2">
        <f t="shared" si="49"/>
        <v>0</v>
      </c>
      <c r="GM56" s="2">
        <f t="shared" si="50"/>
        <v>-12591.54</v>
      </c>
      <c r="GN56" s="2">
        <f t="shared" si="51"/>
        <v>-12591.54</v>
      </c>
      <c r="GO56" s="2">
        <f t="shared" si="52"/>
        <v>0</v>
      </c>
      <c r="GP56" s="2">
        <f t="shared" si="53"/>
        <v>0</v>
      </c>
      <c r="GQ56" s="2"/>
      <c r="GR56" s="2">
        <v>0</v>
      </c>
      <c r="GS56" s="2">
        <v>3</v>
      </c>
      <c r="GT56" s="2">
        <v>0</v>
      </c>
      <c r="GU56" s="2" t="s">
        <v>3</v>
      </c>
      <c r="GV56" s="2">
        <f t="shared" si="54"/>
        <v>0</v>
      </c>
      <c r="GW56" s="2">
        <v>1</v>
      </c>
      <c r="GX56" s="2">
        <f t="shared" si="55"/>
        <v>0</v>
      </c>
      <c r="GY56" s="2"/>
      <c r="GZ56" s="2"/>
      <c r="HA56" s="2">
        <v>0</v>
      </c>
      <c r="HB56" s="2">
        <v>0</v>
      </c>
      <c r="HC56" s="2">
        <f t="shared" si="56"/>
        <v>0</v>
      </c>
      <c r="HD56" s="2"/>
      <c r="HE56" s="2" t="s">
        <v>3</v>
      </c>
      <c r="HF56" s="2" t="s">
        <v>3</v>
      </c>
      <c r="HG56" s="2"/>
      <c r="HH56" s="2"/>
      <c r="HI56" s="2"/>
      <c r="HJ56" s="2"/>
      <c r="HK56" s="2"/>
      <c r="HL56" s="2"/>
      <c r="HM56" s="2" t="s">
        <v>3</v>
      </c>
      <c r="HN56" s="2" t="s">
        <v>49</v>
      </c>
      <c r="HO56" s="2" t="s">
        <v>50</v>
      </c>
      <c r="HP56" s="2" t="s">
        <v>46</v>
      </c>
      <c r="HQ56" s="2" t="s">
        <v>46</v>
      </c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45" ht="12.75">
      <c r="A57">
        <v>18</v>
      </c>
      <c r="B57">
        <v>1</v>
      </c>
      <c r="C57">
        <v>25</v>
      </c>
      <c r="E57" t="s">
        <v>79</v>
      </c>
      <c r="F57" t="s">
        <v>76</v>
      </c>
      <c r="G57" t="s">
        <v>77</v>
      </c>
      <c r="H57" t="s">
        <v>72</v>
      </c>
      <c r="I57">
        <f>I33*J57</f>
        <v>-243.07999999999998</v>
      </c>
      <c r="J57">
        <v>-103</v>
      </c>
      <c r="K57">
        <v>-103</v>
      </c>
      <c r="O57">
        <f t="shared" si="21"/>
        <v>-85874.33</v>
      </c>
      <c r="P57">
        <f t="shared" si="22"/>
        <v>-85874.33</v>
      </c>
      <c r="Q57">
        <f t="shared" si="23"/>
        <v>0</v>
      </c>
      <c r="R57">
        <f t="shared" si="24"/>
        <v>0</v>
      </c>
      <c r="S57">
        <f t="shared" si="25"/>
        <v>0</v>
      </c>
      <c r="T57">
        <f t="shared" si="26"/>
        <v>0</v>
      </c>
      <c r="U57">
        <f t="shared" si="27"/>
        <v>0</v>
      </c>
      <c r="V57">
        <f t="shared" si="28"/>
        <v>0</v>
      </c>
      <c r="W57">
        <f t="shared" si="29"/>
        <v>0</v>
      </c>
      <c r="X57">
        <f t="shared" si="30"/>
        <v>0</v>
      </c>
      <c r="Y57">
        <f t="shared" si="31"/>
        <v>0</v>
      </c>
      <c r="AA57">
        <v>55722484</v>
      </c>
      <c r="AB57">
        <f t="shared" si="32"/>
        <v>51.8</v>
      </c>
      <c r="AC57">
        <f t="shared" si="33"/>
        <v>51.8</v>
      </c>
      <c r="AD57">
        <f t="shared" si="57"/>
        <v>0</v>
      </c>
      <c r="AE57">
        <f t="shared" si="58"/>
        <v>0</v>
      </c>
      <c r="AF57">
        <f t="shared" si="59"/>
        <v>0</v>
      </c>
      <c r="AG57">
        <f t="shared" si="35"/>
        <v>0</v>
      </c>
      <c r="AH57">
        <f t="shared" si="60"/>
        <v>0</v>
      </c>
      <c r="AI57">
        <f t="shared" si="61"/>
        <v>0</v>
      </c>
      <c r="AJ57">
        <f t="shared" si="37"/>
        <v>0</v>
      </c>
      <c r="AK57">
        <v>51.8</v>
      </c>
      <c r="AL57">
        <v>51.8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100</v>
      </c>
      <c r="AU57">
        <v>49</v>
      </c>
      <c r="AV57">
        <v>1</v>
      </c>
      <c r="AW57">
        <v>1</v>
      </c>
      <c r="AZ57">
        <v>1</v>
      </c>
      <c r="BA57">
        <v>1</v>
      </c>
      <c r="BB57">
        <v>1</v>
      </c>
      <c r="BC57">
        <v>6.82</v>
      </c>
      <c r="BH57">
        <v>3</v>
      </c>
      <c r="BI57">
        <v>1</v>
      </c>
      <c r="BJ57" t="s">
        <v>78</v>
      </c>
      <c r="BM57">
        <v>15001</v>
      </c>
      <c r="BN57">
        <v>0</v>
      </c>
      <c r="BO57" t="s">
        <v>32</v>
      </c>
      <c r="BP57">
        <v>1</v>
      </c>
      <c r="BQ57">
        <v>2</v>
      </c>
      <c r="BR57">
        <v>1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Z57">
        <v>100</v>
      </c>
      <c r="CA57">
        <v>49</v>
      </c>
      <c r="CE57">
        <v>0</v>
      </c>
      <c r="CF57">
        <v>0</v>
      </c>
      <c r="CG57">
        <v>0</v>
      </c>
      <c r="CM57">
        <v>0</v>
      </c>
      <c r="CO57">
        <v>0</v>
      </c>
      <c r="CP57">
        <f t="shared" si="38"/>
        <v>-85874.33</v>
      </c>
      <c r="CQ57">
        <f t="shared" si="39"/>
        <v>353.276</v>
      </c>
      <c r="CR57">
        <f t="shared" si="62"/>
        <v>0</v>
      </c>
      <c r="CS57">
        <f t="shared" si="40"/>
        <v>0</v>
      </c>
      <c r="CT57">
        <f t="shared" si="41"/>
        <v>0</v>
      </c>
      <c r="CU57">
        <f t="shared" si="42"/>
        <v>0</v>
      </c>
      <c r="CV57">
        <f t="shared" si="43"/>
        <v>0</v>
      </c>
      <c r="CW57">
        <f t="shared" si="44"/>
        <v>0</v>
      </c>
      <c r="CX57">
        <f t="shared" si="45"/>
        <v>0</v>
      </c>
      <c r="CY57">
        <f t="shared" si="46"/>
        <v>0</v>
      </c>
      <c r="CZ57">
        <f t="shared" si="47"/>
        <v>0</v>
      </c>
      <c r="DN57">
        <v>0</v>
      </c>
      <c r="DO57">
        <v>0</v>
      </c>
      <c r="DP57">
        <v>1</v>
      </c>
      <c r="DQ57">
        <v>1</v>
      </c>
      <c r="DU57">
        <v>1005</v>
      </c>
      <c r="DV57" t="s">
        <v>72</v>
      </c>
      <c r="DW57" t="s">
        <v>72</v>
      </c>
      <c r="DX57">
        <v>1</v>
      </c>
      <c r="EE57">
        <v>55471694</v>
      </c>
      <c r="EF57">
        <v>2</v>
      </c>
      <c r="EG57" t="s">
        <v>45</v>
      </c>
      <c r="EH57">
        <v>15</v>
      </c>
      <c r="EI57" t="s">
        <v>46</v>
      </c>
      <c r="EJ57">
        <v>1</v>
      </c>
      <c r="EK57">
        <v>15001</v>
      </c>
      <c r="EL57" t="s">
        <v>46</v>
      </c>
      <c r="EM57" t="s">
        <v>47</v>
      </c>
      <c r="EQ57">
        <v>0</v>
      </c>
      <c r="ER57">
        <v>51.8</v>
      </c>
      <c r="ES57">
        <v>51.8</v>
      </c>
      <c r="ET57">
        <v>0</v>
      </c>
      <c r="EU57">
        <v>0</v>
      </c>
      <c r="EV57">
        <v>0</v>
      </c>
      <c r="EW57">
        <v>0</v>
      </c>
      <c r="EX57">
        <v>0</v>
      </c>
      <c r="FQ57">
        <v>0</v>
      </c>
      <c r="FR57">
        <f t="shared" si="48"/>
        <v>0</v>
      </c>
      <c r="FS57">
        <v>0</v>
      </c>
      <c r="FX57">
        <v>100</v>
      </c>
      <c r="FY57">
        <v>49</v>
      </c>
      <c r="GD57">
        <v>1</v>
      </c>
      <c r="GF57">
        <v>-952132946</v>
      </c>
      <c r="GG57">
        <v>2</v>
      </c>
      <c r="GH57">
        <v>1</v>
      </c>
      <c r="GI57">
        <v>4</v>
      </c>
      <c r="GJ57">
        <v>0</v>
      </c>
      <c r="GK57">
        <v>0</v>
      </c>
      <c r="GL57">
        <f t="shared" si="49"/>
        <v>0</v>
      </c>
      <c r="GM57">
        <f t="shared" si="50"/>
        <v>-85874.33</v>
      </c>
      <c r="GN57">
        <f t="shared" si="51"/>
        <v>-85874.33</v>
      </c>
      <c r="GO57">
        <f t="shared" si="52"/>
        <v>0</v>
      </c>
      <c r="GP57">
        <f t="shared" si="53"/>
        <v>0</v>
      </c>
      <c r="GR57">
        <v>0</v>
      </c>
      <c r="GS57">
        <v>3</v>
      </c>
      <c r="GT57">
        <v>0</v>
      </c>
      <c r="GV57">
        <f t="shared" si="54"/>
        <v>0</v>
      </c>
      <c r="GW57">
        <v>1</v>
      </c>
      <c r="GX57">
        <f t="shared" si="55"/>
        <v>0</v>
      </c>
      <c r="HA57">
        <v>0</v>
      </c>
      <c r="HB57">
        <v>0</v>
      </c>
      <c r="HC57">
        <f t="shared" si="56"/>
        <v>0</v>
      </c>
      <c r="HN57" t="s">
        <v>49</v>
      </c>
      <c r="HO57" t="s">
        <v>50</v>
      </c>
      <c r="HP57" t="s">
        <v>46</v>
      </c>
      <c r="HQ57" t="s">
        <v>46</v>
      </c>
      <c r="IK57">
        <v>0</v>
      </c>
    </row>
    <row r="58" spans="1:255" ht="12.75">
      <c r="A58" s="2">
        <v>17</v>
      </c>
      <c r="B58" s="2">
        <v>1</v>
      </c>
      <c r="C58" s="2">
        <f>ROW(SmtRes!A42)</f>
        <v>42</v>
      </c>
      <c r="D58" s="2">
        <f>ROW(EtalonRes!A20)</f>
        <v>20</v>
      </c>
      <c r="E58" s="2" t="s">
        <v>80</v>
      </c>
      <c r="F58" s="2" t="s">
        <v>81</v>
      </c>
      <c r="G58" s="2" t="s">
        <v>82</v>
      </c>
      <c r="H58" s="2" t="s">
        <v>24</v>
      </c>
      <c r="I58" s="2">
        <f>ROUND(29.66/100,7)</f>
        <v>0.2966</v>
      </c>
      <c r="J58" s="2">
        <v>0</v>
      </c>
      <c r="K58" s="2">
        <f>ROUND(29.66/100,7)</f>
        <v>0.2966</v>
      </c>
      <c r="L58" s="2"/>
      <c r="M58" s="2"/>
      <c r="N58" s="2"/>
      <c r="O58" s="2">
        <f t="shared" si="21"/>
        <v>873.15</v>
      </c>
      <c r="P58" s="2">
        <f t="shared" si="22"/>
        <v>333.3</v>
      </c>
      <c r="Q58" s="2">
        <f t="shared" si="23"/>
        <v>6.21</v>
      </c>
      <c r="R58" s="2">
        <f t="shared" si="24"/>
        <v>2.68</v>
      </c>
      <c r="S58" s="2">
        <f t="shared" si="25"/>
        <v>533.64</v>
      </c>
      <c r="T58" s="2">
        <f t="shared" si="26"/>
        <v>0</v>
      </c>
      <c r="U58" s="2">
        <f t="shared" si="27"/>
        <v>60.23056199999999</v>
      </c>
      <c r="V58" s="2">
        <f t="shared" si="28"/>
        <v>0.19872199999999998</v>
      </c>
      <c r="W58" s="2">
        <f t="shared" si="29"/>
        <v>0</v>
      </c>
      <c r="X58" s="2">
        <f t="shared" si="30"/>
        <v>477.32</v>
      </c>
      <c r="Y58" s="2">
        <f t="shared" si="31"/>
        <v>235.98</v>
      </c>
      <c r="Z58" s="2"/>
      <c r="AA58" s="2">
        <v>55722483</v>
      </c>
      <c r="AB58" s="2">
        <f t="shared" si="32"/>
        <v>2943.87</v>
      </c>
      <c r="AC58" s="2">
        <f t="shared" si="33"/>
        <v>1123.73</v>
      </c>
      <c r="AD58" s="2">
        <f t="shared" si="57"/>
        <v>20.94</v>
      </c>
      <c r="AE58" s="2">
        <f t="shared" si="58"/>
        <v>9.05</v>
      </c>
      <c r="AF58" s="2">
        <f t="shared" si="59"/>
        <v>1799.2</v>
      </c>
      <c r="AG58" s="2">
        <f t="shared" si="35"/>
        <v>0</v>
      </c>
      <c r="AH58" s="2">
        <f t="shared" si="60"/>
        <v>203.07</v>
      </c>
      <c r="AI58" s="2">
        <f t="shared" si="61"/>
        <v>0.67</v>
      </c>
      <c r="AJ58" s="2">
        <f t="shared" si="37"/>
        <v>0</v>
      </c>
      <c r="AK58" s="2">
        <v>2943.87</v>
      </c>
      <c r="AL58" s="2">
        <v>1123.73</v>
      </c>
      <c r="AM58" s="2">
        <v>20.94</v>
      </c>
      <c r="AN58" s="2">
        <v>9.05</v>
      </c>
      <c r="AO58" s="2">
        <v>1799.2</v>
      </c>
      <c r="AP58" s="2">
        <v>0</v>
      </c>
      <c r="AQ58" s="2">
        <v>203.07</v>
      </c>
      <c r="AR58" s="2">
        <v>0.67</v>
      </c>
      <c r="AS58" s="2">
        <v>0</v>
      </c>
      <c r="AT58" s="2">
        <v>89</v>
      </c>
      <c r="AU58" s="2">
        <v>44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0</v>
      </c>
      <c r="BI58" s="2">
        <v>1</v>
      </c>
      <c r="BJ58" s="2" t="s">
        <v>83</v>
      </c>
      <c r="BK58" s="2"/>
      <c r="BL58" s="2"/>
      <c r="BM58" s="2">
        <v>61001</v>
      </c>
      <c r="BN58" s="2">
        <v>0</v>
      </c>
      <c r="BO58" s="2" t="s">
        <v>3</v>
      </c>
      <c r="BP58" s="2">
        <v>0</v>
      </c>
      <c r="BQ58" s="2">
        <v>6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89</v>
      </c>
      <c r="CA58" s="2">
        <v>44</v>
      </c>
      <c r="CB58" s="2" t="s">
        <v>3</v>
      </c>
      <c r="CC58" s="2"/>
      <c r="CD58" s="2"/>
      <c r="CE58" s="2">
        <v>0</v>
      </c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38"/>
        <v>873.15</v>
      </c>
      <c r="CQ58" s="2">
        <f t="shared" si="39"/>
        <v>1123.73</v>
      </c>
      <c r="CR58" s="2">
        <f t="shared" si="62"/>
        <v>20.94</v>
      </c>
      <c r="CS58" s="2">
        <f t="shared" si="40"/>
        <v>9.05</v>
      </c>
      <c r="CT58" s="2">
        <f t="shared" si="41"/>
        <v>1799.2</v>
      </c>
      <c r="CU58" s="2">
        <f t="shared" si="42"/>
        <v>0</v>
      </c>
      <c r="CV58" s="2">
        <f t="shared" si="43"/>
        <v>203.07</v>
      </c>
      <c r="CW58" s="2">
        <f t="shared" si="44"/>
        <v>0.67</v>
      </c>
      <c r="CX58" s="2">
        <f t="shared" si="45"/>
        <v>0</v>
      </c>
      <c r="CY58" s="2">
        <f t="shared" si="46"/>
        <v>477.3248</v>
      </c>
      <c r="CZ58" s="2">
        <f t="shared" si="47"/>
        <v>235.9808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1005</v>
      </c>
      <c r="DV58" s="2" t="s">
        <v>24</v>
      </c>
      <c r="DW58" s="2" t="s">
        <v>24</v>
      </c>
      <c r="DX58" s="2">
        <v>100</v>
      </c>
      <c r="DY58" s="2"/>
      <c r="DZ58" s="2" t="s">
        <v>3</v>
      </c>
      <c r="EA58" s="2" t="s">
        <v>3</v>
      </c>
      <c r="EB58" s="2" t="s">
        <v>3</v>
      </c>
      <c r="EC58" s="2" t="s">
        <v>3</v>
      </c>
      <c r="ED58" s="2"/>
      <c r="EE58" s="2">
        <v>55471793</v>
      </c>
      <c r="EF58" s="2">
        <v>6</v>
      </c>
      <c r="EG58" s="2" t="s">
        <v>26</v>
      </c>
      <c r="EH58" s="2">
        <v>95</v>
      </c>
      <c r="EI58" s="2" t="s">
        <v>84</v>
      </c>
      <c r="EJ58" s="2">
        <v>1</v>
      </c>
      <c r="EK58" s="2">
        <v>61001</v>
      </c>
      <c r="EL58" s="2" t="s">
        <v>84</v>
      </c>
      <c r="EM58" s="2" t="s">
        <v>85</v>
      </c>
      <c r="EN58" s="2"/>
      <c r="EO58" s="2" t="s">
        <v>3</v>
      </c>
      <c r="EP58" s="2"/>
      <c r="EQ58" s="2">
        <v>0</v>
      </c>
      <c r="ER58" s="2">
        <v>2943.87</v>
      </c>
      <c r="ES58" s="2">
        <v>1123.73</v>
      </c>
      <c r="ET58" s="2">
        <v>20.94</v>
      </c>
      <c r="EU58" s="2">
        <v>9.05</v>
      </c>
      <c r="EV58" s="2">
        <v>1799.2</v>
      </c>
      <c r="EW58" s="2">
        <v>203.07</v>
      </c>
      <c r="EX58" s="2">
        <v>0.67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48"/>
        <v>0</v>
      </c>
      <c r="FS58" s="2">
        <v>0</v>
      </c>
      <c r="FT58" s="2"/>
      <c r="FU58" s="2"/>
      <c r="FV58" s="2"/>
      <c r="FW58" s="2"/>
      <c r="FX58" s="2">
        <v>89</v>
      </c>
      <c r="FY58" s="2">
        <v>44</v>
      </c>
      <c r="FZ58" s="2"/>
      <c r="GA58" s="2" t="s">
        <v>3</v>
      </c>
      <c r="GB58" s="2"/>
      <c r="GC58" s="2"/>
      <c r="GD58" s="2">
        <v>1</v>
      </c>
      <c r="GE58" s="2"/>
      <c r="GF58" s="2">
        <v>-959099360</v>
      </c>
      <c r="GG58" s="2">
        <v>2</v>
      </c>
      <c r="GH58" s="2">
        <v>1</v>
      </c>
      <c r="GI58" s="2">
        <v>-2</v>
      </c>
      <c r="GJ58" s="2">
        <v>0</v>
      </c>
      <c r="GK58" s="2">
        <v>0</v>
      </c>
      <c r="GL58" s="2">
        <f t="shared" si="49"/>
        <v>0</v>
      </c>
      <c r="GM58" s="2">
        <f t="shared" si="50"/>
        <v>1586.45</v>
      </c>
      <c r="GN58" s="2">
        <f t="shared" si="51"/>
        <v>1586.45</v>
      </c>
      <c r="GO58" s="2">
        <f t="shared" si="52"/>
        <v>0</v>
      </c>
      <c r="GP58" s="2">
        <f t="shared" si="53"/>
        <v>0</v>
      </c>
      <c r="GQ58" s="2"/>
      <c r="GR58" s="2">
        <v>0</v>
      </c>
      <c r="GS58" s="2">
        <v>3</v>
      </c>
      <c r="GT58" s="2">
        <v>0</v>
      </c>
      <c r="GU58" s="2" t="s">
        <v>3</v>
      </c>
      <c r="GV58" s="2">
        <f t="shared" si="54"/>
        <v>0</v>
      </c>
      <c r="GW58" s="2">
        <v>1</v>
      </c>
      <c r="GX58" s="2">
        <f t="shared" si="55"/>
        <v>0</v>
      </c>
      <c r="GY58" s="2"/>
      <c r="GZ58" s="2"/>
      <c r="HA58" s="2">
        <v>0</v>
      </c>
      <c r="HB58" s="2">
        <v>0</v>
      </c>
      <c r="HC58" s="2">
        <f t="shared" si="56"/>
        <v>0</v>
      </c>
      <c r="HD58" s="2"/>
      <c r="HE58" s="2" t="s">
        <v>3</v>
      </c>
      <c r="HF58" s="2" t="s">
        <v>3</v>
      </c>
      <c r="HG58" s="2"/>
      <c r="HH58" s="2"/>
      <c r="HI58" s="2"/>
      <c r="HJ58" s="2"/>
      <c r="HK58" s="2"/>
      <c r="HL58" s="2"/>
      <c r="HM58" s="2" t="s">
        <v>3</v>
      </c>
      <c r="HN58" s="2" t="s">
        <v>86</v>
      </c>
      <c r="HO58" s="2" t="s">
        <v>87</v>
      </c>
      <c r="HP58" s="2" t="s">
        <v>84</v>
      </c>
      <c r="HQ58" s="2" t="s">
        <v>84</v>
      </c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45" ht="12.75">
      <c r="A59">
        <v>17</v>
      </c>
      <c r="B59">
        <v>1</v>
      </c>
      <c r="C59">
        <f>ROW(SmtRes!A48)</f>
        <v>48</v>
      </c>
      <c r="D59">
        <f>ROW(EtalonRes!A26)</f>
        <v>26</v>
      </c>
      <c r="E59" t="s">
        <v>80</v>
      </c>
      <c r="F59" t="s">
        <v>81</v>
      </c>
      <c r="G59" t="s">
        <v>82</v>
      </c>
      <c r="H59" t="s">
        <v>24</v>
      </c>
      <c r="I59">
        <f>ROUND(29.66/100,7)</f>
        <v>0.2966</v>
      </c>
      <c r="J59">
        <v>0</v>
      </c>
      <c r="K59">
        <f>ROUND(29.66/100,7)</f>
        <v>0.2966</v>
      </c>
      <c r="O59">
        <f t="shared" si="21"/>
        <v>22949.77</v>
      </c>
      <c r="P59">
        <f t="shared" si="22"/>
        <v>2273.09</v>
      </c>
      <c r="Q59">
        <f t="shared" si="23"/>
        <v>83.41</v>
      </c>
      <c r="R59">
        <f t="shared" si="24"/>
        <v>103.58</v>
      </c>
      <c r="S59">
        <f t="shared" si="25"/>
        <v>20593.27</v>
      </c>
      <c r="T59">
        <f t="shared" si="26"/>
        <v>0</v>
      </c>
      <c r="U59">
        <f t="shared" si="27"/>
        <v>60.23056199999999</v>
      </c>
      <c r="V59">
        <f t="shared" si="28"/>
        <v>0.19872199999999998</v>
      </c>
      <c r="W59">
        <f t="shared" si="29"/>
        <v>0</v>
      </c>
      <c r="X59">
        <f t="shared" si="30"/>
        <v>18420.2</v>
      </c>
      <c r="Y59">
        <f t="shared" si="31"/>
        <v>9106.61</v>
      </c>
      <c r="AA59">
        <v>55722484</v>
      </c>
      <c r="AB59">
        <f t="shared" si="32"/>
        <v>2943.87</v>
      </c>
      <c r="AC59">
        <f t="shared" si="33"/>
        <v>1123.73</v>
      </c>
      <c r="AD59">
        <f t="shared" si="57"/>
        <v>20.94</v>
      </c>
      <c r="AE59">
        <f t="shared" si="58"/>
        <v>9.05</v>
      </c>
      <c r="AF59">
        <f t="shared" si="59"/>
        <v>1799.2</v>
      </c>
      <c r="AG59">
        <f t="shared" si="35"/>
        <v>0</v>
      </c>
      <c r="AH59">
        <f t="shared" si="60"/>
        <v>203.07</v>
      </c>
      <c r="AI59">
        <f t="shared" si="61"/>
        <v>0.67</v>
      </c>
      <c r="AJ59">
        <f t="shared" si="37"/>
        <v>0</v>
      </c>
      <c r="AK59">
        <v>2943.87</v>
      </c>
      <c r="AL59">
        <v>1123.73</v>
      </c>
      <c r="AM59">
        <v>20.94</v>
      </c>
      <c r="AN59">
        <v>9.05</v>
      </c>
      <c r="AO59">
        <v>1799.2</v>
      </c>
      <c r="AP59">
        <v>0</v>
      </c>
      <c r="AQ59">
        <v>203.07</v>
      </c>
      <c r="AR59">
        <v>0.67</v>
      </c>
      <c r="AS59">
        <v>0</v>
      </c>
      <c r="AT59">
        <v>89</v>
      </c>
      <c r="AU59">
        <v>44</v>
      </c>
      <c r="AV59">
        <v>1</v>
      </c>
      <c r="AW59">
        <v>1</v>
      </c>
      <c r="AZ59">
        <v>1</v>
      </c>
      <c r="BA59">
        <v>38.59</v>
      </c>
      <c r="BB59">
        <v>13.43</v>
      </c>
      <c r="BC59">
        <v>6.82</v>
      </c>
      <c r="BH59">
        <v>0</v>
      </c>
      <c r="BI59">
        <v>1</v>
      </c>
      <c r="BJ59" t="s">
        <v>83</v>
      </c>
      <c r="BM59">
        <v>61001</v>
      </c>
      <c r="BN59">
        <v>0</v>
      </c>
      <c r="BO59" t="s">
        <v>32</v>
      </c>
      <c r="BP59">
        <v>1</v>
      </c>
      <c r="BQ59">
        <v>6</v>
      </c>
      <c r="BR59">
        <v>0</v>
      </c>
      <c r="BS59">
        <v>38.59</v>
      </c>
      <c r="BT59">
        <v>1</v>
      </c>
      <c r="BU59">
        <v>1</v>
      </c>
      <c r="BV59">
        <v>1</v>
      </c>
      <c r="BW59">
        <v>1</v>
      </c>
      <c r="BX59">
        <v>1</v>
      </c>
      <c r="BZ59">
        <v>89</v>
      </c>
      <c r="CA59">
        <v>44</v>
      </c>
      <c r="CE59">
        <v>0</v>
      </c>
      <c r="CF59">
        <v>0</v>
      </c>
      <c r="CG59">
        <v>0</v>
      </c>
      <c r="CM59">
        <v>0</v>
      </c>
      <c r="CO59">
        <v>0</v>
      </c>
      <c r="CP59">
        <f t="shared" si="38"/>
        <v>22949.77</v>
      </c>
      <c r="CQ59">
        <f t="shared" si="39"/>
        <v>7663.8386</v>
      </c>
      <c r="CR59">
        <f t="shared" si="62"/>
        <v>281.2242</v>
      </c>
      <c r="CS59">
        <f t="shared" si="40"/>
        <v>349.2395000000001</v>
      </c>
      <c r="CT59">
        <f t="shared" si="41"/>
        <v>69431.12800000001</v>
      </c>
      <c r="CU59">
        <f t="shared" si="42"/>
        <v>0</v>
      </c>
      <c r="CV59">
        <f t="shared" si="43"/>
        <v>203.07</v>
      </c>
      <c r="CW59">
        <f t="shared" si="44"/>
        <v>0.67</v>
      </c>
      <c r="CX59">
        <f t="shared" si="45"/>
        <v>0</v>
      </c>
      <c r="CY59">
        <f t="shared" si="46"/>
        <v>18420.196500000002</v>
      </c>
      <c r="CZ59">
        <f t="shared" si="47"/>
        <v>9106.614000000001</v>
      </c>
      <c r="DN59">
        <v>0</v>
      </c>
      <c r="DO59">
        <v>0</v>
      </c>
      <c r="DP59">
        <v>1</v>
      </c>
      <c r="DQ59">
        <v>1</v>
      </c>
      <c r="DU59">
        <v>1005</v>
      </c>
      <c r="DV59" t="s">
        <v>24</v>
      </c>
      <c r="DW59" t="s">
        <v>24</v>
      </c>
      <c r="DX59">
        <v>100</v>
      </c>
      <c r="EE59">
        <v>55471793</v>
      </c>
      <c r="EF59">
        <v>6</v>
      </c>
      <c r="EG59" t="s">
        <v>26</v>
      </c>
      <c r="EH59">
        <v>95</v>
      </c>
      <c r="EI59" t="s">
        <v>84</v>
      </c>
      <c r="EJ59">
        <v>1</v>
      </c>
      <c r="EK59">
        <v>61001</v>
      </c>
      <c r="EL59" t="s">
        <v>84</v>
      </c>
      <c r="EM59" t="s">
        <v>85</v>
      </c>
      <c r="EQ59">
        <v>0</v>
      </c>
      <c r="ER59">
        <v>2943.87</v>
      </c>
      <c r="ES59">
        <v>1123.73</v>
      </c>
      <c r="ET59">
        <v>20.94</v>
      </c>
      <c r="EU59">
        <v>9.05</v>
      </c>
      <c r="EV59">
        <v>1799.2</v>
      </c>
      <c r="EW59">
        <v>203.07</v>
      </c>
      <c r="EX59">
        <v>0.67</v>
      </c>
      <c r="EY59">
        <v>0</v>
      </c>
      <c r="FQ59">
        <v>0</v>
      </c>
      <c r="FR59">
        <f t="shared" si="48"/>
        <v>0</v>
      </c>
      <c r="FS59">
        <v>0</v>
      </c>
      <c r="FX59">
        <v>89</v>
      </c>
      <c r="FY59">
        <v>44</v>
      </c>
      <c r="GD59">
        <v>1</v>
      </c>
      <c r="GF59">
        <v>-959099360</v>
      </c>
      <c r="GG59">
        <v>2</v>
      </c>
      <c r="GH59">
        <v>1</v>
      </c>
      <c r="GI59">
        <v>4</v>
      </c>
      <c r="GJ59">
        <v>0</v>
      </c>
      <c r="GK59">
        <v>0</v>
      </c>
      <c r="GL59">
        <f t="shared" si="49"/>
        <v>0</v>
      </c>
      <c r="GM59">
        <f t="shared" si="50"/>
        <v>50476.58</v>
      </c>
      <c r="GN59">
        <f t="shared" si="51"/>
        <v>50476.58</v>
      </c>
      <c r="GO59">
        <f t="shared" si="52"/>
        <v>0</v>
      </c>
      <c r="GP59">
        <f t="shared" si="53"/>
        <v>0</v>
      </c>
      <c r="GR59">
        <v>0</v>
      </c>
      <c r="GS59">
        <v>0</v>
      </c>
      <c r="GT59">
        <v>0</v>
      </c>
      <c r="GV59">
        <f t="shared" si="54"/>
        <v>0</v>
      </c>
      <c r="GW59">
        <v>1</v>
      </c>
      <c r="GX59">
        <f t="shared" si="55"/>
        <v>0</v>
      </c>
      <c r="HA59">
        <v>0</v>
      </c>
      <c r="HB59">
        <v>0</v>
      </c>
      <c r="HC59">
        <f t="shared" si="56"/>
        <v>0</v>
      </c>
      <c r="HN59" t="s">
        <v>86</v>
      </c>
      <c r="HO59" t="s">
        <v>87</v>
      </c>
      <c r="HP59" t="s">
        <v>84</v>
      </c>
      <c r="HQ59" t="s">
        <v>84</v>
      </c>
      <c r="IK59">
        <v>0</v>
      </c>
    </row>
    <row r="60" spans="1:255" ht="12.75">
      <c r="A60" s="2">
        <v>18</v>
      </c>
      <c r="B60" s="2">
        <v>1</v>
      </c>
      <c r="C60" s="2">
        <v>41</v>
      </c>
      <c r="D60" s="2"/>
      <c r="E60" s="2" t="s">
        <v>88</v>
      </c>
      <c r="F60" s="2" t="s">
        <v>89</v>
      </c>
      <c r="G60" s="2" t="s">
        <v>90</v>
      </c>
      <c r="H60" s="2" t="s">
        <v>36</v>
      </c>
      <c r="I60" s="2">
        <f>I58*J60</f>
        <v>1.002508</v>
      </c>
      <c r="J60" s="2">
        <v>3.3800000000000003</v>
      </c>
      <c r="K60" s="2">
        <v>3.38</v>
      </c>
      <c r="L60" s="2"/>
      <c r="M60" s="2"/>
      <c r="N60" s="2"/>
      <c r="O60" s="2">
        <f t="shared" si="21"/>
        <v>0</v>
      </c>
      <c r="P60" s="2">
        <f t="shared" si="22"/>
        <v>0</v>
      </c>
      <c r="Q60" s="2">
        <f t="shared" si="23"/>
        <v>0</v>
      </c>
      <c r="R60" s="2">
        <f t="shared" si="24"/>
        <v>0</v>
      </c>
      <c r="S60" s="2">
        <f t="shared" si="25"/>
        <v>0</v>
      </c>
      <c r="T60" s="2">
        <f t="shared" si="26"/>
        <v>0</v>
      </c>
      <c r="U60" s="2">
        <f t="shared" si="27"/>
        <v>0</v>
      </c>
      <c r="V60" s="2">
        <f t="shared" si="28"/>
        <v>0</v>
      </c>
      <c r="W60" s="2">
        <f t="shared" si="29"/>
        <v>0</v>
      </c>
      <c r="X60" s="2">
        <f t="shared" si="30"/>
        <v>0</v>
      </c>
      <c r="Y60" s="2">
        <f t="shared" si="31"/>
        <v>0</v>
      </c>
      <c r="Z60" s="2"/>
      <c r="AA60" s="2">
        <v>55722483</v>
      </c>
      <c r="AB60" s="2">
        <f t="shared" si="32"/>
        <v>0</v>
      </c>
      <c r="AC60" s="2">
        <f t="shared" si="33"/>
        <v>0</v>
      </c>
      <c r="AD60" s="2">
        <f t="shared" si="57"/>
        <v>0</v>
      </c>
      <c r="AE60" s="2">
        <f t="shared" si="58"/>
        <v>0</v>
      </c>
      <c r="AF60" s="2">
        <f t="shared" si="59"/>
        <v>0</v>
      </c>
      <c r="AG60" s="2">
        <f t="shared" si="35"/>
        <v>0</v>
      </c>
      <c r="AH60" s="2">
        <f t="shared" si="60"/>
        <v>0</v>
      </c>
      <c r="AI60" s="2">
        <f t="shared" si="61"/>
        <v>0</v>
      </c>
      <c r="AJ60" s="2">
        <f t="shared" si="37"/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89</v>
      </c>
      <c r="AU60" s="2">
        <v>44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61001</v>
      </c>
      <c r="BN60" s="2">
        <v>0</v>
      </c>
      <c r="BO60" s="2" t="s">
        <v>3</v>
      </c>
      <c r="BP60" s="2">
        <v>0</v>
      </c>
      <c r="BQ60" s="2">
        <v>6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89</v>
      </c>
      <c r="CA60" s="2">
        <v>44</v>
      </c>
      <c r="CB60" s="2" t="s">
        <v>3</v>
      </c>
      <c r="CC60" s="2"/>
      <c r="CD60" s="2"/>
      <c r="CE60" s="2">
        <v>0</v>
      </c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38"/>
        <v>0</v>
      </c>
      <c r="CQ60" s="2">
        <f t="shared" si="39"/>
        <v>0</v>
      </c>
      <c r="CR60" s="2">
        <f t="shared" si="62"/>
        <v>0</v>
      </c>
      <c r="CS60" s="2">
        <f t="shared" si="40"/>
        <v>0</v>
      </c>
      <c r="CT60" s="2">
        <f t="shared" si="41"/>
        <v>0</v>
      </c>
      <c r="CU60" s="2">
        <f t="shared" si="42"/>
        <v>0</v>
      </c>
      <c r="CV60" s="2">
        <f t="shared" si="43"/>
        <v>0</v>
      </c>
      <c r="CW60" s="2">
        <f t="shared" si="44"/>
        <v>0</v>
      </c>
      <c r="CX60" s="2">
        <f t="shared" si="45"/>
        <v>0</v>
      </c>
      <c r="CY60" s="2">
        <f t="shared" si="46"/>
        <v>0</v>
      </c>
      <c r="CZ60" s="2">
        <f t="shared" si="47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1009</v>
      </c>
      <c r="DV60" s="2" t="s">
        <v>36</v>
      </c>
      <c r="DW60" s="2" t="s">
        <v>36</v>
      </c>
      <c r="DX60" s="2">
        <v>1000</v>
      </c>
      <c r="DY60" s="2"/>
      <c r="DZ60" s="2" t="s">
        <v>3</v>
      </c>
      <c r="EA60" s="2" t="s">
        <v>3</v>
      </c>
      <c r="EB60" s="2" t="s">
        <v>3</v>
      </c>
      <c r="EC60" s="2" t="s">
        <v>3</v>
      </c>
      <c r="ED60" s="2"/>
      <c r="EE60" s="2">
        <v>55471793</v>
      </c>
      <c r="EF60" s="2">
        <v>6</v>
      </c>
      <c r="EG60" s="2" t="s">
        <v>26</v>
      </c>
      <c r="EH60" s="2">
        <v>95</v>
      </c>
      <c r="EI60" s="2" t="s">
        <v>84</v>
      </c>
      <c r="EJ60" s="2">
        <v>1</v>
      </c>
      <c r="EK60" s="2">
        <v>61001</v>
      </c>
      <c r="EL60" s="2" t="s">
        <v>84</v>
      </c>
      <c r="EM60" s="2" t="s">
        <v>85</v>
      </c>
      <c r="EN60" s="2"/>
      <c r="EO60" s="2" t="s">
        <v>3</v>
      </c>
      <c r="EP60" s="2"/>
      <c r="EQ60" s="2">
        <v>0</v>
      </c>
      <c r="ER60" s="2">
        <v>0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48"/>
        <v>0</v>
      </c>
      <c r="FS60" s="2">
        <v>0</v>
      </c>
      <c r="FT60" s="2"/>
      <c r="FU60" s="2"/>
      <c r="FV60" s="2"/>
      <c r="FW60" s="2"/>
      <c r="FX60" s="2">
        <v>89</v>
      </c>
      <c r="FY60" s="2">
        <v>44</v>
      </c>
      <c r="FZ60" s="2"/>
      <c r="GA60" s="2" t="s">
        <v>3</v>
      </c>
      <c r="GB60" s="2"/>
      <c r="GC60" s="2"/>
      <c r="GD60" s="2">
        <v>1</v>
      </c>
      <c r="GE60" s="2"/>
      <c r="GF60" s="2">
        <v>-179832266</v>
      </c>
      <c r="GG60" s="2">
        <v>2</v>
      </c>
      <c r="GH60" s="2">
        <v>1</v>
      </c>
      <c r="GI60" s="2">
        <v>-2</v>
      </c>
      <c r="GJ60" s="2">
        <v>0</v>
      </c>
      <c r="GK60" s="2">
        <v>0</v>
      </c>
      <c r="GL60" s="2">
        <f t="shared" si="49"/>
        <v>0</v>
      </c>
      <c r="GM60" s="2">
        <f t="shared" si="50"/>
        <v>0</v>
      </c>
      <c r="GN60" s="2">
        <f t="shared" si="51"/>
        <v>0</v>
      </c>
      <c r="GO60" s="2">
        <f t="shared" si="52"/>
        <v>0</v>
      </c>
      <c r="GP60" s="2">
        <f t="shared" si="53"/>
        <v>0</v>
      </c>
      <c r="GQ60" s="2"/>
      <c r="GR60" s="2">
        <v>0</v>
      </c>
      <c r="GS60" s="2">
        <v>3</v>
      </c>
      <c r="GT60" s="2">
        <v>0</v>
      </c>
      <c r="GU60" s="2" t="s">
        <v>3</v>
      </c>
      <c r="GV60" s="2">
        <f t="shared" si="54"/>
        <v>0</v>
      </c>
      <c r="GW60" s="2">
        <v>1</v>
      </c>
      <c r="GX60" s="2">
        <f t="shared" si="55"/>
        <v>0</v>
      </c>
      <c r="GY60" s="2"/>
      <c r="GZ60" s="2"/>
      <c r="HA60" s="2">
        <v>0</v>
      </c>
      <c r="HB60" s="2">
        <v>0</v>
      </c>
      <c r="HC60" s="2">
        <f t="shared" si="56"/>
        <v>0</v>
      </c>
      <c r="HD60" s="2"/>
      <c r="HE60" s="2" t="s">
        <v>3</v>
      </c>
      <c r="HF60" s="2" t="s">
        <v>3</v>
      </c>
      <c r="HG60" s="2"/>
      <c r="HH60" s="2"/>
      <c r="HI60" s="2"/>
      <c r="HJ60" s="2"/>
      <c r="HK60" s="2"/>
      <c r="HL60" s="2"/>
      <c r="HM60" s="2" t="s">
        <v>3</v>
      </c>
      <c r="HN60" s="2" t="s">
        <v>86</v>
      </c>
      <c r="HO60" s="2" t="s">
        <v>87</v>
      </c>
      <c r="HP60" s="2" t="s">
        <v>84</v>
      </c>
      <c r="HQ60" s="2" t="s">
        <v>84</v>
      </c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45" ht="12.75">
      <c r="A61">
        <v>18</v>
      </c>
      <c r="B61">
        <v>1</v>
      </c>
      <c r="C61">
        <v>47</v>
      </c>
      <c r="E61" t="s">
        <v>88</v>
      </c>
      <c r="F61" t="s">
        <v>89</v>
      </c>
      <c r="G61" t="s">
        <v>90</v>
      </c>
      <c r="H61" t="s">
        <v>36</v>
      </c>
      <c r="I61">
        <f>I59*J61</f>
        <v>1.002508</v>
      </c>
      <c r="J61">
        <v>3.3800000000000003</v>
      </c>
      <c r="K61">
        <v>3.38</v>
      </c>
      <c r="O61">
        <f t="shared" si="21"/>
        <v>0</v>
      </c>
      <c r="P61">
        <f t="shared" si="22"/>
        <v>0</v>
      </c>
      <c r="Q61">
        <f t="shared" si="23"/>
        <v>0</v>
      </c>
      <c r="R61">
        <f t="shared" si="24"/>
        <v>0</v>
      </c>
      <c r="S61">
        <f t="shared" si="25"/>
        <v>0</v>
      </c>
      <c r="T61">
        <f t="shared" si="26"/>
        <v>0</v>
      </c>
      <c r="U61">
        <f t="shared" si="27"/>
        <v>0</v>
      </c>
      <c r="V61">
        <f t="shared" si="28"/>
        <v>0</v>
      </c>
      <c r="W61">
        <f t="shared" si="29"/>
        <v>0</v>
      </c>
      <c r="X61">
        <f t="shared" si="30"/>
        <v>0</v>
      </c>
      <c r="Y61">
        <f t="shared" si="31"/>
        <v>0</v>
      </c>
      <c r="AA61">
        <v>55722484</v>
      </c>
      <c r="AB61">
        <f t="shared" si="32"/>
        <v>0</v>
      </c>
      <c r="AC61">
        <f t="shared" si="33"/>
        <v>0</v>
      </c>
      <c r="AD61">
        <f t="shared" si="57"/>
        <v>0</v>
      </c>
      <c r="AE61">
        <f t="shared" si="58"/>
        <v>0</v>
      </c>
      <c r="AF61">
        <f t="shared" si="59"/>
        <v>0</v>
      </c>
      <c r="AG61">
        <f t="shared" si="35"/>
        <v>0</v>
      </c>
      <c r="AH61">
        <f t="shared" si="60"/>
        <v>0</v>
      </c>
      <c r="AI61">
        <f t="shared" si="61"/>
        <v>0</v>
      </c>
      <c r="AJ61">
        <f t="shared" si="37"/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89</v>
      </c>
      <c r="AU61">
        <v>44</v>
      </c>
      <c r="AV61">
        <v>1</v>
      </c>
      <c r="AW61">
        <v>1</v>
      </c>
      <c r="AZ61">
        <v>1</v>
      </c>
      <c r="BA61">
        <v>1</v>
      </c>
      <c r="BB61">
        <v>1</v>
      </c>
      <c r="BC61">
        <v>1</v>
      </c>
      <c r="BH61">
        <v>3</v>
      </c>
      <c r="BI61">
        <v>1</v>
      </c>
      <c r="BM61">
        <v>61001</v>
      </c>
      <c r="BN61">
        <v>0</v>
      </c>
      <c r="BP61">
        <v>0</v>
      </c>
      <c r="BQ61">
        <v>6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Z61">
        <v>89</v>
      </c>
      <c r="CA61">
        <v>44</v>
      </c>
      <c r="CE61">
        <v>0</v>
      </c>
      <c r="CF61">
        <v>0</v>
      </c>
      <c r="CG61">
        <v>0</v>
      </c>
      <c r="CM61">
        <v>0</v>
      </c>
      <c r="CO61">
        <v>0</v>
      </c>
      <c r="CP61">
        <f t="shared" si="38"/>
        <v>0</v>
      </c>
      <c r="CQ61">
        <f t="shared" si="39"/>
        <v>0</v>
      </c>
      <c r="CR61">
        <f t="shared" si="62"/>
        <v>0</v>
      </c>
      <c r="CS61">
        <f t="shared" si="40"/>
        <v>0</v>
      </c>
      <c r="CT61">
        <f t="shared" si="41"/>
        <v>0</v>
      </c>
      <c r="CU61">
        <f t="shared" si="42"/>
        <v>0</v>
      </c>
      <c r="CV61">
        <f t="shared" si="43"/>
        <v>0</v>
      </c>
      <c r="CW61">
        <f t="shared" si="44"/>
        <v>0</v>
      </c>
      <c r="CX61">
        <f t="shared" si="45"/>
        <v>0</v>
      </c>
      <c r="CY61">
        <f t="shared" si="46"/>
        <v>0</v>
      </c>
      <c r="CZ61">
        <f t="shared" si="47"/>
        <v>0</v>
      </c>
      <c r="DN61">
        <v>0</v>
      </c>
      <c r="DO61">
        <v>0</v>
      </c>
      <c r="DP61">
        <v>1</v>
      </c>
      <c r="DQ61">
        <v>1</v>
      </c>
      <c r="DU61">
        <v>1009</v>
      </c>
      <c r="DV61" t="s">
        <v>36</v>
      </c>
      <c r="DW61" t="s">
        <v>36</v>
      </c>
      <c r="DX61">
        <v>1000</v>
      </c>
      <c r="EE61">
        <v>55471793</v>
      </c>
      <c r="EF61">
        <v>6</v>
      </c>
      <c r="EG61" t="s">
        <v>26</v>
      </c>
      <c r="EH61">
        <v>95</v>
      </c>
      <c r="EI61" t="s">
        <v>84</v>
      </c>
      <c r="EJ61">
        <v>1</v>
      </c>
      <c r="EK61">
        <v>61001</v>
      </c>
      <c r="EL61" t="s">
        <v>84</v>
      </c>
      <c r="EM61" t="s">
        <v>85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FQ61">
        <v>0</v>
      </c>
      <c r="FR61">
        <f t="shared" si="48"/>
        <v>0</v>
      </c>
      <c r="FS61">
        <v>0</v>
      </c>
      <c r="FX61">
        <v>89</v>
      </c>
      <c r="FY61">
        <v>44</v>
      </c>
      <c r="GD61">
        <v>1</v>
      </c>
      <c r="GF61">
        <v>-179832266</v>
      </c>
      <c r="GG61">
        <v>2</v>
      </c>
      <c r="GH61">
        <v>1</v>
      </c>
      <c r="GI61">
        <v>-2</v>
      </c>
      <c r="GJ61">
        <v>0</v>
      </c>
      <c r="GK61">
        <v>0</v>
      </c>
      <c r="GL61">
        <f t="shared" si="49"/>
        <v>0</v>
      </c>
      <c r="GM61">
        <f t="shared" si="50"/>
        <v>0</v>
      </c>
      <c r="GN61">
        <f t="shared" si="51"/>
        <v>0</v>
      </c>
      <c r="GO61">
        <f t="shared" si="52"/>
        <v>0</v>
      </c>
      <c r="GP61">
        <f t="shared" si="53"/>
        <v>0</v>
      </c>
      <c r="GR61">
        <v>0</v>
      </c>
      <c r="GS61">
        <v>0</v>
      </c>
      <c r="GT61">
        <v>0</v>
      </c>
      <c r="GV61">
        <f t="shared" si="54"/>
        <v>0</v>
      </c>
      <c r="GW61">
        <v>1</v>
      </c>
      <c r="GX61">
        <f t="shared" si="55"/>
        <v>0</v>
      </c>
      <c r="HA61">
        <v>0</v>
      </c>
      <c r="HB61">
        <v>0</v>
      </c>
      <c r="HC61">
        <f t="shared" si="56"/>
        <v>0</v>
      </c>
      <c r="HN61" t="s">
        <v>86</v>
      </c>
      <c r="HO61" t="s">
        <v>87</v>
      </c>
      <c r="HP61" t="s">
        <v>84</v>
      </c>
      <c r="HQ61" t="s">
        <v>84</v>
      </c>
      <c r="IK61">
        <v>0</v>
      </c>
    </row>
    <row r="62" spans="1:255" ht="12.75">
      <c r="A62" s="2">
        <v>17</v>
      </c>
      <c r="B62" s="2">
        <v>1</v>
      </c>
      <c r="C62" s="2">
        <f>ROW(SmtRes!A56)</f>
        <v>56</v>
      </c>
      <c r="D62" s="2">
        <f>ROW(EtalonRes!A34)</f>
        <v>34</v>
      </c>
      <c r="E62" s="2" t="s">
        <v>91</v>
      </c>
      <c r="F62" s="2" t="s">
        <v>92</v>
      </c>
      <c r="G62" s="2" t="s">
        <v>93</v>
      </c>
      <c r="H62" s="2" t="s">
        <v>24</v>
      </c>
      <c r="I62" s="2">
        <f>ROUND(650/100,7)</f>
        <v>6.5</v>
      </c>
      <c r="J62" s="2">
        <v>0</v>
      </c>
      <c r="K62" s="2">
        <f>ROUND(650/100,7)</f>
        <v>6.5</v>
      </c>
      <c r="L62" s="2"/>
      <c r="M62" s="2"/>
      <c r="N62" s="2"/>
      <c r="O62" s="2">
        <f t="shared" si="21"/>
        <v>4522.12</v>
      </c>
      <c r="P62" s="2">
        <f t="shared" si="22"/>
        <v>1821.95</v>
      </c>
      <c r="Q62" s="2">
        <f t="shared" si="23"/>
        <v>85.22</v>
      </c>
      <c r="R62" s="2">
        <f t="shared" si="24"/>
        <v>16.32</v>
      </c>
      <c r="S62" s="2">
        <f t="shared" si="25"/>
        <v>2614.95</v>
      </c>
      <c r="T62" s="2">
        <f t="shared" si="26"/>
        <v>0</v>
      </c>
      <c r="U62" s="2">
        <f t="shared" si="27"/>
        <v>291.525</v>
      </c>
      <c r="V62" s="2">
        <f t="shared" si="28"/>
        <v>1.38125</v>
      </c>
      <c r="W62" s="2">
        <f t="shared" si="29"/>
        <v>0</v>
      </c>
      <c r="X62" s="2">
        <f t="shared" si="30"/>
        <v>2368.14</v>
      </c>
      <c r="Y62" s="2">
        <f t="shared" si="31"/>
        <v>1095.92</v>
      </c>
      <c r="Z62" s="2"/>
      <c r="AA62" s="2">
        <v>55722483</v>
      </c>
      <c r="AB62" s="2">
        <f t="shared" si="32"/>
        <v>695.71</v>
      </c>
      <c r="AC62" s="2">
        <f t="shared" si="33"/>
        <v>280.3</v>
      </c>
      <c r="AD62" s="2">
        <f>ROUND(((((ET62*ROUND(1.25,7)))-((EU62*ROUND(1.25,7))))+AE62),2)</f>
        <v>13.11</v>
      </c>
      <c r="AE62" s="2">
        <f>ROUND(((EU62*ROUND(1.25,7))),2)</f>
        <v>2.51</v>
      </c>
      <c r="AF62" s="2">
        <f>ROUND(((EV62*ROUND(1.15,7))),2)</f>
        <v>402.3</v>
      </c>
      <c r="AG62" s="2">
        <f t="shared" si="35"/>
        <v>0</v>
      </c>
      <c r="AH62" s="2">
        <f>((EW62*ROUND(1.15,7)))</f>
        <v>44.849999999999994</v>
      </c>
      <c r="AI62" s="2">
        <f>((EX62*ROUND(1.25,7)))</f>
        <v>0.21250000000000002</v>
      </c>
      <c r="AJ62" s="2">
        <f t="shared" si="37"/>
        <v>0</v>
      </c>
      <c r="AK62" s="2">
        <v>640.62</v>
      </c>
      <c r="AL62" s="2">
        <v>280.3</v>
      </c>
      <c r="AM62" s="2">
        <v>10.49</v>
      </c>
      <c r="AN62" s="2">
        <v>2.01</v>
      </c>
      <c r="AO62" s="2">
        <v>349.83</v>
      </c>
      <c r="AP62" s="2">
        <v>0</v>
      </c>
      <c r="AQ62" s="2">
        <v>39</v>
      </c>
      <c r="AR62" s="2">
        <v>0.17</v>
      </c>
      <c r="AS62" s="2">
        <v>0</v>
      </c>
      <c r="AT62" s="2">
        <v>90</v>
      </c>
      <c r="AU62" s="2">
        <v>41.65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0</v>
      </c>
      <c r="BI62" s="2">
        <v>1</v>
      </c>
      <c r="BJ62" s="2" t="s">
        <v>94</v>
      </c>
      <c r="BK62" s="2"/>
      <c r="BL62" s="2"/>
      <c r="BM62" s="2">
        <v>15001</v>
      </c>
      <c r="BN62" s="2">
        <v>0</v>
      </c>
      <c r="BO62" s="2" t="s">
        <v>3</v>
      </c>
      <c r="BP62" s="2">
        <v>0</v>
      </c>
      <c r="BQ62" s="2">
        <v>2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100</v>
      </c>
      <c r="CA62" s="2">
        <v>49</v>
      </c>
      <c r="CB62" s="2" t="s">
        <v>3</v>
      </c>
      <c r="CC62" s="2"/>
      <c r="CD62" s="2"/>
      <c r="CE62" s="2">
        <v>0</v>
      </c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365</v>
      </c>
      <c r="CO62" s="2">
        <v>0</v>
      </c>
      <c r="CP62" s="2">
        <f t="shared" si="38"/>
        <v>4522.12</v>
      </c>
      <c r="CQ62" s="2">
        <f t="shared" si="39"/>
        <v>280.3</v>
      </c>
      <c r="CR62" s="2">
        <f>((((ET62*ROUND(1.25,7)))*BB62-((EU62*ROUND(1.25,7)))*BS62)+AE62*BS62)</f>
        <v>13.110000000000001</v>
      </c>
      <c r="CS62" s="2">
        <f t="shared" si="40"/>
        <v>2.51</v>
      </c>
      <c r="CT62" s="2">
        <f t="shared" si="41"/>
        <v>402.3</v>
      </c>
      <c r="CU62" s="2">
        <f t="shared" si="42"/>
        <v>0</v>
      </c>
      <c r="CV62" s="2">
        <f t="shared" si="43"/>
        <v>44.849999999999994</v>
      </c>
      <c r="CW62" s="2">
        <f t="shared" si="44"/>
        <v>0.21250000000000002</v>
      </c>
      <c r="CX62" s="2">
        <f t="shared" si="45"/>
        <v>0</v>
      </c>
      <c r="CY62" s="2">
        <f t="shared" si="46"/>
        <v>2368.143</v>
      </c>
      <c r="CZ62" s="2">
        <f t="shared" si="47"/>
        <v>1095.923955</v>
      </c>
      <c r="DA62" s="2"/>
      <c r="DB62" s="2"/>
      <c r="DC62" s="2" t="s">
        <v>3</v>
      </c>
      <c r="DD62" s="2" t="s">
        <v>3</v>
      </c>
      <c r="DE62" s="2" t="s">
        <v>41</v>
      </c>
      <c r="DF62" s="2" t="s">
        <v>41</v>
      </c>
      <c r="DG62" s="2" t="s">
        <v>95</v>
      </c>
      <c r="DH62" s="2" t="s">
        <v>3</v>
      </c>
      <c r="DI62" s="2" t="s">
        <v>95</v>
      </c>
      <c r="DJ62" s="2" t="s">
        <v>41</v>
      </c>
      <c r="DK62" s="2" t="s">
        <v>3</v>
      </c>
      <c r="DL62" s="2" t="s">
        <v>43</v>
      </c>
      <c r="DM62" s="2" t="s">
        <v>44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1005</v>
      </c>
      <c r="DV62" s="2" t="s">
        <v>24</v>
      </c>
      <c r="DW62" s="2" t="s">
        <v>24</v>
      </c>
      <c r="DX62" s="2">
        <v>100</v>
      </c>
      <c r="DY62" s="2"/>
      <c r="DZ62" s="2" t="s">
        <v>3</v>
      </c>
      <c r="EA62" s="2" t="s">
        <v>3</v>
      </c>
      <c r="EB62" s="2" t="s">
        <v>3</v>
      </c>
      <c r="EC62" s="2" t="s">
        <v>3</v>
      </c>
      <c r="ED62" s="2"/>
      <c r="EE62" s="2">
        <v>55471694</v>
      </c>
      <c r="EF62" s="2">
        <v>2</v>
      </c>
      <c r="EG62" s="2" t="s">
        <v>45</v>
      </c>
      <c r="EH62" s="2">
        <v>15</v>
      </c>
      <c r="EI62" s="2" t="s">
        <v>46</v>
      </c>
      <c r="EJ62" s="2">
        <v>1</v>
      </c>
      <c r="EK62" s="2">
        <v>15001</v>
      </c>
      <c r="EL62" s="2" t="s">
        <v>46</v>
      </c>
      <c r="EM62" s="2" t="s">
        <v>47</v>
      </c>
      <c r="EN62" s="2"/>
      <c r="EO62" s="2" t="s">
        <v>96</v>
      </c>
      <c r="EP62" s="2"/>
      <c r="EQ62" s="2">
        <v>0</v>
      </c>
      <c r="ER62" s="2">
        <v>640.62</v>
      </c>
      <c r="ES62" s="2">
        <v>280.3</v>
      </c>
      <c r="ET62" s="2">
        <v>10.49</v>
      </c>
      <c r="EU62" s="2">
        <v>2.01</v>
      </c>
      <c r="EV62" s="2">
        <v>349.83</v>
      </c>
      <c r="EW62" s="2">
        <v>39</v>
      </c>
      <c r="EX62" s="2">
        <v>0.17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48"/>
        <v>0</v>
      </c>
      <c r="FS62" s="2">
        <v>0</v>
      </c>
      <c r="FT62" s="2"/>
      <c r="FU62" s="2"/>
      <c r="FV62" s="2"/>
      <c r="FW62" s="2"/>
      <c r="FX62" s="2">
        <v>90</v>
      </c>
      <c r="FY62" s="2">
        <v>41.65</v>
      </c>
      <c r="FZ62" s="2"/>
      <c r="GA62" s="2" t="s">
        <v>3</v>
      </c>
      <c r="GB62" s="2"/>
      <c r="GC62" s="2"/>
      <c r="GD62" s="2">
        <v>1</v>
      </c>
      <c r="GE62" s="2"/>
      <c r="GF62" s="2">
        <v>-1038248415</v>
      </c>
      <c r="GG62" s="2">
        <v>2</v>
      </c>
      <c r="GH62" s="2">
        <v>1</v>
      </c>
      <c r="GI62" s="2">
        <v>-2</v>
      </c>
      <c r="GJ62" s="2">
        <v>0</v>
      </c>
      <c r="GK62" s="2">
        <v>0</v>
      </c>
      <c r="GL62" s="2">
        <f t="shared" si="49"/>
        <v>0</v>
      </c>
      <c r="GM62" s="2">
        <f t="shared" si="50"/>
        <v>7986.18</v>
      </c>
      <c r="GN62" s="2">
        <f t="shared" si="51"/>
        <v>7986.18</v>
      </c>
      <c r="GO62" s="2">
        <f t="shared" si="52"/>
        <v>0</v>
      </c>
      <c r="GP62" s="2">
        <f t="shared" si="53"/>
        <v>0</v>
      </c>
      <c r="GQ62" s="2"/>
      <c r="GR62" s="2">
        <v>0</v>
      </c>
      <c r="GS62" s="2">
        <v>3</v>
      </c>
      <c r="GT62" s="2">
        <v>0</v>
      </c>
      <c r="GU62" s="2" t="s">
        <v>3</v>
      </c>
      <c r="GV62" s="2">
        <f t="shared" si="54"/>
        <v>0</v>
      </c>
      <c r="GW62" s="2">
        <v>1</v>
      </c>
      <c r="GX62" s="2">
        <f t="shared" si="55"/>
        <v>0</v>
      </c>
      <c r="GY62" s="2"/>
      <c r="GZ62" s="2"/>
      <c r="HA62" s="2">
        <v>0</v>
      </c>
      <c r="HB62" s="2">
        <v>0</v>
      </c>
      <c r="HC62" s="2">
        <f t="shared" si="56"/>
        <v>0</v>
      </c>
      <c r="HD62" s="2"/>
      <c r="HE62" s="2" t="s">
        <v>3</v>
      </c>
      <c r="HF62" s="2" t="s">
        <v>3</v>
      </c>
      <c r="HG62" s="2"/>
      <c r="HH62" s="2"/>
      <c r="HI62" s="2"/>
      <c r="HJ62" s="2"/>
      <c r="HK62" s="2"/>
      <c r="HL62" s="2"/>
      <c r="HM62" s="2" t="s">
        <v>3</v>
      </c>
      <c r="HN62" s="2" t="s">
        <v>49</v>
      </c>
      <c r="HO62" s="2" t="s">
        <v>50</v>
      </c>
      <c r="HP62" s="2" t="s">
        <v>46</v>
      </c>
      <c r="HQ62" s="2" t="s">
        <v>46</v>
      </c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45" ht="12.75">
      <c r="A63">
        <v>17</v>
      </c>
      <c r="B63">
        <v>1</v>
      </c>
      <c r="C63">
        <f>ROW(SmtRes!A64)</f>
        <v>64</v>
      </c>
      <c r="D63">
        <f>ROW(EtalonRes!A42)</f>
        <v>42</v>
      </c>
      <c r="E63" t="s">
        <v>91</v>
      </c>
      <c r="F63" t="s">
        <v>92</v>
      </c>
      <c r="G63" t="s">
        <v>93</v>
      </c>
      <c r="H63" t="s">
        <v>24</v>
      </c>
      <c r="I63">
        <f>ROUND(650/100,7)</f>
        <v>6.5</v>
      </c>
      <c r="J63">
        <v>0</v>
      </c>
      <c r="K63">
        <f>ROUND(650/100,7)</f>
        <v>6.5</v>
      </c>
      <c r="O63">
        <f t="shared" si="21"/>
        <v>114480.65</v>
      </c>
      <c r="P63">
        <f t="shared" si="22"/>
        <v>12425.7</v>
      </c>
      <c r="Q63">
        <f t="shared" si="23"/>
        <v>1144.03</v>
      </c>
      <c r="R63">
        <f t="shared" si="24"/>
        <v>629.6</v>
      </c>
      <c r="S63">
        <f t="shared" si="25"/>
        <v>100910.92</v>
      </c>
      <c r="T63">
        <f t="shared" si="26"/>
        <v>0</v>
      </c>
      <c r="U63">
        <f t="shared" si="27"/>
        <v>291.525</v>
      </c>
      <c r="V63">
        <f t="shared" si="28"/>
        <v>1.38125</v>
      </c>
      <c r="W63">
        <f t="shared" si="29"/>
        <v>0</v>
      </c>
      <c r="X63">
        <f t="shared" si="30"/>
        <v>91386.47</v>
      </c>
      <c r="Y63">
        <f t="shared" si="31"/>
        <v>42291.63</v>
      </c>
      <c r="AA63">
        <v>55722484</v>
      </c>
      <c r="AB63">
        <f t="shared" si="32"/>
        <v>695.71</v>
      </c>
      <c r="AC63">
        <f t="shared" si="33"/>
        <v>280.3</v>
      </c>
      <c r="AD63">
        <f>ROUND(((((ET63*ROUND(1.25,7)))-((EU63*ROUND(1.25,7))))+AE63),2)</f>
        <v>13.11</v>
      </c>
      <c r="AE63">
        <f>ROUND(((EU63*ROUND(1.25,7))),2)</f>
        <v>2.51</v>
      </c>
      <c r="AF63">
        <f>ROUND(((EV63*ROUND(1.15,7))),2)</f>
        <v>402.3</v>
      </c>
      <c r="AG63">
        <f t="shared" si="35"/>
        <v>0</v>
      </c>
      <c r="AH63">
        <f>((EW63*ROUND(1.15,7)))</f>
        <v>44.849999999999994</v>
      </c>
      <c r="AI63">
        <f>((EX63*ROUND(1.25,7)))</f>
        <v>0.21250000000000002</v>
      </c>
      <c r="AJ63">
        <f t="shared" si="37"/>
        <v>0</v>
      </c>
      <c r="AK63">
        <v>640.62</v>
      </c>
      <c r="AL63">
        <v>280.3</v>
      </c>
      <c r="AM63">
        <v>10.49</v>
      </c>
      <c r="AN63">
        <v>2.01</v>
      </c>
      <c r="AO63">
        <v>349.83</v>
      </c>
      <c r="AP63">
        <v>0</v>
      </c>
      <c r="AQ63">
        <v>39</v>
      </c>
      <c r="AR63">
        <v>0.17</v>
      </c>
      <c r="AS63">
        <v>0</v>
      </c>
      <c r="AT63">
        <v>90</v>
      </c>
      <c r="AU63">
        <v>41.65</v>
      </c>
      <c r="AV63">
        <v>1</v>
      </c>
      <c r="AW63">
        <v>1</v>
      </c>
      <c r="AZ63">
        <v>1</v>
      </c>
      <c r="BA63">
        <v>38.59</v>
      </c>
      <c r="BB63">
        <v>13.43</v>
      </c>
      <c r="BC63">
        <v>6.82</v>
      </c>
      <c r="BH63">
        <v>0</v>
      </c>
      <c r="BI63">
        <v>1</v>
      </c>
      <c r="BJ63" t="s">
        <v>94</v>
      </c>
      <c r="BM63">
        <v>15001</v>
      </c>
      <c r="BN63">
        <v>0</v>
      </c>
      <c r="BO63" t="s">
        <v>32</v>
      </c>
      <c r="BP63">
        <v>1</v>
      </c>
      <c r="BQ63">
        <v>2</v>
      </c>
      <c r="BR63">
        <v>0</v>
      </c>
      <c r="BS63">
        <v>38.59</v>
      </c>
      <c r="BT63">
        <v>1</v>
      </c>
      <c r="BU63">
        <v>1</v>
      </c>
      <c r="BV63">
        <v>1</v>
      </c>
      <c r="BW63">
        <v>1</v>
      </c>
      <c r="BX63">
        <v>1</v>
      </c>
      <c r="BZ63">
        <v>100</v>
      </c>
      <c r="CA63">
        <v>49</v>
      </c>
      <c r="CE63">
        <v>0</v>
      </c>
      <c r="CF63">
        <v>0</v>
      </c>
      <c r="CG63">
        <v>0</v>
      </c>
      <c r="CM63">
        <v>0</v>
      </c>
      <c r="CN63" t="s">
        <v>365</v>
      </c>
      <c r="CO63">
        <v>0</v>
      </c>
      <c r="CP63">
        <f t="shared" si="38"/>
        <v>114480.65</v>
      </c>
      <c r="CQ63">
        <f t="shared" si="39"/>
        <v>1911.6460000000002</v>
      </c>
      <c r="CR63">
        <f>((((ET63*ROUND(1.25,7)))*BB63-((EU63*ROUND(1.25,7)))*BS63)+AE63*BS63)</f>
        <v>176.0044</v>
      </c>
      <c r="CS63">
        <f t="shared" si="40"/>
        <v>96.8609</v>
      </c>
      <c r="CT63">
        <f t="shared" si="41"/>
        <v>15524.757000000001</v>
      </c>
      <c r="CU63">
        <f t="shared" si="42"/>
        <v>0</v>
      </c>
      <c r="CV63">
        <f t="shared" si="43"/>
        <v>44.849999999999994</v>
      </c>
      <c r="CW63">
        <f t="shared" si="44"/>
        <v>0.21250000000000002</v>
      </c>
      <c r="CX63">
        <f t="shared" si="45"/>
        <v>0</v>
      </c>
      <c r="CY63">
        <f t="shared" si="46"/>
        <v>91386.46800000001</v>
      </c>
      <c r="CZ63">
        <f t="shared" si="47"/>
        <v>42291.62658</v>
      </c>
      <c r="DE63" t="s">
        <v>41</v>
      </c>
      <c r="DF63" t="s">
        <v>41</v>
      </c>
      <c r="DG63" t="s">
        <v>95</v>
      </c>
      <c r="DI63" t="s">
        <v>95</v>
      </c>
      <c r="DJ63" t="s">
        <v>41</v>
      </c>
      <c r="DL63" t="s">
        <v>43</v>
      </c>
      <c r="DM63" t="s">
        <v>44</v>
      </c>
      <c r="DN63">
        <v>0</v>
      </c>
      <c r="DO63">
        <v>0</v>
      </c>
      <c r="DP63">
        <v>1</v>
      </c>
      <c r="DQ63">
        <v>1</v>
      </c>
      <c r="DU63">
        <v>1005</v>
      </c>
      <c r="DV63" t="s">
        <v>24</v>
      </c>
      <c r="DW63" t="s">
        <v>24</v>
      </c>
      <c r="DX63">
        <v>100</v>
      </c>
      <c r="EE63">
        <v>55471694</v>
      </c>
      <c r="EF63">
        <v>2</v>
      </c>
      <c r="EG63" t="s">
        <v>45</v>
      </c>
      <c r="EH63">
        <v>15</v>
      </c>
      <c r="EI63" t="s">
        <v>46</v>
      </c>
      <c r="EJ63">
        <v>1</v>
      </c>
      <c r="EK63">
        <v>15001</v>
      </c>
      <c r="EL63" t="s">
        <v>46</v>
      </c>
      <c r="EM63" t="s">
        <v>47</v>
      </c>
      <c r="EO63" t="s">
        <v>96</v>
      </c>
      <c r="EQ63">
        <v>0</v>
      </c>
      <c r="ER63">
        <v>640.62</v>
      </c>
      <c r="ES63">
        <v>280.3</v>
      </c>
      <c r="ET63">
        <v>10.49</v>
      </c>
      <c r="EU63">
        <v>2.01</v>
      </c>
      <c r="EV63">
        <v>349.83</v>
      </c>
      <c r="EW63">
        <v>39</v>
      </c>
      <c r="EX63">
        <v>0.17</v>
      </c>
      <c r="EY63">
        <v>0</v>
      </c>
      <c r="FQ63">
        <v>0</v>
      </c>
      <c r="FR63">
        <f t="shared" si="48"/>
        <v>0</v>
      </c>
      <c r="FS63">
        <v>0</v>
      </c>
      <c r="FX63">
        <v>90</v>
      </c>
      <c r="FY63">
        <v>41.65</v>
      </c>
      <c r="GD63">
        <v>1</v>
      </c>
      <c r="GF63">
        <v>-1038248415</v>
      </c>
      <c r="GG63">
        <v>2</v>
      </c>
      <c r="GH63">
        <v>1</v>
      </c>
      <c r="GI63">
        <v>4</v>
      </c>
      <c r="GJ63">
        <v>0</v>
      </c>
      <c r="GK63">
        <v>0</v>
      </c>
      <c r="GL63">
        <f t="shared" si="49"/>
        <v>0</v>
      </c>
      <c r="GM63">
        <f t="shared" si="50"/>
        <v>248158.75</v>
      </c>
      <c r="GN63">
        <f t="shared" si="51"/>
        <v>248158.75</v>
      </c>
      <c r="GO63">
        <f t="shared" si="52"/>
        <v>0</v>
      </c>
      <c r="GP63">
        <f t="shared" si="53"/>
        <v>0</v>
      </c>
      <c r="GR63">
        <v>0</v>
      </c>
      <c r="GS63">
        <v>3</v>
      </c>
      <c r="GT63">
        <v>0</v>
      </c>
      <c r="GV63">
        <f t="shared" si="54"/>
        <v>0</v>
      </c>
      <c r="GW63">
        <v>1</v>
      </c>
      <c r="GX63">
        <f t="shared" si="55"/>
        <v>0</v>
      </c>
      <c r="HA63">
        <v>0</v>
      </c>
      <c r="HB63">
        <v>0</v>
      </c>
      <c r="HC63">
        <f t="shared" si="56"/>
        <v>0</v>
      </c>
      <c r="HN63" t="s">
        <v>49</v>
      </c>
      <c r="HO63" t="s">
        <v>50</v>
      </c>
      <c r="HP63" t="s">
        <v>46</v>
      </c>
      <c r="HQ63" t="s">
        <v>46</v>
      </c>
      <c r="IK63">
        <v>0</v>
      </c>
    </row>
    <row r="64" spans="1:255" ht="12.75">
      <c r="A64" s="2">
        <v>18</v>
      </c>
      <c r="B64" s="2">
        <v>1</v>
      </c>
      <c r="C64" s="2">
        <v>55</v>
      </c>
      <c r="D64" s="2"/>
      <c r="E64" s="2" t="s">
        <v>97</v>
      </c>
      <c r="F64" s="2" t="s">
        <v>98</v>
      </c>
      <c r="G64" s="2" t="s">
        <v>99</v>
      </c>
      <c r="H64" s="2" t="s">
        <v>36</v>
      </c>
      <c r="I64" s="2">
        <f>I62*J64</f>
        <v>0.4095</v>
      </c>
      <c r="J64" s="2">
        <v>0.063</v>
      </c>
      <c r="K64" s="2">
        <v>0.063</v>
      </c>
      <c r="L64" s="2"/>
      <c r="M64" s="2"/>
      <c r="N64" s="2"/>
      <c r="O64" s="2">
        <f t="shared" si="21"/>
        <v>5441.31</v>
      </c>
      <c r="P64" s="2">
        <f t="shared" si="22"/>
        <v>5441.31</v>
      </c>
      <c r="Q64" s="2">
        <f t="shared" si="23"/>
        <v>0</v>
      </c>
      <c r="R64" s="2">
        <f t="shared" si="24"/>
        <v>0</v>
      </c>
      <c r="S64" s="2">
        <f t="shared" si="25"/>
        <v>0</v>
      </c>
      <c r="T64" s="2">
        <f t="shared" si="26"/>
        <v>0</v>
      </c>
      <c r="U64" s="2">
        <f t="shared" si="27"/>
        <v>0</v>
      </c>
      <c r="V64" s="2">
        <f t="shared" si="28"/>
        <v>0</v>
      </c>
      <c r="W64" s="2">
        <f t="shared" si="29"/>
        <v>0</v>
      </c>
      <c r="X64" s="2">
        <f t="shared" si="30"/>
        <v>0</v>
      </c>
      <c r="Y64" s="2">
        <f t="shared" si="31"/>
        <v>0</v>
      </c>
      <c r="Z64" s="2"/>
      <c r="AA64" s="2">
        <v>55722483</v>
      </c>
      <c r="AB64" s="2">
        <f t="shared" si="32"/>
        <v>13287.69</v>
      </c>
      <c r="AC64" s="2">
        <f t="shared" si="33"/>
        <v>13287.69</v>
      </c>
      <c r="AD64" s="2">
        <f>ROUND((((ET64)-(EU64))+AE64),2)</f>
        <v>0</v>
      </c>
      <c r="AE64" s="2">
        <f>ROUND((EU64),2)</f>
        <v>0</v>
      </c>
      <c r="AF64" s="2">
        <f>ROUND((EV64),2)</f>
        <v>0</v>
      </c>
      <c r="AG64" s="2">
        <f t="shared" si="35"/>
        <v>0</v>
      </c>
      <c r="AH64" s="2">
        <f>(EW64)</f>
        <v>0</v>
      </c>
      <c r="AI64" s="2">
        <f>(EX64)</f>
        <v>0</v>
      </c>
      <c r="AJ64" s="2">
        <f t="shared" si="37"/>
        <v>0</v>
      </c>
      <c r="AK64" s="2">
        <v>13287.69</v>
      </c>
      <c r="AL64" s="2">
        <v>13287.69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100</v>
      </c>
      <c r="AU64" s="2">
        <v>49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3</v>
      </c>
      <c r="BI64" s="2">
        <v>1</v>
      </c>
      <c r="BJ64" s="2" t="s">
        <v>100</v>
      </c>
      <c r="BK64" s="2"/>
      <c r="BL64" s="2"/>
      <c r="BM64" s="2">
        <v>15001</v>
      </c>
      <c r="BN64" s="2">
        <v>0</v>
      </c>
      <c r="BO64" s="2" t="s">
        <v>3</v>
      </c>
      <c r="BP64" s="2">
        <v>0</v>
      </c>
      <c r="BQ64" s="2">
        <v>2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100</v>
      </c>
      <c r="CA64" s="2">
        <v>49</v>
      </c>
      <c r="CB64" s="2" t="s">
        <v>3</v>
      </c>
      <c r="CC64" s="2"/>
      <c r="CD64" s="2"/>
      <c r="CE64" s="2">
        <v>0</v>
      </c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38"/>
        <v>5441.31</v>
      </c>
      <c r="CQ64" s="2">
        <f t="shared" si="39"/>
        <v>13287.69</v>
      </c>
      <c r="CR64" s="2">
        <f>(((ET64)*BB64-(EU64)*BS64)+AE64*BS64)</f>
        <v>0</v>
      </c>
      <c r="CS64" s="2">
        <f t="shared" si="40"/>
        <v>0</v>
      </c>
      <c r="CT64" s="2">
        <f t="shared" si="41"/>
        <v>0</v>
      </c>
      <c r="CU64" s="2">
        <f t="shared" si="42"/>
        <v>0</v>
      </c>
      <c r="CV64" s="2">
        <f t="shared" si="43"/>
        <v>0</v>
      </c>
      <c r="CW64" s="2">
        <f t="shared" si="44"/>
        <v>0</v>
      </c>
      <c r="CX64" s="2">
        <f t="shared" si="45"/>
        <v>0</v>
      </c>
      <c r="CY64" s="2">
        <f t="shared" si="46"/>
        <v>0</v>
      </c>
      <c r="CZ64" s="2">
        <f t="shared" si="47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1009</v>
      </c>
      <c r="DV64" s="2" t="s">
        <v>36</v>
      </c>
      <c r="DW64" s="2" t="s">
        <v>36</v>
      </c>
      <c r="DX64" s="2">
        <v>1000</v>
      </c>
      <c r="DY64" s="2"/>
      <c r="DZ64" s="2" t="s">
        <v>3</v>
      </c>
      <c r="EA64" s="2" t="s">
        <v>3</v>
      </c>
      <c r="EB64" s="2" t="s">
        <v>3</v>
      </c>
      <c r="EC64" s="2" t="s">
        <v>3</v>
      </c>
      <c r="ED64" s="2"/>
      <c r="EE64" s="2">
        <v>55471694</v>
      </c>
      <c r="EF64" s="2">
        <v>2</v>
      </c>
      <c r="EG64" s="2" t="s">
        <v>45</v>
      </c>
      <c r="EH64" s="2">
        <v>15</v>
      </c>
      <c r="EI64" s="2" t="s">
        <v>46</v>
      </c>
      <c r="EJ64" s="2">
        <v>1</v>
      </c>
      <c r="EK64" s="2">
        <v>15001</v>
      </c>
      <c r="EL64" s="2" t="s">
        <v>46</v>
      </c>
      <c r="EM64" s="2" t="s">
        <v>47</v>
      </c>
      <c r="EN64" s="2"/>
      <c r="EO64" s="2" t="s">
        <v>3</v>
      </c>
      <c r="EP64" s="2"/>
      <c r="EQ64" s="2">
        <v>0</v>
      </c>
      <c r="ER64" s="2">
        <v>13287.69</v>
      </c>
      <c r="ES64" s="2">
        <v>13287.69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48"/>
        <v>0</v>
      </c>
      <c r="FS64" s="2">
        <v>0</v>
      </c>
      <c r="FT64" s="2"/>
      <c r="FU64" s="2"/>
      <c r="FV64" s="2"/>
      <c r="FW64" s="2"/>
      <c r="FX64" s="2">
        <v>100</v>
      </c>
      <c r="FY64" s="2">
        <v>49</v>
      </c>
      <c r="FZ64" s="2"/>
      <c r="GA64" s="2" t="s">
        <v>3</v>
      </c>
      <c r="GB64" s="2"/>
      <c r="GC64" s="2"/>
      <c r="GD64" s="2">
        <v>1</v>
      </c>
      <c r="GE64" s="2"/>
      <c r="GF64" s="2">
        <v>2122879364</v>
      </c>
      <c r="GG64" s="2">
        <v>2</v>
      </c>
      <c r="GH64" s="2">
        <v>1</v>
      </c>
      <c r="GI64" s="2">
        <v>-2</v>
      </c>
      <c r="GJ64" s="2">
        <v>0</v>
      </c>
      <c r="GK64" s="2">
        <v>0</v>
      </c>
      <c r="GL64" s="2">
        <f t="shared" si="49"/>
        <v>0</v>
      </c>
      <c r="GM64" s="2">
        <f t="shared" si="50"/>
        <v>5441.31</v>
      </c>
      <c r="GN64" s="2">
        <f t="shared" si="51"/>
        <v>5441.31</v>
      </c>
      <c r="GO64" s="2">
        <f t="shared" si="52"/>
        <v>0</v>
      </c>
      <c r="GP64" s="2">
        <f t="shared" si="53"/>
        <v>0</v>
      </c>
      <c r="GQ64" s="2"/>
      <c r="GR64" s="2">
        <v>0</v>
      </c>
      <c r="GS64" s="2">
        <v>3</v>
      </c>
      <c r="GT64" s="2">
        <v>0</v>
      </c>
      <c r="GU64" s="2" t="s">
        <v>3</v>
      </c>
      <c r="GV64" s="2">
        <f t="shared" si="54"/>
        <v>0</v>
      </c>
      <c r="GW64" s="2">
        <v>1</v>
      </c>
      <c r="GX64" s="2">
        <f t="shared" si="55"/>
        <v>0</v>
      </c>
      <c r="GY64" s="2"/>
      <c r="GZ64" s="2"/>
      <c r="HA64" s="2">
        <v>0</v>
      </c>
      <c r="HB64" s="2">
        <v>0</v>
      </c>
      <c r="HC64" s="2">
        <f t="shared" si="56"/>
        <v>0</v>
      </c>
      <c r="HD64" s="2"/>
      <c r="HE64" s="2" t="s">
        <v>3</v>
      </c>
      <c r="HF64" s="2" t="s">
        <v>3</v>
      </c>
      <c r="HG64" s="2"/>
      <c r="HH64" s="2"/>
      <c r="HI64" s="2"/>
      <c r="HJ64" s="2"/>
      <c r="HK64" s="2"/>
      <c r="HL64" s="2"/>
      <c r="HM64" s="2" t="s">
        <v>3</v>
      </c>
      <c r="HN64" s="2" t="s">
        <v>49</v>
      </c>
      <c r="HO64" s="2" t="s">
        <v>50</v>
      </c>
      <c r="HP64" s="2" t="s">
        <v>46</v>
      </c>
      <c r="HQ64" s="2" t="s">
        <v>46</v>
      </c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45" ht="12.75">
      <c r="A65">
        <v>18</v>
      </c>
      <c r="B65">
        <v>1</v>
      </c>
      <c r="C65">
        <v>63</v>
      </c>
      <c r="E65" t="s">
        <v>97</v>
      </c>
      <c r="F65" t="s">
        <v>98</v>
      </c>
      <c r="G65" t="s">
        <v>99</v>
      </c>
      <c r="H65" t="s">
        <v>36</v>
      </c>
      <c r="I65">
        <f>I63*J65</f>
        <v>0.4095</v>
      </c>
      <c r="J65">
        <v>0.063</v>
      </c>
      <c r="K65">
        <v>0.063</v>
      </c>
      <c r="O65">
        <f t="shared" si="21"/>
        <v>37109.73</v>
      </c>
      <c r="P65">
        <f t="shared" si="22"/>
        <v>37109.73</v>
      </c>
      <c r="Q65">
        <f t="shared" si="23"/>
        <v>0</v>
      </c>
      <c r="R65">
        <f t="shared" si="24"/>
        <v>0</v>
      </c>
      <c r="S65">
        <f t="shared" si="25"/>
        <v>0</v>
      </c>
      <c r="T65">
        <f t="shared" si="26"/>
        <v>0</v>
      </c>
      <c r="U65">
        <f t="shared" si="27"/>
        <v>0</v>
      </c>
      <c r="V65">
        <f t="shared" si="28"/>
        <v>0</v>
      </c>
      <c r="W65">
        <f t="shared" si="29"/>
        <v>0</v>
      </c>
      <c r="X65">
        <f t="shared" si="30"/>
        <v>0</v>
      </c>
      <c r="Y65">
        <f t="shared" si="31"/>
        <v>0</v>
      </c>
      <c r="AA65">
        <v>55722484</v>
      </c>
      <c r="AB65">
        <f t="shared" si="32"/>
        <v>13287.69</v>
      </c>
      <c r="AC65">
        <f t="shared" si="33"/>
        <v>13287.69</v>
      </c>
      <c r="AD65">
        <f>ROUND((((ET65)-(EU65))+AE65),2)</f>
        <v>0</v>
      </c>
      <c r="AE65">
        <f>ROUND((EU65),2)</f>
        <v>0</v>
      </c>
      <c r="AF65">
        <f>ROUND((EV65),2)</f>
        <v>0</v>
      </c>
      <c r="AG65">
        <f t="shared" si="35"/>
        <v>0</v>
      </c>
      <c r="AH65">
        <f>(EW65)</f>
        <v>0</v>
      </c>
      <c r="AI65">
        <f>(EX65)</f>
        <v>0</v>
      </c>
      <c r="AJ65">
        <f t="shared" si="37"/>
        <v>0</v>
      </c>
      <c r="AK65">
        <v>13287.69</v>
      </c>
      <c r="AL65">
        <v>13287.69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100</v>
      </c>
      <c r="AU65">
        <v>49</v>
      </c>
      <c r="AV65">
        <v>1</v>
      </c>
      <c r="AW65">
        <v>1</v>
      </c>
      <c r="AZ65">
        <v>1</v>
      </c>
      <c r="BA65">
        <v>1</v>
      </c>
      <c r="BB65">
        <v>1</v>
      </c>
      <c r="BC65">
        <v>6.82</v>
      </c>
      <c r="BH65">
        <v>3</v>
      </c>
      <c r="BI65">
        <v>1</v>
      </c>
      <c r="BJ65" t="s">
        <v>100</v>
      </c>
      <c r="BM65">
        <v>15001</v>
      </c>
      <c r="BN65">
        <v>0</v>
      </c>
      <c r="BO65" t="s">
        <v>32</v>
      </c>
      <c r="BP65">
        <v>1</v>
      </c>
      <c r="BQ65">
        <v>2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Z65">
        <v>100</v>
      </c>
      <c r="CA65">
        <v>49</v>
      </c>
      <c r="CE65">
        <v>0</v>
      </c>
      <c r="CF65">
        <v>0</v>
      </c>
      <c r="CG65">
        <v>0</v>
      </c>
      <c r="CM65">
        <v>0</v>
      </c>
      <c r="CO65">
        <v>0</v>
      </c>
      <c r="CP65">
        <f t="shared" si="38"/>
        <v>37109.73</v>
      </c>
      <c r="CQ65">
        <f t="shared" si="39"/>
        <v>90622.0458</v>
      </c>
      <c r="CR65">
        <f>(((ET65)*BB65-(EU65)*BS65)+AE65*BS65)</f>
        <v>0</v>
      </c>
      <c r="CS65">
        <f t="shared" si="40"/>
        <v>0</v>
      </c>
      <c r="CT65">
        <f t="shared" si="41"/>
        <v>0</v>
      </c>
      <c r="CU65">
        <f t="shared" si="42"/>
        <v>0</v>
      </c>
      <c r="CV65">
        <f t="shared" si="43"/>
        <v>0</v>
      </c>
      <c r="CW65">
        <f t="shared" si="44"/>
        <v>0</v>
      </c>
      <c r="CX65">
        <f t="shared" si="45"/>
        <v>0</v>
      </c>
      <c r="CY65">
        <f t="shared" si="46"/>
        <v>0</v>
      </c>
      <c r="CZ65">
        <f t="shared" si="47"/>
        <v>0</v>
      </c>
      <c r="DN65">
        <v>0</v>
      </c>
      <c r="DO65">
        <v>0</v>
      </c>
      <c r="DP65">
        <v>1</v>
      </c>
      <c r="DQ65">
        <v>1</v>
      </c>
      <c r="DU65">
        <v>1009</v>
      </c>
      <c r="DV65" t="s">
        <v>36</v>
      </c>
      <c r="DW65" t="s">
        <v>36</v>
      </c>
      <c r="DX65">
        <v>1000</v>
      </c>
      <c r="EE65">
        <v>55471694</v>
      </c>
      <c r="EF65">
        <v>2</v>
      </c>
      <c r="EG65" t="s">
        <v>45</v>
      </c>
      <c r="EH65">
        <v>15</v>
      </c>
      <c r="EI65" t="s">
        <v>46</v>
      </c>
      <c r="EJ65">
        <v>1</v>
      </c>
      <c r="EK65">
        <v>15001</v>
      </c>
      <c r="EL65" t="s">
        <v>46</v>
      </c>
      <c r="EM65" t="s">
        <v>47</v>
      </c>
      <c r="EQ65">
        <v>0</v>
      </c>
      <c r="ER65">
        <v>13287.69</v>
      </c>
      <c r="ES65">
        <v>13287.69</v>
      </c>
      <c r="ET65">
        <v>0</v>
      </c>
      <c r="EU65">
        <v>0</v>
      </c>
      <c r="EV65">
        <v>0</v>
      </c>
      <c r="EW65">
        <v>0</v>
      </c>
      <c r="EX65">
        <v>0</v>
      </c>
      <c r="FQ65">
        <v>0</v>
      </c>
      <c r="FR65">
        <f t="shared" si="48"/>
        <v>0</v>
      </c>
      <c r="FS65">
        <v>0</v>
      </c>
      <c r="FX65">
        <v>100</v>
      </c>
      <c r="FY65">
        <v>49</v>
      </c>
      <c r="GD65">
        <v>1</v>
      </c>
      <c r="GF65">
        <v>2122879364</v>
      </c>
      <c r="GG65">
        <v>2</v>
      </c>
      <c r="GH65">
        <v>1</v>
      </c>
      <c r="GI65">
        <v>4</v>
      </c>
      <c r="GJ65">
        <v>0</v>
      </c>
      <c r="GK65">
        <v>0</v>
      </c>
      <c r="GL65">
        <f t="shared" si="49"/>
        <v>0</v>
      </c>
      <c r="GM65">
        <f t="shared" si="50"/>
        <v>37109.73</v>
      </c>
      <c r="GN65">
        <f t="shared" si="51"/>
        <v>37109.73</v>
      </c>
      <c r="GO65">
        <f t="shared" si="52"/>
        <v>0</v>
      </c>
      <c r="GP65">
        <f t="shared" si="53"/>
        <v>0</v>
      </c>
      <c r="GR65">
        <v>0</v>
      </c>
      <c r="GS65">
        <v>0</v>
      </c>
      <c r="GT65">
        <v>0</v>
      </c>
      <c r="GV65">
        <f t="shared" si="54"/>
        <v>0</v>
      </c>
      <c r="GW65">
        <v>1</v>
      </c>
      <c r="GX65">
        <f t="shared" si="55"/>
        <v>0</v>
      </c>
      <c r="HA65">
        <v>0</v>
      </c>
      <c r="HB65">
        <v>0</v>
      </c>
      <c r="HC65">
        <f t="shared" si="56"/>
        <v>0</v>
      </c>
      <c r="HN65" t="s">
        <v>49</v>
      </c>
      <c r="HO65" t="s">
        <v>50</v>
      </c>
      <c r="HP65" t="s">
        <v>46</v>
      </c>
      <c r="HQ65" t="s">
        <v>46</v>
      </c>
      <c r="IK65">
        <v>0</v>
      </c>
    </row>
    <row r="67" spans="1:206" ht="12.75">
      <c r="A67" s="3">
        <v>51</v>
      </c>
      <c r="B67" s="3">
        <f>B24</f>
        <v>1</v>
      </c>
      <c r="C67" s="3">
        <f>A24</f>
        <v>4</v>
      </c>
      <c r="D67" s="3">
        <f>ROW(A24)</f>
        <v>24</v>
      </c>
      <c r="E67" s="3"/>
      <c r="F67" s="3" t="str">
        <f>IF(F24&lt;&gt;"",F24,"")</f>
        <v>Новый раздел</v>
      </c>
      <c r="G67" s="3" t="str">
        <f>IF(G24&lt;&gt;"",G24,"")</f>
        <v>Ремонтные работы</v>
      </c>
      <c r="H67" s="3">
        <v>0</v>
      </c>
      <c r="I67" s="3"/>
      <c r="J67" s="3"/>
      <c r="K67" s="3"/>
      <c r="L67" s="3"/>
      <c r="M67" s="3"/>
      <c r="N67" s="3"/>
      <c r="O67" s="3">
        <f aca="true" t="shared" si="63" ref="O67:T67">ROUND(AB67,2)</f>
        <v>19523.44</v>
      </c>
      <c r="P67" s="3">
        <f t="shared" si="63"/>
        <v>12418.1</v>
      </c>
      <c r="Q67" s="3">
        <f t="shared" si="63"/>
        <v>1049.33</v>
      </c>
      <c r="R67" s="3">
        <f t="shared" si="63"/>
        <v>206.01</v>
      </c>
      <c r="S67" s="3">
        <f t="shared" si="63"/>
        <v>6056.01</v>
      </c>
      <c r="T67" s="3">
        <f t="shared" si="63"/>
        <v>0</v>
      </c>
      <c r="U67" s="3">
        <f>AH67</f>
        <v>661.435746</v>
      </c>
      <c r="V67" s="3">
        <f>AI67</f>
        <v>17.332971999999998</v>
      </c>
      <c r="W67" s="3">
        <f>ROUND(AJ67,2)</f>
        <v>0</v>
      </c>
      <c r="X67" s="3">
        <f>ROUND(AK67,2)</f>
        <v>5630.45</v>
      </c>
      <c r="Y67" s="3">
        <f>ROUND(AL67,2)</f>
        <v>2621.81</v>
      </c>
      <c r="Z67" s="3"/>
      <c r="AA67" s="3"/>
      <c r="AB67" s="3">
        <f>ROUND(SUMIF(AA28:AA65,"=55722483",O28:O65),2)</f>
        <v>19523.44</v>
      </c>
      <c r="AC67" s="3">
        <f>ROUND(SUMIF(AA28:AA65,"=55722483",P28:P65),2)</f>
        <v>12418.1</v>
      </c>
      <c r="AD67" s="3">
        <f>ROUND(SUMIF(AA28:AA65,"=55722483",Q28:Q65),2)</f>
        <v>1049.33</v>
      </c>
      <c r="AE67" s="3">
        <f>ROUND(SUMIF(AA28:AA65,"=55722483",R28:R65),2)</f>
        <v>206.01</v>
      </c>
      <c r="AF67" s="3">
        <f>ROUND(SUMIF(AA28:AA65,"=55722483",S28:S65),2)</f>
        <v>6056.01</v>
      </c>
      <c r="AG67" s="3">
        <f>ROUND(SUMIF(AA28:AA65,"=55722483",T28:T65),2)</f>
        <v>0</v>
      </c>
      <c r="AH67" s="3">
        <f>SUMIF(AA28:AA65,"=55722483",U28:U65)</f>
        <v>661.435746</v>
      </c>
      <c r="AI67" s="3">
        <f>SUMIF(AA28:AA65,"=55722483",V28:V65)</f>
        <v>17.332971999999998</v>
      </c>
      <c r="AJ67" s="3">
        <f>ROUND(SUMIF(AA28:AA65,"=55722483",W28:W65),2)</f>
        <v>0</v>
      </c>
      <c r="AK67" s="3">
        <f>ROUND(SUMIF(AA28:AA65,"=55722483",X28:X65),2)</f>
        <v>5630.45</v>
      </c>
      <c r="AL67" s="3">
        <f>ROUND(SUMIF(AA28:AA65,"=55722483",Y28:Y65),2)</f>
        <v>2621.81</v>
      </c>
      <c r="AM67" s="3"/>
      <c r="AN67" s="3"/>
      <c r="AO67" s="3">
        <f aca="true" t="shared" si="64" ref="AO67:BD67">ROUND(BX67,2)</f>
        <v>0</v>
      </c>
      <c r="AP67" s="3">
        <f t="shared" si="64"/>
        <v>0</v>
      </c>
      <c r="AQ67" s="3">
        <f t="shared" si="64"/>
        <v>0</v>
      </c>
      <c r="AR67" s="3">
        <f t="shared" si="64"/>
        <v>27775.7</v>
      </c>
      <c r="AS67" s="3">
        <f t="shared" si="64"/>
        <v>27775.7</v>
      </c>
      <c r="AT67" s="3">
        <f t="shared" si="64"/>
        <v>0</v>
      </c>
      <c r="AU67" s="3">
        <f t="shared" si="64"/>
        <v>0</v>
      </c>
      <c r="AV67" s="3">
        <f t="shared" si="64"/>
        <v>12418.1</v>
      </c>
      <c r="AW67" s="3">
        <f t="shared" si="64"/>
        <v>12418.1</v>
      </c>
      <c r="AX67" s="3">
        <f t="shared" si="64"/>
        <v>0</v>
      </c>
      <c r="AY67" s="3">
        <f t="shared" si="64"/>
        <v>12418.1</v>
      </c>
      <c r="AZ67" s="3">
        <f t="shared" si="64"/>
        <v>0</v>
      </c>
      <c r="BA67" s="3">
        <f t="shared" si="64"/>
        <v>0</v>
      </c>
      <c r="BB67" s="3">
        <f t="shared" si="64"/>
        <v>0</v>
      </c>
      <c r="BC67" s="3">
        <f t="shared" si="64"/>
        <v>0</v>
      </c>
      <c r="BD67" s="3">
        <f t="shared" si="64"/>
        <v>0</v>
      </c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>
        <f>ROUND(SUMIF(AA28:AA65,"=55722483",FQ28:FQ65),2)</f>
        <v>0</v>
      </c>
      <c r="BY67" s="3">
        <f>ROUND(SUMIF(AA28:AA65,"=55722483",FR28:FR65),2)</f>
        <v>0</v>
      </c>
      <c r="BZ67" s="3">
        <f>ROUND(SUMIF(AA28:AA65,"=55722483",GL28:GL65),2)</f>
        <v>0</v>
      </c>
      <c r="CA67" s="3">
        <f>ROUND(SUMIF(AA28:AA65,"=55722483",GM28:GM65),2)</f>
        <v>27775.7</v>
      </c>
      <c r="CB67" s="3">
        <f>ROUND(SUMIF(AA28:AA65,"=55722483",GN28:GN65),2)</f>
        <v>27775.7</v>
      </c>
      <c r="CC67" s="3">
        <f>ROUND(SUMIF(AA28:AA65,"=55722483",GO28:GO65),2)</f>
        <v>0</v>
      </c>
      <c r="CD67" s="3">
        <f>ROUND(SUMIF(AA28:AA65,"=55722483",GP28:GP65),2)</f>
        <v>0</v>
      </c>
      <c r="CE67" s="3">
        <f>AC67-BX67</f>
        <v>12418.1</v>
      </c>
      <c r="CF67" s="3">
        <f>AC67-BY67</f>
        <v>12418.1</v>
      </c>
      <c r="CG67" s="3">
        <f>BX67-BZ67</f>
        <v>0</v>
      </c>
      <c r="CH67" s="3">
        <f>AC67-BX67-BY67+BZ67</f>
        <v>12418.1</v>
      </c>
      <c r="CI67" s="3">
        <f>BY67-BZ67</f>
        <v>0</v>
      </c>
      <c r="CJ67" s="3">
        <f>ROUND(SUMIF(AA28:AA65,"=55722483",GX28:GX65),2)</f>
        <v>0</v>
      </c>
      <c r="CK67" s="3">
        <f>ROUND(SUMIF(AA28:AA65,"=55722483",GY28:GY65),2)</f>
        <v>0</v>
      </c>
      <c r="CL67" s="3">
        <f>ROUND(SUMIF(AA28:AA65,"=55722483",GZ28:GZ65),2)</f>
        <v>0</v>
      </c>
      <c r="CM67" s="3">
        <f>ROUND(SUMIF(AA28:AA65,"=55722483",HD28:HD65),2)</f>
        <v>0</v>
      </c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4">
        <f aca="true" t="shared" si="65" ref="DG67:DL67">ROUND(DT67,2)</f>
        <v>332485.19</v>
      </c>
      <c r="DH67" s="4">
        <f t="shared" si="65"/>
        <v>84691.45</v>
      </c>
      <c r="DI67" s="4">
        <f t="shared" si="65"/>
        <v>14092.19</v>
      </c>
      <c r="DJ67" s="4">
        <f t="shared" si="65"/>
        <v>7949.76</v>
      </c>
      <c r="DK67" s="4">
        <f t="shared" si="65"/>
        <v>233701.55</v>
      </c>
      <c r="DL67" s="4">
        <f t="shared" si="65"/>
        <v>0</v>
      </c>
      <c r="DM67" s="4">
        <f>DZ67</f>
        <v>661.435746</v>
      </c>
      <c r="DN67" s="4">
        <f>EA67</f>
        <v>17.332971999999998</v>
      </c>
      <c r="DO67" s="4">
        <f>ROUND(EB67,2)</f>
        <v>0</v>
      </c>
      <c r="DP67" s="4">
        <f>ROUND(EC67,2)</f>
        <v>217279.22</v>
      </c>
      <c r="DQ67" s="4">
        <f>ROUND(ED67,2)</f>
        <v>101175.67</v>
      </c>
      <c r="DR67" s="4"/>
      <c r="DS67" s="4"/>
      <c r="DT67" s="4">
        <f>ROUND(SUMIF(AA28:AA65,"=55722484",O28:O65),2)</f>
        <v>332485.19</v>
      </c>
      <c r="DU67" s="4">
        <f>ROUND(SUMIF(AA28:AA65,"=55722484",P28:P65),2)</f>
        <v>84691.45</v>
      </c>
      <c r="DV67" s="4">
        <f>ROUND(SUMIF(AA28:AA65,"=55722484",Q28:Q65),2)</f>
        <v>14092.19</v>
      </c>
      <c r="DW67" s="4">
        <f>ROUND(SUMIF(AA28:AA65,"=55722484",R28:R65),2)</f>
        <v>7949.76</v>
      </c>
      <c r="DX67" s="4">
        <f>ROUND(SUMIF(AA28:AA65,"=55722484",S28:S65),2)</f>
        <v>233701.55</v>
      </c>
      <c r="DY67" s="4">
        <f>ROUND(SUMIF(AA28:AA65,"=55722484",T28:T65),2)</f>
        <v>0</v>
      </c>
      <c r="DZ67" s="4">
        <f>SUMIF(AA28:AA65,"=55722484",U28:U65)</f>
        <v>661.435746</v>
      </c>
      <c r="EA67" s="4">
        <f>SUMIF(AA28:AA65,"=55722484",V28:V65)</f>
        <v>17.332971999999998</v>
      </c>
      <c r="EB67" s="4">
        <f>ROUND(SUMIF(AA28:AA65,"=55722484",W28:W65),2)</f>
        <v>0</v>
      </c>
      <c r="EC67" s="4">
        <f>ROUND(SUMIF(AA28:AA65,"=55722484",X28:X65),2)</f>
        <v>217279.22</v>
      </c>
      <c r="ED67" s="4">
        <f>ROUND(SUMIF(AA28:AA65,"=55722484",Y28:Y65),2)</f>
        <v>101175.67</v>
      </c>
      <c r="EE67" s="4"/>
      <c r="EF67" s="4"/>
      <c r="EG67" s="4">
        <f aca="true" t="shared" si="66" ref="EG67:EV67">ROUND(FP67,2)</f>
        <v>0</v>
      </c>
      <c r="EH67" s="4">
        <f t="shared" si="66"/>
        <v>0</v>
      </c>
      <c r="EI67" s="4">
        <f t="shared" si="66"/>
        <v>0</v>
      </c>
      <c r="EJ67" s="4">
        <f t="shared" si="66"/>
        <v>650940.08</v>
      </c>
      <c r="EK67" s="4">
        <f t="shared" si="66"/>
        <v>650940.08</v>
      </c>
      <c r="EL67" s="4">
        <f t="shared" si="66"/>
        <v>0</v>
      </c>
      <c r="EM67" s="4">
        <f t="shared" si="66"/>
        <v>0</v>
      </c>
      <c r="EN67" s="4">
        <f t="shared" si="66"/>
        <v>84691.45</v>
      </c>
      <c r="EO67" s="4">
        <f t="shared" si="66"/>
        <v>84691.45</v>
      </c>
      <c r="EP67" s="4">
        <f t="shared" si="66"/>
        <v>0</v>
      </c>
      <c r="EQ67" s="4">
        <f t="shared" si="66"/>
        <v>84691.45</v>
      </c>
      <c r="ER67" s="4">
        <f t="shared" si="66"/>
        <v>0</v>
      </c>
      <c r="ES67" s="4">
        <f t="shared" si="66"/>
        <v>0</v>
      </c>
      <c r="ET67" s="4">
        <f t="shared" si="66"/>
        <v>0</v>
      </c>
      <c r="EU67" s="4">
        <f t="shared" si="66"/>
        <v>0</v>
      </c>
      <c r="EV67" s="4">
        <f t="shared" si="66"/>
        <v>0</v>
      </c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>
        <f>ROUND(SUMIF(AA28:AA65,"=55722484",FQ28:FQ65),2)</f>
        <v>0</v>
      </c>
      <c r="FQ67" s="4">
        <f>ROUND(SUMIF(AA28:AA65,"=55722484",FR28:FR65),2)</f>
        <v>0</v>
      </c>
      <c r="FR67" s="4">
        <f>ROUND(SUMIF(AA28:AA65,"=55722484",GL28:GL65),2)</f>
        <v>0</v>
      </c>
      <c r="FS67" s="4">
        <f>ROUND(SUMIF(AA28:AA65,"=55722484",GM28:GM65),2)</f>
        <v>650940.08</v>
      </c>
      <c r="FT67" s="4">
        <f>ROUND(SUMIF(AA28:AA65,"=55722484",GN28:GN65),2)</f>
        <v>650940.08</v>
      </c>
      <c r="FU67" s="4">
        <f>ROUND(SUMIF(AA28:AA65,"=55722484",GO28:GO65),2)</f>
        <v>0</v>
      </c>
      <c r="FV67" s="4">
        <f>ROUND(SUMIF(AA28:AA65,"=55722484",GP28:GP65),2)</f>
        <v>0</v>
      </c>
      <c r="FW67" s="4">
        <f>DU67-FP67</f>
        <v>84691.45</v>
      </c>
      <c r="FX67" s="4">
        <f>DU67-FQ67</f>
        <v>84691.45</v>
      </c>
      <c r="FY67" s="4">
        <f>FP67-FR67</f>
        <v>0</v>
      </c>
      <c r="FZ67" s="4">
        <f>DU67-FP67-FQ67+FR67</f>
        <v>84691.45</v>
      </c>
      <c r="GA67" s="4">
        <f>FQ67-FR67</f>
        <v>0</v>
      </c>
      <c r="GB67" s="4">
        <f>ROUND(SUMIF(AA28:AA65,"=55722484",GX28:GX65),2)</f>
        <v>0</v>
      </c>
      <c r="GC67" s="4">
        <f>ROUND(SUMIF(AA28:AA65,"=55722484",GY28:GY65),2)</f>
        <v>0</v>
      </c>
      <c r="GD67" s="4">
        <f>ROUND(SUMIF(AA28:AA65,"=55722484",GZ28:GZ65),2)</f>
        <v>0</v>
      </c>
      <c r="GE67" s="4">
        <f>ROUND(SUMIF(AA28:AA65,"=55722484",HD28:HD65),2)</f>
        <v>0</v>
      </c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>
        <v>0</v>
      </c>
    </row>
    <row r="69" spans="1:28" ht="12.75">
      <c r="A69" s="5">
        <v>50</v>
      </c>
      <c r="B69" s="5">
        <v>0</v>
      </c>
      <c r="C69" s="5">
        <v>0</v>
      </c>
      <c r="D69" s="5">
        <v>1</v>
      </c>
      <c r="E69" s="5">
        <v>201</v>
      </c>
      <c r="F69" s="5">
        <f>ROUND(Source!O67,O69)</f>
        <v>19523.44</v>
      </c>
      <c r="G69" s="5" t="s">
        <v>101</v>
      </c>
      <c r="H69" s="5" t="s">
        <v>102</v>
      </c>
      <c r="I69" s="5"/>
      <c r="J69" s="5"/>
      <c r="K69" s="5">
        <v>201</v>
      </c>
      <c r="L69" s="5">
        <v>1</v>
      </c>
      <c r="M69" s="5">
        <v>3</v>
      </c>
      <c r="N69" s="5" t="s">
        <v>3</v>
      </c>
      <c r="O69" s="5">
        <v>2</v>
      </c>
      <c r="P69" s="5">
        <f>ROUND(Source!DG67,O69)</f>
        <v>332485.19</v>
      </c>
      <c r="Q69" s="5"/>
      <c r="R69" s="5"/>
      <c r="S69" s="5"/>
      <c r="T69" s="5"/>
      <c r="U69" s="5"/>
      <c r="V69" s="5"/>
      <c r="W69" s="5">
        <v>19523.440000000002</v>
      </c>
      <c r="X69" s="5">
        <v>1</v>
      </c>
      <c r="Y69" s="5">
        <v>19523.440000000002</v>
      </c>
      <c r="Z69" s="5">
        <v>332485.19</v>
      </c>
      <c r="AA69" s="5">
        <v>1</v>
      </c>
      <c r="AB69" s="5">
        <v>332485.19</v>
      </c>
    </row>
    <row r="70" spans="1:28" ht="12.75">
      <c r="A70" s="5">
        <v>50</v>
      </c>
      <c r="B70" s="5">
        <v>0</v>
      </c>
      <c r="C70" s="5">
        <v>0</v>
      </c>
      <c r="D70" s="5">
        <v>1</v>
      </c>
      <c r="E70" s="5">
        <v>202</v>
      </c>
      <c r="F70" s="5">
        <f>ROUND(Source!P67,O70)</f>
        <v>12418.1</v>
      </c>
      <c r="G70" s="5" t="s">
        <v>103</v>
      </c>
      <c r="H70" s="5" t="s">
        <v>104</v>
      </c>
      <c r="I70" s="5"/>
      <c r="J70" s="5"/>
      <c r="K70" s="5">
        <v>202</v>
      </c>
      <c r="L70" s="5">
        <v>2</v>
      </c>
      <c r="M70" s="5">
        <v>3</v>
      </c>
      <c r="N70" s="5" t="s">
        <v>3</v>
      </c>
      <c r="O70" s="5">
        <v>2</v>
      </c>
      <c r="P70" s="5">
        <f>ROUND(Source!DH67,O70)</f>
        <v>84691.45</v>
      </c>
      <c r="Q70" s="5"/>
      <c r="R70" s="5"/>
      <c r="S70" s="5"/>
      <c r="T70" s="5"/>
      <c r="U70" s="5"/>
      <c r="V70" s="5"/>
      <c r="W70" s="5">
        <v>12418.1</v>
      </c>
      <c r="X70" s="5">
        <v>1</v>
      </c>
      <c r="Y70" s="5">
        <v>12418.1</v>
      </c>
      <c r="Z70" s="5">
        <v>84691.45</v>
      </c>
      <c r="AA70" s="5">
        <v>1</v>
      </c>
      <c r="AB70" s="5">
        <v>84691.45</v>
      </c>
    </row>
    <row r="71" spans="1:28" ht="12.75">
      <c r="A71" s="5">
        <v>50</v>
      </c>
      <c r="B71" s="5">
        <v>0</v>
      </c>
      <c r="C71" s="5">
        <v>0</v>
      </c>
      <c r="D71" s="5">
        <v>1</v>
      </c>
      <c r="E71" s="5">
        <v>222</v>
      </c>
      <c r="F71" s="5">
        <f>ROUND(Source!AO67,O71)</f>
        <v>0</v>
      </c>
      <c r="G71" s="5" t="s">
        <v>105</v>
      </c>
      <c r="H71" s="5" t="s">
        <v>106</v>
      </c>
      <c r="I71" s="5"/>
      <c r="J71" s="5"/>
      <c r="K71" s="5">
        <v>222</v>
      </c>
      <c r="L71" s="5">
        <v>3</v>
      </c>
      <c r="M71" s="5">
        <v>3</v>
      </c>
      <c r="N71" s="5" t="s">
        <v>3</v>
      </c>
      <c r="O71" s="5">
        <v>2</v>
      </c>
      <c r="P71" s="5">
        <f>ROUND(Source!EG67,O71)</f>
        <v>0</v>
      </c>
      <c r="Q71" s="5"/>
      <c r="R71" s="5"/>
      <c r="S71" s="5"/>
      <c r="T71" s="5"/>
      <c r="U71" s="5"/>
      <c r="V71" s="5"/>
      <c r="W71" s="5">
        <v>0</v>
      </c>
      <c r="X71" s="5">
        <v>1</v>
      </c>
      <c r="Y71" s="5">
        <v>0</v>
      </c>
      <c r="Z71" s="5">
        <v>0</v>
      </c>
      <c r="AA71" s="5">
        <v>1</v>
      </c>
      <c r="AB71" s="5">
        <v>0</v>
      </c>
    </row>
    <row r="72" spans="1:28" ht="12.75">
      <c r="A72" s="5">
        <v>50</v>
      </c>
      <c r="B72" s="5">
        <v>0</v>
      </c>
      <c r="C72" s="5">
        <v>0</v>
      </c>
      <c r="D72" s="5">
        <v>1</v>
      </c>
      <c r="E72" s="5">
        <v>225</v>
      </c>
      <c r="F72" s="5">
        <f>ROUND(Source!AV67,O72)</f>
        <v>12418.1</v>
      </c>
      <c r="G72" s="5" t="s">
        <v>107</v>
      </c>
      <c r="H72" s="5" t="s">
        <v>108</v>
      </c>
      <c r="I72" s="5"/>
      <c r="J72" s="5"/>
      <c r="K72" s="5">
        <v>225</v>
      </c>
      <c r="L72" s="5">
        <v>4</v>
      </c>
      <c r="M72" s="5">
        <v>3</v>
      </c>
      <c r="N72" s="5" t="s">
        <v>3</v>
      </c>
      <c r="O72" s="5">
        <v>2</v>
      </c>
      <c r="P72" s="5">
        <f>ROUND(Source!EN67,O72)</f>
        <v>84691.45</v>
      </c>
      <c r="Q72" s="5"/>
      <c r="R72" s="5"/>
      <c r="S72" s="5"/>
      <c r="T72" s="5"/>
      <c r="U72" s="5"/>
      <c r="V72" s="5"/>
      <c r="W72" s="5">
        <v>12418.1</v>
      </c>
      <c r="X72" s="5">
        <v>1</v>
      </c>
      <c r="Y72" s="5">
        <v>12418.1</v>
      </c>
      <c r="Z72" s="5">
        <v>84691.45</v>
      </c>
      <c r="AA72" s="5">
        <v>1</v>
      </c>
      <c r="AB72" s="5">
        <v>84691.45</v>
      </c>
    </row>
    <row r="73" spans="1:28" ht="12.75">
      <c r="A73" s="5">
        <v>50</v>
      </c>
      <c r="B73" s="5">
        <v>0</v>
      </c>
      <c r="C73" s="5">
        <v>0</v>
      </c>
      <c r="D73" s="5">
        <v>1</v>
      </c>
      <c r="E73" s="5">
        <v>226</v>
      </c>
      <c r="F73" s="5">
        <f>ROUND(Source!AW67,O73)</f>
        <v>12418.1</v>
      </c>
      <c r="G73" s="5" t="s">
        <v>109</v>
      </c>
      <c r="H73" s="5" t="s">
        <v>110</v>
      </c>
      <c r="I73" s="5"/>
      <c r="J73" s="5"/>
      <c r="K73" s="5">
        <v>226</v>
      </c>
      <c r="L73" s="5">
        <v>5</v>
      </c>
      <c r="M73" s="5">
        <v>3</v>
      </c>
      <c r="N73" s="5" t="s">
        <v>3</v>
      </c>
      <c r="O73" s="5">
        <v>2</v>
      </c>
      <c r="P73" s="5">
        <f>ROUND(Source!EO67,O73)</f>
        <v>84691.45</v>
      </c>
      <c r="Q73" s="5"/>
      <c r="R73" s="5"/>
      <c r="S73" s="5"/>
      <c r="T73" s="5"/>
      <c r="U73" s="5"/>
      <c r="V73" s="5"/>
      <c r="W73" s="5">
        <v>12418.1</v>
      </c>
      <c r="X73" s="5">
        <v>1</v>
      </c>
      <c r="Y73" s="5">
        <v>12418.1</v>
      </c>
      <c r="Z73" s="5">
        <v>84691.45</v>
      </c>
      <c r="AA73" s="5">
        <v>1</v>
      </c>
      <c r="AB73" s="5">
        <v>84691.45</v>
      </c>
    </row>
    <row r="74" spans="1:28" ht="12.75">
      <c r="A74" s="5">
        <v>50</v>
      </c>
      <c r="B74" s="5">
        <v>0</v>
      </c>
      <c r="C74" s="5">
        <v>0</v>
      </c>
      <c r="D74" s="5">
        <v>1</v>
      </c>
      <c r="E74" s="5">
        <v>227</v>
      </c>
      <c r="F74" s="5">
        <f>ROUND(Source!AX67,O74)</f>
        <v>0</v>
      </c>
      <c r="G74" s="5" t="s">
        <v>111</v>
      </c>
      <c r="H74" s="5" t="s">
        <v>112</v>
      </c>
      <c r="I74" s="5"/>
      <c r="J74" s="5"/>
      <c r="K74" s="5">
        <v>227</v>
      </c>
      <c r="L74" s="5">
        <v>6</v>
      </c>
      <c r="M74" s="5">
        <v>3</v>
      </c>
      <c r="N74" s="5" t="s">
        <v>3</v>
      </c>
      <c r="O74" s="5">
        <v>2</v>
      </c>
      <c r="P74" s="5">
        <f>ROUND(Source!EP67,O74)</f>
        <v>0</v>
      </c>
      <c r="Q74" s="5"/>
      <c r="R74" s="5"/>
      <c r="S74" s="5"/>
      <c r="T74" s="5"/>
      <c r="U74" s="5"/>
      <c r="V74" s="5"/>
      <c r="W74" s="5">
        <v>0</v>
      </c>
      <c r="X74" s="5">
        <v>1</v>
      </c>
      <c r="Y74" s="5">
        <v>0</v>
      </c>
      <c r="Z74" s="5">
        <v>0</v>
      </c>
      <c r="AA74" s="5">
        <v>1</v>
      </c>
      <c r="AB74" s="5">
        <v>0</v>
      </c>
    </row>
    <row r="75" spans="1:28" ht="12.75">
      <c r="A75" s="5">
        <v>50</v>
      </c>
      <c r="B75" s="5">
        <v>0</v>
      </c>
      <c r="C75" s="5">
        <v>0</v>
      </c>
      <c r="D75" s="5">
        <v>1</v>
      </c>
      <c r="E75" s="5">
        <v>228</v>
      </c>
      <c r="F75" s="5">
        <f>ROUND(Source!AY67,O75)</f>
        <v>12418.1</v>
      </c>
      <c r="G75" s="5" t="s">
        <v>113</v>
      </c>
      <c r="H75" s="5" t="s">
        <v>114</v>
      </c>
      <c r="I75" s="5"/>
      <c r="J75" s="5"/>
      <c r="K75" s="5">
        <v>228</v>
      </c>
      <c r="L75" s="5">
        <v>7</v>
      </c>
      <c r="M75" s="5">
        <v>3</v>
      </c>
      <c r="N75" s="5" t="s">
        <v>3</v>
      </c>
      <c r="O75" s="5">
        <v>2</v>
      </c>
      <c r="P75" s="5">
        <f>ROUND(Source!EQ67,O75)</f>
        <v>84691.45</v>
      </c>
      <c r="Q75" s="5"/>
      <c r="R75" s="5"/>
      <c r="S75" s="5"/>
      <c r="T75" s="5"/>
      <c r="U75" s="5"/>
      <c r="V75" s="5"/>
      <c r="W75" s="5">
        <v>12418.1</v>
      </c>
      <c r="X75" s="5">
        <v>1</v>
      </c>
      <c r="Y75" s="5">
        <v>12418.1</v>
      </c>
      <c r="Z75" s="5">
        <v>84691.45</v>
      </c>
      <c r="AA75" s="5">
        <v>1</v>
      </c>
      <c r="AB75" s="5">
        <v>84691.45</v>
      </c>
    </row>
    <row r="76" spans="1:28" ht="12.75">
      <c r="A76" s="5">
        <v>50</v>
      </c>
      <c r="B76" s="5">
        <v>0</v>
      </c>
      <c r="C76" s="5">
        <v>0</v>
      </c>
      <c r="D76" s="5">
        <v>1</v>
      </c>
      <c r="E76" s="5">
        <v>216</v>
      </c>
      <c r="F76" s="5">
        <f>ROUND(Source!AP67,O76)</f>
        <v>0</v>
      </c>
      <c r="G76" s="5" t="s">
        <v>115</v>
      </c>
      <c r="H76" s="5" t="s">
        <v>116</v>
      </c>
      <c r="I76" s="5"/>
      <c r="J76" s="5"/>
      <c r="K76" s="5">
        <v>216</v>
      </c>
      <c r="L76" s="5">
        <v>8</v>
      </c>
      <c r="M76" s="5">
        <v>3</v>
      </c>
      <c r="N76" s="5" t="s">
        <v>3</v>
      </c>
      <c r="O76" s="5">
        <v>2</v>
      </c>
      <c r="P76" s="5">
        <f>ROUND(Source!EH67,O76)</f>
        <v>0</v>
      </c>
      <c r="Q76" s="5"/>
      <c r="R76" s="5"/>
      <c r="S76" s="5"/>
      <c r="T76" s="5"/>
      <c r="U76" s="5"/>
      <c r="V76" s="5"/>
      <c r="W76" s="5">
        <v>0</v>
      </c>
      <c r="X76" s="5">
        <v>1</v>
      </c>
      <c r="Y76" s="5">
        <v>0</v>
      </c>
      <c r="Z76" s="5">
        <v>0</v>
      </c>
      <c r="AA76" s="5">
        <v>1</v>
      </c>
      <c r="AB76" s="5">
        <v>0</v>
      </c>
    </row>
    <row r="77" spans="1:28" ht="12.75">
      <c r="A77" s="5">
        <v>50</v>
      </c>
      <c r="B77" s="5">
        <v>0</v>
      </c>
      <c r="C77" s="5">
        <v>0</v>
      </c>
      <c r="D77" s="5">
        <v>1</v>
      </c>
      <c r="E77" s="5">
        <v>223</v>
      </c>
      <c r="F77" s="5">
        <f>ROUND(Source!AQ67,O77)</f>
        <v>0</v>
      </c>
      <c r="G77" s="5" t="s">
        <v>117</v>
      </c>
      <c r="H77" s="5" t="s">
        <v>118</v>
      </c>
      <c r="I77" s="5"/>
      <c r="J77" s="5"/>
      <c r="K77" s="5">
        <v>223</v>
      </c>
      <c r="L77" s="5">
        <v>9</v>
      </c>
      <c r="M77" s="5">
        <v>3</v>
      </c>
      <c r="N77" s="5" t="s">
        <v>3</v>
      </c>
      <c r="O77" s="5">
        <v>2</v>
      </c>
      <c r="P77" s="5">
        <f>ROUND(Source!EI67,O77)</f>
        <v>0</v>
      </c>
      <c r="Q77" s="5"/>
      <c r="R77" s="5"/>
      <c r="S77" s="5"/>
      <c r="T77" s="5"/>
      <c r="U77" s="5"/>
      <c r="V77" s="5"/>
      <c r="W77" s="5">
        <v>0</v>
      </c>
      <c r="X77" s="5">
        <v>1</v>
      </c>
      <c r="Y77" s="5">
        <v>0</v>
      </c>
      <c r="Z77" s="5">
        <v>0</v>
      </c>
      <c r="AA77" s="5">
        <v>1</v>
      </c>
      <c r="AB77" s="5">
        <v>0</v>
      </c>
    </row>
    <row r="78" spans="1:28" ht="12.75">
      <c r="A78" s="5">
        <v>50</v>
      </c>
      <c r="B78" s="5">
        <v>0</v>
      </c>
      <c r="C78" s="5">
        <v>0</v>
      </c>
      <c r="D78" s="5">
        <v>1</v>
      </c>
      <c r="E78" s="5">
        <v>229</v>
      </c>
      <c r="F78" s="5">
        <f>ROUND(Source!AZ67,O78)</f>
        <v>0</v>
      </c>
      <c r="G78" s="5" t="s">
        <v>119</v>
      </c>
      <c r="H78" s="5" t="s">
        <v>120</v>
      </c>
      <c r="I78" s="5"/>
      <c r="J78" s="5"/>
      <c r="K78" s="5">
        <v>229</v>
      </c>
      <c r="L78" s="5">
        <v>10</v>
      </c>
      <c r="M78" s="5">
        <v>3</v>
      </c>
      <c r="N78" s="5" t="s">
        <v>3</v>
      </c>
      <c r="O78" s="5">
        <v>2</v>
      </c>
      <c r="P78" s="5">
        <f>ROUND(Source!ER67,O78)</f>
        <v>0</v>
      </c>
      <c r="Q78" s="5"/>
      <c r="R78" s="5"/>
      <c r="S78" s="5"/>
      <c r="T78" s="5"/>
      <c r="U78" s="5"/>
      <c r="V78" s="5"/>
      <c r="W78" s="5">
        <v>0</v>
      </c>
      <c r="X78" s="5">
        <v>1</v>
      </c>
      <c r="Y78" s="5">
        <v>0</v>
      </c>
      <c r="Z78" s="5">
        <v>0</v>
      </c>
      <c r="AA78" s="5">
        <v>1</v>
      </c>
      <c r="AB78" s="5">
        <v>0</v>
      </c>
    </row>
    <row r="79" spans="1:28" ht="12.75">
      <c r="A79" s="5">
        <v>50</v>
      </c>
      <c r="B79" s="5">
        <v>0</v>
      </c>
      <c r="C79" s="5">
        <v>0</v>
      </c>
      <c r="D79" s="5">
        <v>1</v>
      </c>
      <c r="E79" s="5">
        <v>203</v>
      </c>
      <c r="F79" s="5">
        <f>ROUND(Source!Q67,O79)</f>
        <v>1049.33</v>
      </c>
      <c r="G79" s="5" t="s">
        <v>121</v>
      </c>
      <c r="H79" s="5" t="s">
        <v>122</v>
      </c>
      <c r="I79" s="5"/>
      <c r="J79" s="5"/>
      <c r="K79" s="5">
        <v>203</v>
      </c>
      <c r="L79" s="5">
        <v>11</v>
      </c>
      <c r="M79" s="5">
        <v>3</v>
      </c>
      <c r="N79" s="5" t="s">
        <v>3</v>
      </c>
      <c r="O79" s="5">
        <v>2</v>
      </c>
      <c r="P79" s="5">
        <f>ROUND(Source!DI67,O79)</f>
        <v>14092.19</v>
      </c>
      <c r="Q79" s="5"/>
      <c r="R79" s="5"/>
      <c r="S79" s="5"/>
      <c r="T79" s="5"/>
      <c r="U79" s="5"/>
      <c r="V79" s="5"/>
      <c r="W79" s="5">
        <v>1049.33</v>
      </c>
      <c r="X79" s="5">
        <v>1</v>
      </c>
      <c r="Y79" s="5">
        <v>1049.33</v>
      </c>
      <c r="Z79" s="5">
        <v>14092.19</v>
      </c>
      <c r="AA79" s="5">
        <v>1</v>
      </c>
      <c r="AB79" s="5">
        <v>14092.19</v>
      </c>
    </row>
    <row r="80" spans="1:28" ht="12.75">
      <c r="A80" s="5">
        <v>50</v>
      </c>
      <c r="B80" s="5">
        <v>0</v>
      </c>
      <c r="C80" s="5">
        <v>0</v>
      </c>
      <c r="D80" s="5">
        <v>1</v>
      </c>
      <c r="E80" s="5">
        <v>231</v>
      </c>
      <c r="F80" s="5">
        <f>ROUND(Source!BB67,O80)</f>
        <v>0</v>
      </c>
      <c r="G80" s="5" t="s">
        <v>123</v>
      </c>
      <c r="H80" s="5" t="s">
        <v>124</v>
      </c>
      <c r="I80" s="5"/>
      <c r="J80" s="5"/>
      <c r="K80" s="5">
        <v>231</v>
      </c>
      <c r="L80" s="5">
        <v>12</v>
      </c>
      <c r="M80" s="5">
        <v>3</v>
      </c>
      <c r="N80" s="5" t="s">
        <v>3</v>
      </c>
      <c r="O80" s="5">
        <v>2</v>
      </c>
      <c r="P80" s="5">
        <f>ROUND(Source!ET67,O80)</f>
        <v>0</v>
      </c>
      <c r="Q80" s="5"/>
      <c r="R80" s="5"/>
      <c r="S80" s="5"/>
      <c r="T80" s="5"/>
      <c r="U80" s="5"/>
      <c r="V80" s="5"/>
      <c r="W80" s="5">
        <v>0</v>
      </c>
      <c r="X80" s="5">
        <v>1</v>
      </c>
      <c r="Y80" s="5">
        <v>0</v>
      </c>
      <c r="Z80" s="5">
        <v>0</v>
      </c>
      <c r="AA80" s="5">
        <v>1</v>
      </c>
      <c r="AB80" s="5">
        <v>0</v>
      </c>
    </row>
    <row r="81" spans="1:28" ht="12.75">
      <c r="A81" s="5">
        <v>50</v>
      </c>
      <c r="B81" s="5">
        <v>0</v>
      </c>
      <c r="C81" s="5">
        <v>0</v>
      </c>
      <c r="D81" s="5">
        <v>1</v>
      </c>
      <c r="E81" s="5">
        <v>204</v>
      </c>
      <c r="F81" s="5">
        <f>ROUND(Source!R67,O81)</f>
        <v>206.01</v>
      </c>
      <c r="G81" s="5" t="s">
        <v>125</v>
      </c>
      <c r="H81" s="5" t="s">
        <v>126</v>
      </c>
      <c r="I81" s="5"/>
      <c r="J81" s="5"/>
      <c r="K81" s="5">
        <v>204</v>
      </c>
      <c r="L81" s="5">
        <v>13</v>
      </c>
      <c r="M81" s="5">
        <v>3</v>
      </c>
      <c r="N81" s="5" t="s">
        <v>3</v>
      </c>
      <c r="O81" s="5">
        <v>2</v>
      </c>
      <c r="P81" s="5">
        <f>ROUND(Source!DJ67,O81)</f>
        <v>7949.76</v>
      </c>
      <c r="Q81" s="5"/>
      <c r="R81" s="5"/>
      <c r="S81" s="5"/>
      <c r="T81" s="5"/>
      <c r="U81" s="5"/>
      <c r="V81" s="5"/>
      <c r="W81" s="5">
        <v>206.01</v>
      </c>
      <c r="X81" s="5">
        <v>1</v>
      </c>
      <c r="Y81" s="5">
        <v>206.01</v>
      </c>
      <c r="Z81" s="5">
        <v>7949.76</v>
      </c>
      <c r="AA81" s="5">
        <v>1</v>
      </c>
      <c r="AB81" s="5">
        <v>7949.76</v>
      </c>
    </row>
    <row r="82" spans="1:28" ht="12.75">
      <c r="A82" s="5">
        <v>50</v>
      </c>
      <c r="B82" s="5">
        <v>0</v>
      </c>
      <c r="C82" s="5">
        <v>0</v>
      </c>
      <c r="D82" s="5">
        <v>1</v>
      </c>
      <c r="E82" s="5">
        <v>205</v>
      </c>
      <c r="F82" s="5">
        <f>ROUND(Source!S67,O82)</f>
        <v>6056.01</v>
      </c>
      <c r="G82" s="5" t="s">
        <v>127</v>
      </c>
      <c r="H82" s="5" t="s">
        <v>128</v>
      </c>
      <c r="I82" s="5"/>
      <c r="J82" s="5"/>
      <c r="K82" s="5">
        <v>205</v>
      </c>
      <c r="L82" s="5">
        <v>14</v>
      </c>
      <c r="M82" s="5">
        <v>3</v>
      </c>
      <c r="N82" s="5" t="s">
        <v>3</v>
      </c>
      <c r="O82" s="5">
        <v>2</v>
      </c>
      <c r="P82" s="5">
        <f>ROUND(Source!DK67,O82)</f>
        <v>233701.55</v>
      </c>
      <c r="Q82" s="5"/>
      <c r="R82" s="5"/>
      <c r="S82" s="5"/>
      <c r="T82" s="5"/>
      <c r="U82" s="5"/>
      <c r="V82" s="5"/>
      <c r="W82" s="5">
        <v>6056.01</v>
      </c>
      <c r="X82" s="5">
        <v>1</v>
      </c>
      <c r="Y82" s="5">
        <v>6056.01</v>
      </c>
      <c r="Z82" s="5">
        <v>233701.55</v>
      </c>
      <c r="AA82" s="5">
        <v>1</v>
      </c>
      <c r="AB82" s="5">
        <v>233701.55</v>
      </c>
    </row>
    <row r="83" spans="1:28" ht="12.75">
      <c r="A83" s="5">
        <v>50</v>
      </c>
      <c r="B83" s="5">
        <v>0</v>
      </c>
      <c r="C83" s="5">
        <v>0</v>
      </c>
      <c r="D83" s="5">
        <v>1</v>
      </c>
      <c r="E83" s="5">
        <v>232</v>
      </c>
      <c r="F83" s="5">
        <f>ROUND(Source!BC67,O83)</f>
        <v>0</v>
      </c>
      <c r="G83" s="5" t="s">
        <v>129</v>
      </c>
      <c r="H83" s="5" t="s">
        <v>130</v>
      </c>
      <c r="I83" s="5"/>
      <c r="J83" s="5"/>
      <c r="K83" s="5">
        <v>232</v>
      </c>
      <c r="L83" s="5">
        <v>15</v>
      </c>
      <c r="M83" s="5">
        <v>3</v>
      </c>
      <c r="N83" s="5" t="s">
        <v>3</v>
      </c>
      <c r="O83" s="5">
        <v>2</v>
      </c>
      <c r="P83" s="5">
        <f>ROUND(Source!EU67,O83)</f>
        <v>0</v>
      </c>
      <c r="Q83" s="5"/>
      <c r="R83" s="5"/>
      <c r="S83" s="5"/>
      <c r="T83" s="5"/>
      <c r="U83" s="5"/>
      <c r="V83" s="5"/>
      <c r="W83" s="5">
        <v>0</v>
      </c>
      <c r="X83" s="5">
        <v>1</v>
      </c>
      <c r="Y83" s="5">
        <v>0</v>
      </c>
      <c r="Z83" s="5">
        <v>0</v>
      </c>
      <c r="AA83" s="5">
        <v>1</v>
      </c>
      <c r="AB83" s="5">
        <v>0</v>
      </c>
    </row>
    <row r="84" spans="1:28" ht="12.75">
      <c r="A84" s="5">
        <v>50</v>
      </c>
      <c r="B84" s="5">
        <v>0</v>
      </c>
      <c r="C84" s="5">
        <v>0</v>
      </c>
      <c r="D84" s="5">
        <v>1</v>
      </c>
      <c r="E84" s="5">
        <v>214</v>
      </c>
      <c r="F84" s="5">
        <f>ROUND(Source!AS67,O84)</f>
        <v>27775.7</v>
      </c>
      <c r="G84" s="5" t="s">
        <v>131</v>
      </c>
      <c r="H84" s="5" t="s">
        <v>132</v>
      </c>
      <c r="I84" s="5"/>
      <c r="J84" s="5"/>
      <c r="K84" s="5">
        <v>214</v>
      </c>
      <c r="L84" s="5">
        <v>16</v>
      </c>
      <c r="M84" s="5">
        <v>3</v>
      </c>
      <c r="N84" s="5" t="s">
        <v>3</v>
      </c>
      <c r="O84" s="5">
        <v>2</v>
      </c>
      <c r="P84" s="5">
        <f>ROUND(Source!EK67,O84)</f>
        <v>650940.08</v>
      </c>
      <c r="Q84" s="5"/>
      <c r="R84" s="5"/>
      <c r="S84" s="5"/>
      <c r="T84" s="5"/>
      <c r="U84" s="5"/>
      <c r="V84" s="5"/>
      <c r="W84" s="5">
        <v>27775.7</v>
      </c>
      <c r="X84" s="5">
        <v>1</v>
      </c>
      <c r="Y84" s="5">
        <v>27775.7</v>
      </c>
      <c r="Z84" s="5">
        <v>650940.08</v>
      </c>
      <c r="AA84" s="5">
        <v>1</v>
      </c>
      <c r="AB84" s="5">
        <v>650940.08</v>
      </c>
    </row>
    <row r="85" spans="1:28" ht="12.75">
      <c r="A85" s="5">
        <v>50</v>
      </c>
      <c r="B85" s="5">
        <v>0</v>
      </c>
      <c r="C85" s="5">
        <v>0</v>
      </c>
      <c r="D85" s="5">
        <v>1</v>
      </c>
      <c r="E85" s="5">
        <v>215</v>
      </c>
      <c r="F85" s="5">
        <f>ROUND(Source!AT67,O85)</f>
        <v>0</v>
      </c>
      <c r="G85" s="5" t="s">
        <v>133</v>
      </c>
      <c r="H85" s="5" t="s">
        <v>134</v>
      </c>
      <c r="I85" s="5"/>
      <c r="J85" s="5"/>
      <c r="K85" s="5">
        <v>215</v>
      </c>
      <c r="L85" s="5">
        <v>17</v>
      </c>
      <c r="M85" s="5">
        <v>3</v>
      </c>
      <c r="N85" s="5" t="s">
        <v>3</v>
      </c>
      <c r="O85" s="5">
        <v>2</v>
      </c>
      <c r="P85" s="5">
        <f>ROUND(Source!EL67,O85)</f>
        <v>0</v>
      </c>
      <c r="Q85" s="5"/>
      <c r="R85" s="5"/>
      <c r="S85" s="5"/>
      <c r="T85" s="5"/>
      <c r="U85" s="5"/>
      <c r="V85" s="5"/>
      <c r="W85" s="5">
        <v>0</v>
      </c>
      <c r="X85" s="5">
        <v>1</v>
      </c>
      <c r="Y85" s="5">
        <v>0</v>
      </c>
      <c r="Z85" s="5">
        <v>0</v>
      </c>
      <c r="AA85" s="5">
        <v>1</v>
      </c>
      <c r="AB85" s="5">
        <v>0</v>
      </c>
    </row>
    <row r="86" spans="1:28" ht="12.75">
      <c r="A86" s="5">
        <v>50</v>
      </c>
      <c r="B86" s="5">
        <v>0</v>
      </c>
      <c r="C86" s="5">
        <v>0</v>
      </c>
      <c r="D86" s="5">
        <v>1</v>
      </c>
      <c r="E86" s="5">
        <v>217</v>
      </c>
      <c r="F86" s="5">
        <f>ROUND(Source!AU67,O86)</f>
        <v>0</v>
      </c>
      <c r="G86" s="5" t="s">
        <v>135</v>
      </c>
      <c r="H86" s="5" t="s">
        <v>136</v>
      </c>
      <c r="I86" s="5"/>
      <c r="J86" s="5"/>
      <c r="K86" s="5">
        <v>217</v>
      </c>
      <c r="L86" s="5">
        <v>18</v>
      </c>
      <c r="M86" s="5">
        <v>3</v>
      </c>
      <c r="N86" s="5" t="s">
        <v>3</v>
      </c>
      <c r="O86" s="5">
        <v>2</v>
      </c>
      <c r="P86" s="5">
        <f>ROUND(Source!EM67,O86)</f>
        <v>0</v>
      </c>
      <c r="Q86" s="5"/>
      <c r="R86" s="5"/>
      <c r="S86" s="5"/>
      <c r="T86" s="5"/>
      <c r="U86" s="5"/>
      <c r="V86" s="5"/>
      <c r="W86" s="5">
        <v>0</v>
      </c>
      <c r="X86" s="5">
        <v>1</v>
      </c>
      <c r="Y86" s="5">
        <v>0</v>
      </c>
      <c r="Z86" s="5">
        <v>0</v>
      </c>
      <c r="AA86" s="5">
        <v>1</v>
      </c>
      <c r="AB86" s="5">
        <v>0</v>
      </c>
    </row>
    <row r="87" spans="1:28" ht="12.75">
      <c r="A87" s="5">
        <v>50</v>
      </c>
      <c r="B87" s="5">
        <v>0</v>
      </c>
      <c r="C87" s="5">
        <v>0</v>
      </c>
      <c r="D87" s="5">
        <v>1</v>
      </c>
      <c r="E87" s="5">
        <v>230</v>
      </c>
      <c r="F87" s="5">
        <f>ROUND(Source!BA67,O87)</f>
        <v>0</v>
      </c>
      <c r="G87" s="5" t="s">
        <v>137</v>
      </c>
      <c r="H87" s="5" t="s">
        <v>138</v>
      </c>
      <c r="I87" s="5"/>
      <c r="J87" s="5"/>
      <c r="K87" s="5">
        <v>230</v>
      </c>
      <c r="L87" s="5">
        <v>19</v>
      </c>
      <c r="M87" s="5">
        <v>3</v>
      </c>
      <c r="N87" s="5" t="s">
        <v>3</v>
      </c>
      <c r="O87" s="5">
        <v>2</v>
      </c>
      <c r="P87" s="5">
        <f>ROUND(Source!ES67,O87)</f>
        <v>0</v>
      </c>
      <c r="Q87" s="5"/>
      <c r="R87" s="5"/>
      <c r="S87" s="5"/>
      <c r="T87" s="5"/>
      <c r="U87" s="5"/>
      <c r="V87" s="5"/>
      <c r="W87" s="5">
        <v>0</v>
      </c>
      <c r="X87" s="5">
        <v>1</v>
      </c>
      <c r="Y87" s="5">
        <v>0</v>
      </c>
      <c r="Z87" s="5">
        <v>0</v>
      </c>
      <c r="AA87" s="5">
        <v>1</v>
      </c>
      <c r="AB87" s="5">
        <v>0</v>
      </c>
    </row>
    <row r="88" spans="1:28" ht="12.75">
      <c r="A88" s="5">
        <v>50</v>
      </c>
      <c r="B88" s="5">
        <v>0</v>
      </c>
      <c r="C88" s="5">
        <v>0</v>
      </c>
      <c r="D88" s="5">
        <v>1</v>
      </c>
      <c r="E88" s="5">
        <v>206</v>
      </c>
      <c r="F88" s="5">
        <f>ROUND(Source!T67,O88)</f>
        <v>0</v>
      </c>
      <c r="G88" s="5" t="s">
        <v>139</v>
      </c>
      <c r="H88" s="5" t="s">
        <v>140</v>
      </c>
      <c r="I88" s="5"/>
      <c r="J88" s="5"/>
      <c r="K88" s="5">
        <v>206</v>
      </c>
      <c r="L88" s="5">
        <v>20</v>
      </c>
      <c r="M88" s="5">
        <v>3</v>
      </c>
      <c r="N88" s="5" t="s">
        <v>3</v>
      </c>
      <c r="O88" s="5">
        <v>2</v>
      </c>
      <c r="P88" s="5">
        <f>ROUND(Source!DL67,O88)</f>
        <v>0</v>
      </c>
      <c r="Q88" s="5"/>
      <c r="R88" s="5"/>
      <c r="S88" s="5"/>
      <c r="T88" s="5"/>
      <c r="U88" s="5"/>
      <c r="V88" s="5"/>
      <c r="W88" s="5">
        <v>0</v>
      </c>
      <c r="X88" s="5">
        <v>1</v>
      </c>
      <c r="Y88" s="5">
        <v>0</v>
      </c>
      <c r="Z88" s="5">
        <v>0</v>
      </c>
      <c r="AA88" s="5">
        <v>1</v>
      </c>
      <c r="AB88" s="5">
        <v>0</v>
      </c>
    </row>
    <row r="89" spans="1:28" ht="12.75">
      <c r="A89" s="5">
        <v>50</v>
      </c>
      <c r="B89" s="5">
        <v>0</v>
      </c>
      <c r="C89" s="5">
        <v>0</v>
      </c>
      <c r="D89" s="5">
        <v>1</v>
      </c>
      <c r="E89" s="5">
        <v>207</v>
      </c>
      <c r="F89" s="5">
        <f>Source!U67</f>
        <v>661.435746</v>
      </c>
      <c r="G89" s="5" t="s">
        <v>141</v>
      </c>
      <c r="H89" s="5" t="s">
        <v>142</v>
      </c>
      <c r="I89" s="5"/>
      <c r="J89" s="5"/>
      <c r="K89" s="5">
        <v>207</v>
      </c>
      <c r="L89" s="5">
        <v>21</v>
      </c>
      <c r="M89" s="5">
        <v>3</v>
      </c>
      <c r="N89" s="5" t="s">
        <v>3</v>
      </c>
      <c r="O89" s="5">
        <v>-1</v>
      </c>
      <c r="P89" s="5">
        <f>Source!DM67</f>
        <v>661.435746</v>
      </c>
      <c r="Q89" s="5"/>
      <c r="R89" s="5"/>
      <c r="S89" s="5"/>
      <c r="T89" s="5"/>
      <c r="U89" s="5"/>
      <c r="V89" s="5"/>
      <c r="W89" s="5">
        <v>661.435746</v>
      </c>
      <c r="X89" s="5">
        <v>1</v>
      </c>
      <c r="Y89" s="5">
        <v>661.435746</v>
      </c>
      <c r="Z89" s="5">
        <v>661.435746</v>
      </c>
      <c r="AA89" s="5">
        <v>1</v>
      </c>
      <c r="AB89" s="5">
        <v>661.435746</v>
      </c>
    </row>
    <row r="90" spans="1:28" ht="12.75">
      <c r="A90" s="5">
        <v>50</v>
      </c>
      <c r="B90" s="5">
        <v>0</v>
      </c>
      <c r="C90" s="5">
        <v>0</v>
      </c>
      <c r="D90" s="5">
        <v>1</v>
      </c>
      <c r="E90" s="5">
        <v>208</v>
      </c>
      <c r="F90" s="5">
        <f>Source!V67</f>
        <v>17.332971999999998</v>
      </c>
      <c r="G90" s="5" t="s">
        <v>143</v>
      </c>
      <c r="H90" s="5" t="s">
        <v>144</v>
      </c>
      <c r="I90" s="5"/>
      <c r="J90" s="5"/>
      <c r="K90" s="5">
        <v>208</v>
      </c>
      <c r="L90" s="5">
        <v>22</v>
      </c>
      <c r="M90" s="5">
        <v>3</v>
      </c>
      <c r="N90" s="5" t="s">
        <v>3</v>
      </c>
      <c r="O90" s="5">
        <v>-1</v>
      </c>
      <c r="P90" s="5">
        <f>Source!DN67</f>
        <v>17.332971999999998</v>
      </c>
      <c r="Q90" s="5"/>
      <c r="R90" s="5"/>
      <c r="S90" s="5"/>
      <c r="T90" s="5"/>
      <c r="U90" s="5"/>
      <c r="V90" s="5"/>
      <c r="W90" s="5">
        <v>17.332972</v>
      </c>
      <c r="X90" s="5">
        <v>1</v>
      </c>
      <c r="Y90" s="5">
        <v>17.332972</v>
      </c>
      <c r="Z90" s="5">
        <v>17.332972</v>
      </c>
      <c r="AA90" s="5">
        <v>1</v>
      </c>
      <c r="AB90" s="5">
        <v>17.332972</v>
      </c>
    </row>
    <row r="91" spans="1:28" ht="12.75">
      <c r="A91" s="5">
        <v>50</v>
      </c>
      <c r="B91" s="5">
        <v>0</v>
      </c>
      <c r="C91" s="5">
        <v>0</v>
      </c>
      <c r="D91" s="5">
        <v>1</v>
      </c>
      <c r="E91" s="5">
        <v>209</v>
      </c>
      <c r="F91" s="5">
        <f>ROUND(Source!W67,O91)</f>
        <v>0</v>
      </c>
      <c r="G91" s="5" t="s">
        <v>145</v>
      </c>
      <c r="H91" s="5" t="s">
        <v>146</v>
      </c>
      <c r="I91" s="5"/>
      <c r="J91" s="5"/>
      <c r="K91" s="5">
        <v>209</v>
      </c>
      <c r="L91" s="5">
        <v>23</v>
      </c>
      <c r="M91" s="5">
        <v>3</v>
      </c>
      <c r="N91" s="5" t="s">
        <v>3</v>
      </c>
      <c r="O91" s="5">
        <v>2</v>
      </c>
      <c r="P91" s="5">
        <f>ROUND(Source!DO67,O91)</f>
        <v>0</v>
      </c>
      <c r="Q91" s="5"/>
      <c r="R91" s="5"/>
      <c r="S91" s="5"/>
      <c r="T91" s="5"/>
      <c r="U91" s="5"/>
      <c r="V91" s="5"/>
      <c r="W91" s="5">
        <v>0</v>
      </c>
      <c r="X91" s="5">
        <v>1</v>
      </c>
      <c r="Y91" s="5">
        <v>0</v>
      </c>
      <c r="Z91" s="5">
        <v>0</v>
      </c>
      <c r="AA91" s="5">
        <v>1</v>
      </c>
      <c r="AB91" s="5">
        <v>0</v>
      </c>
    </row>
    <row r="92" spans="1:28" ht="12.75">
      <c r="A92" s="5">
        <v>50</v>
      </c>
      <c r="B92" s="5">
        <v>0</v>
      </c>
      <c r="C92" s="5">
        <v>0</v>
      </c>
      <c r="D92" s="5">
        <v>1</v>
      </c>
      <c r="E92" s="5">
        <v>233</v>
      </c>
      <c r="F92" s="5">
        <f>ROUND(Source!BD67,O92)</f>
        <v>0</v>
      </c>
      <c r="G92" s="5" t="s">
        <v>147</v>
      </c>
      <c r="H92" s="5" t="s">
        <v>148</v>
      </c>
      <c r="I92" s="5"/>
      <c r="J92" s="5"/>
      <c r="K92" s="5">
        <v>233</v>
      </c>
      <c r="L92" s="5">
        <v>24</v>
      </c>
      <c r="M92" s="5">
        <v>3</v>
      </c>
      <c r="N92" s="5" t="s">
        <v>3</v>
      </c>
      <c r="O92" s="5">
        <v>2</v>
      </c>
      <c r="P92" s="5">
        <f>ROUND(Source!EV67,O92)</f>
        <v>0</v>
      </c>
      <c r="Q92" s="5"/>
      <c r="R92" s="5"/>
      <c r="S92" s="5"/>
      <c r="T92" s="5"/>
      <c r="U92" s="5"/>
      <c r="V92" s="5"/>
      <c r="W92" s="5">
        <v>0</v>
      </c>
      <c r="X92" s="5">
        <v>1</v>
      </c>
      <c r="Y92" s="5">
        <v>0</v>
      </c>
      <c r="Z92" s="5">
        <v>0</v>
      </c>
      <c r="AA92" s="5">
        <v>1</v>
      </c>
      <c r="AB92" s="5">
        <v>0</v>
      </c>
    </row>
    <row r="93" spans="1:28" ht="12.75">
      <c r="A93" s="5">
        <v>50</v>
      </c>
      <c r="B93" s="5">
        <v>0</v>
      </c>
      <c r="C93" s="5">
        <v>0</v>
      </c>
      <c r="D93" s="5">
        <v>1</v>
      </c>
      <c r="E93" s="5">
        <v>210</v>
      </c>
      <c r="F93" s="5">
        <f>ROUND(Source!X67,O93)</f>
        <v>5630.45</v>
      </c>
      <c r="G93" s="5" t="s">
        <v>149</v>
      </c>
      <c r="H93" s="5" t="s">
        <v>150</v>
      </c>
      <c r="I93" s="5"/>
      <c r="J93" s="5"/>
      <c r="K93" s="5">
        <v>210</v>
      </c>
      <c r="L93" s="5">
        <v>25</v>
      </c>
      <c r="M93" s="5">
        <v>3</v>
      </c>
      <c r="N93" s="5" t="s">
        <v>3</v>
      </c>
      <c r="O93" s="5">
        <v>2</v>
      </c>
      <c r="P93" s="5">
        <f>ROUND(Source!DP67,O93)</f>
        <v>217279.22</v>
      </c>
      <c r="Q93" s="5"/>
      <c r="R93" s="5"/>
      <c r="S93" s="5"/>
      <c r="T93" s="5"/>
      <c r="U93" s="5"/>
      <c r="V93" s="5"/>
      <c r="W93" s="5">
        <v>5630.45</v>
      </c>
      <c r="X93" s="5">
        <v>1</v>
      </c>
      <c r="Y93" s="5">
        <v>5630.45</v>
      </c>
      <c r="Z93" s="5">
        <v>217279.22</v>
      </c>
      <c r="AA93" s="5">
        <v>1</v>
      </c>
      <c r="AB93" s="5">
        <v>217279.22</v>
      </c>
    </row>
    <row r="94" spans="1:28" ht="12.75">
      <c r="A94" s="5">
        <v>50</v>
      </c>
      <c r="B94" s="5">
        <v>0</v>
      </c>
      <c r="C94" s="5">
        <v>0</v>
      </c>
      <c r="D94" s="5">
        <v>1</v>
      </c>
      <c r="E94" s="5">
        <v>211</v>
      </c>
      <c r="F94" s="5">
        <f>ROUND(Source!Y67,O94)</f>
        <v>2621.81</v>
      </c>
      <c r="G94" s="5" t="s">
        <v>151</v>
      </c>
      <c r="H94" s="5" t="s">
        <v>152</v>
      </c>
      <c r="I94" s="5"/>
      <c r="J94" s="5"/>
      <c r="K94" s="5">
        <v>211</v>
      </c>
      <c r="L94" s="5">
        <v>26</v>
      </c>
      <c r="M94" s="5">
        <v>3</v>
      </c>
      <c r="N94" s="5" t="s">
        <v>3</v>
      </c>
      <c r="O94" s="5">
        <v>2</v>
      </c>
      <c r="P94" s="5">
        <f>ROUND(Source!DQ67,O94)</f>
        <v>101175.67</v>
      </c>
      <c r="Q94" s="5"/>
      <c r="R94" s="5"/>
      <c r="S94" s="5"/>
      <c r="T94" s="5"/>
      <c r="U94" s="5"/>
      <c r="V94" s="5"/>
      <c r="W94" s="5">
        <v>2621.81</v>
      </c>
      <c r="X94" s="5">
        <v>1</v>
      </c>
      <c r="Y94" s="5">
        <v>2621.81</v>
      </c>
      <c r="Z94" s="5">
        <v>101175.67</v>
      </c>
      <c r="AA94" s="5">
        <v>1</v>
      </c>
      <c r="AB94" s="5">
        <v>101175.67</v>
      </c>
    </row>
    <row r="95" spans="1:28" ht="12.75">
      <c r="A95" s="5">
        <v>50</v>
      </c>
      <c r="B95" s="5">
        <v>0</v>
      </c>
      <c r="C95" s="5">
        <v>0</v>
      </c>
      <c r="D95" s="5">
        <v>1</v>
      </c>
      <c r="E95" s="5">
        <v>224</v>
      </c>
      <c r="F95" s="5">
        <f>ROUND(Source!AR67,O95)</f>
        <v>27775.7</v>
      </c>
      <c r="G95" s="5" t="s">
        <v>153</v>
      </c>
      <c r="H95" s="5" t="s">
        <v>154</v>
      </c>
      <c r="I95" s="5"/>
      <c r="J95" s="5"/>
      <c r="K95" s="5">
        <v>224</v>
      </c>
      <c r="L95" s="5">
        <v>27</v>
      </c>
      <c r="M95" s="5">
        <v>3</v>
      </c>
      <c r="N95" s="5" t="s">
        <v>3</v>
      </c>
      <c r="O95" s="5">
        <v>2</v>
      </c>
      <c r="P95" s="5">
        <f>ROUND(Source!EJ67,O95)</f>
        <v>650940.08</v>
      </c>
      <c r="Q95" s="5"/>
      <c r="R95" s="5"/>
      <c r="S95" s="5"/>
      <c r="T95" s="5"/>
      <c r="U95" s="5"/>
      <c r="V95" s="5"/>
      <c r="W95" s="5">
        <v>27775.700000000004</v>
      </c>
      <c r="X95" s="5">
        <v>1</v>
      </c>
      <c r="Y95" s="5">
        <v>27775.700000000004</v>
      </c>
      <c r="Z95" s="5">
        <v>650940.0800000001</v>
      </c>
      <c r="AA95" s="5">
        <v>1</v>
      </c>
      <c r="AB95" s="5">
        <v>650940.0800000001</v>
      </c>
    </row>
    <row r="97" spans="1:88" ht="12.75">
      <c r="A97" s="1">
        <v>4</v>
      </c>
      <c r="B97" s="1">
        <v>1</v>
      </c>
      <c r="C97" s="1"/>
      <c r="D97" s="1">
        <f>ROW(A108)</f>
        <v>108</v>
      </c>
      <c r="E97" s="1"/>
      <c r="F97" s="1" t="s">
        <v>19</v>
      </c>
      <c r="G97" s="1" t="s">
        <v>155</v>
      </c>
      <c r="H97" s="1" t="s">
        <v>3</v>
      </c>
      <c r="I97" s="1">
        <v>0</v>
      </c>
      <c r="J97" s="1"/>
      <c r="K97" s="1">
        <v>0</v>
      </c>
      <c r="L97" s="1"/>
      <c r="M97" s="1" t="s">
        <v>3</v>
      </c>
      <c r="N97" s="1"/>
      <c r="O97" s="1"/>
      <c r="P97" s="1"/>
      <c r="Q97" s="1"/>
      <c r="R97" s="1"/>
      <c r="S97" s="1">
        <v>0</v>
      </c>
      <c r="T97" s="1">
        <v>0</v>
      </c>
      <c r="U97" s="1" t="s">
        <v>3</v>
      </c>
      <c r="V97" s="1">
        <v>0</v>
      </c>
      <c r="W97" s="1"/>
      <c r="X97" s="1"/>
      <c r="Y97" s="1"/>
      <c r="Z97" s="1"/>
      <c r="AA97" s="1"/>
      <c r="AB97" s="1" t="s">
        <v>3</v>
      </c>
      <c r="AC97" s="1" t="s">
        <v>3</v>
      </c>
      <c r="AD97" s="1" t="s">
        <v>3</v>
      </c>
      <c r="AE97" s="1" t="s">
        <v>3</v>
      </c>
      <c r="AF97" s="1" t="s">
        <v>3</v>
      </c>
      <c r="AG97" s="1" t="s">
        <v>3</v>
      </c>
      <c r="AH97" s="1"/>
      <c r="AI97" s="1"/>
      <c r="AJ97" s="1"/>
      <c r="AK97" s="1"/>
      <c r="AL97" s="1"/>
      <c r="AM97" s="1"/>
      <c r="AN97" s="1"/>
      <c r="AO97" s="1"/>
      <c r="AP97" s="1" t="s">
        <v>3</v>
      </c>
      <c r="AQ97" s="1" t="s">
        <v>3</v>
      </c>
      <c r="AR97" s="1" t="s">
        <v>3</v>
      </c>
      <c r="AS97" s="1"/>
      <c r="AT97" s="1"/>
      <c r="AU97" s="1"/>
      <c r="AV97" s="1"/>
      <c r="AW97" s="1"/>
      <c r="AX97" s="1"/>
      <c r="AY97" s="1"/>
      <c r="AZ97" s="1" t="s">
        <v>3</v>
      </c>
      <c r="BA97" s="1"/>
      <c r="BB97" s="1" t="s">
        <v>3</v>
      </c>
      <c r="BC97" s="1" t="s">
        <v>3</v>
      </c>
      <c r="BD97" s="1" t="s">
        <v>3</v>
      </c>
      <c r="BE97" s="1" t="s">
        <v>3</v>
      </c>
      <c r="BF97" s="1" t="s">
        <v>3</v>
      </c>
      <c r="BG97" s="1" t="s">
        <v>3</v>
      </c>
      <c r="BH97" s="1" t="s">
        <v>3</v>
      </c>
      <c r="BI97" s="1" t="s">
        <v>3</v>
      </c>
      <c r="BJ97" s="1" t="s">
        <v>3</v>
      </c>
      <c r="BK97" s="1" t="s">
        <v>3</v>
      </c>
      <c r="BL97" s="1" t="s">
        <v>3</v>
      </c>
      <c r="BM97" s="1" t="s">
        <v>3</v>
      </c>
      <c r="BN97" s="1" t="s">
        <v>3</v>
      </c>
      <c r="BO97" s="1" t="s">
        <v>3</v>
      </c>
      <c r="BP97" s="1" t="s">
        <v>3</v>
      </c>
      <c r="BQ97" s="1"/>
      <c r="BR97" s="1"/>
      <c r="BS97" s="1"/>
      <c r="BT97" s="1"/>
      <c r="BU97" s="1"/>
      <c r="BV97" s="1"/>
      <c r="BW97" s="1"/>
      <c r="BX97" s="1">
        <v>0</v>
      </c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>
        <v>0</v>
      </c>
    </row>
    <row r="99" spans="1:206" ht="12.75">
      <c r="A99" s="3">
        <v>52</v>
      </c>
      <c r="B99" s="3">
        <f aca="true" t="shared" si="67" ref="B99:G99">B108</f>
        <v>1</v>
      </c>
      <c r="C99" s="3">
        <f t="shared" si="67"/>
        <v>4</v>
      </c>
      <c r="D99" s="3">
        <f t="shared" si="67"/>
        <v>97</v>
      </c>
      <c r="E99" s="3">
        <f t="shared" si="67"/>
        <v>0</v>
      </c>
      <c r="F99" s="3" t="str">
        <f t="shared" si="67"/>
        <v>Новый раздел</v>
      </c>
      <c r="G99" s="3" t="str">
        <f t="shared" si="67"/>
        <v>Пожарные шкафы</v>
      </c>
      <c r="H99" s="3"/>
      <c r="I99" s="3"/>
      <c r="J99" s="3"/>
      <c r="K99" s="3"/>
      <c r="L99" s="3"/>
      <c r="M99" s="3"/>
      <c r="N99" s="3"/>
      <c r="O99" s="3">
        <f aca="true" t="shared" si="68" ref="O99:AT99">O108</f>
        <v>136.95</v>
      </c>
      <c r="P99" s="3">
        <f t="shared" si="68"/>
        <v>9.21</v>
      </c>
      <c r="Q99" s="3">
        <f t="shared" si="68"/>
        <v>14.4</v>
      </c>
      <c r="R99" s="3">
        <f t="shared" si="68"/>
        <v>3.08</v>
      </c>
      <c r="S99" s="3">
        <f t="shared" si="68"/>
        <v>113.34</v>
      </c>
      <c r="T99" s="3">
        <f t="shared" si="68"/>
        <v>0</v>
      </c>
      <c r="U99" s="3">
        <f t="shared" si="68"/>
        <v>14.1323</v>
      </c>
      <c r="V99" s="3">
        <f t="shared" si="68"/>
        <v>0.24780000000000002</v>
      </c>
      <c r="W99" s="3">
        <f t="shared" si="68"/>
        <v>0</v>
      </c>
      <c r="X99" s="3">
        <f t="shared" si="68"/>
        <v>137.08</v>
      </c>
      <c r="Y99" s="3">
        <f t="shared" si="68"/>
        <v>78.86</v>
      </c>
      <c r="Z99" s="3">
        <f t="shared" si="68"/>
        <v>0</v>
      </c>
      <c r="AA99" s="3">
        <f t="shared" si="68"/>
        <v>0</v>
      </c>
      <c r="AB99" s="3">
        <f t="shared" si="68"/>
        <v>136.95</v>
      </c>
      <c r="AC99" s="3">
        <f t="shared" si="68"/>
        <v>9.21</v>
      </c>
      <c r="AD99" s="3">
        <f t="shared" si="68"/>
        <v>14.4</v>
      </c>
      <c r="AE99" s="3">
        <f t="shared" si="68"/>
        <v>3.08</v>
      </c>
      <c r="AF99" s="3">
        <f t="shared" si="68"/>
        <v>113.34</v>
      </c>
      <c r="AG99" s="3">
        <f t="shared" si="68"/>
        <v>0</v>
      </c>
      <c r="AH99" s="3">
        <f t="shared" si="68"/>
        <v>14.1323</v>
      </c>
      <c r="AI99" s="3">
        <f t="shared" si="68"/>
        <v>0.24780000000000002</v>
      </c>
      <c r="AJ99" s="3">
        <f t="shared" si="68"/>
        <v>0</v>
      </c>
      <c r="AK99" s="3">
        <f t="shared" si="68"/>
        <v>137.08</v>
      </c>
      <c r="AL99" s="3">
        <f t="shared" si="68"/>
        <v>78.86</v>
      </c>
      <c r="AM99" s="3">
        <f t="shared" si="68"/>
        <v>0</v>
      </c>
      <c r="AN99" s="3">
        <f t="shared" si="68"/>
        <v>0</v>
      </c>
      <c r="AO99" s="3">
        <f t="shared" si="68"/>
        <v>0</v>
      </c>
      <c r="AP99" s="3">
        <f t="shared" si="68"/>
        <v>0</v>
      </c>
      <c r="AQ99" s="3">
        <f t="shared" si="68"/>
        <v>0</v>
      </c>
      <c r="AR99" s="3">
        <f t="shared" si="68"/>
        <v>352.89</v>
      </c>
      <c r="AS99" s="3">
        <f t="shared" si="68"/>
        <v>352.89</v>
      </c>
      <c r="AT99" s="3">
        <f t="shared" si="68"/>
        <v>0</v>
      </c>
      <c r="AU99" s="3">
        <f aca="true" t="shared" si="69" ref="AU99:BZ99">AU108</f>
        <v>0</v>
      </c>
      <c r="AV99" s="3">
        <f t="shared" si="69"/>
        <v>9.21</v>
      </c>
      <c r="AW99" s="3">
        <f t="shared" si="69"/>
        <v>9.21</v>
      </c>
      <c r="AX99" s="3">
        <f t="shared" si="69"/>
        <v>0</v>
      </c>
      <c r="AY99" s="3">
        <f t="shared" si="69"/>
        <v>9.21</v>
      </c>
      <c r="AZ99" s="3">
        <f t="shared" si="69"/>
        <v>0</v>
      </c>
      <c r="BA99" s="3">
        <f t="shared" si="69"/>
        <v>0</v>
      </c>
      <c r="BB99" s="3">
        <f t="shared" si="69"/>
        <v>0</v>
      </c>
      <c r="BC99" s="3">
        <f t="shared" si="69"/>
        <v>0</v>
      </c>
      <c r="BD99" s="3">
        <f t="shared" si="69"/>
        <v>0</v>
      </c>
      <c r="BE99" s="3">
        <f t="shared" si="69"/>
        <v>0</v>
      </c>
      <c r="BF99" s="3">
        <f t="shared" si="69"/>
        <v>0</v>
      </c>
      <c r="BG99" s="3">
        <f t="shared" si="69"/>
        <v>0</v>
      </c>
      <c r="BH99" s="3">
        <f t="shared" si="69"/>
        <v>0</v>
      </c>
      <c r="BI99" s="3">
        <f t="shared" si="69"/>
        <v>0</v>
      </c>
      <c r="BJ99" s="3">
        <f t="shared" si="69"/>
        <v>0</v>
      </c>
      <c r="BK99" s="3">
        <f t="shared" si="69"/>
        <v>0</v>
      </c>
      <c r="BL99" s="3">
        <f t="shared" si="69"/>
        <v>0</v>
      </c>
      <c r="BM99" s="3">
        <f t="shared" si="69"/>
        <v>0</v>
      </c>
      <c r="BN99" s="3">
        <f t="shared" si="69"/>
        <v>0</v>
      </c>
      <c r="BO99" s="3">
        <f t="shared" si="69"/>
        <v>0</v>
      </c>
      <c r="BP99" s="3">
        <f t="shared" si="69"/>
        <v>0</v>
      </c>
      <c r="BQ99" s="3">
        <f t="shared" si="69"/>
        <v>0</v>
      </c>
      <c r="BR99" s="3">
        <f t="shared" si="69"/>
        <v>0</v>
      </c>
      <c r="BS99" s="3">
        <f t="shared" si="69"/>
        <v>0</v>
      </c>
      <c r="BT99" s="3">
        <f t="shared" si="69"/>
        <v>0</v>
      </c>
      <c r="BU99" s="3">
        <f t="shared" si="69"/>
        <v>0</v>
      </c>
      <c r="BV99" s="3">
        <f t="shared" si="69"/>
        <v>0</v>
      </c>
      <c r="BW99" s="3">
        <f t="shared" si="69"/>
        <v>0</v>
      </c>
      <c r="BX99" s="3">
        <f t="shared" si="69"/>
        <v>0</v>
      </c>
      <c r="BY99" s="3">
        <f t="shared" si="69"/>
        <v>0</v>
      </c>
      <c r="BZ99" s="3">
        <f t="shared" si="69"/>
        <v>0</v>
      </c>
      <c r="CA99" s="3">
        <f aca="true" t="shared" si="70" ref="CA99:DF99">CA108</f>
        <v>352.89</v>
      </c>
      <c r="CB99" s="3">
        <f t="shared" si="70"/>
        <v>352.89</v>
      </c>
      <c r="CC99" s="3">
        <f t="shared" si="70"/>
        <v>0</v>
      </c>
      <c r="CD99" s="3">
        <f t="shared" si="70"/>
        <v>0</v>
      </c>
      <c r="CE99" s="3">
        <f t="shared" si="70"/>
        <v>9.21</v>
      </c>
      <c r="CF99" s="3">
        <f t="shared" si="70"/>
        <v>9.21</v>
      </c>
      <c r="CG99" s="3">
        <f t="shared" si="70"/>
        <v>0</v>
      </c>
      <c r="CH99" s="3">
        <f t="shared" si="70"/>
        <v>9.21</v>
      </c>
      <c r="CI99" s="3">
        <f t="shared" si="70"/>
        <v>0</v>
      </c>
      <c r="CJ99" s="3">
        <f t="shared" si="70"/>
        <v>0</v>
      </c>
      <c r="CK99" s="3">
        <f t="shared" si="70"/>
        <v>0</v>
      </c>
      <c r="CL99" s="3">
        <f t="shared" si="70"/>
        <v>0</v>
      </c>
      <c r="CM99" s="3">
        <f t="shared" si="70"/>
        <v>0</v>
      </c>
      <c r="CN99" s="3">
        <f t="shared" si="70"/>
        <v>0</v>
      </c>
      <c r="CO99" s="3">
        <f t="shared" si="70"/>
        <v>0</v>
      </c>
      <c r="CP99" s="3">
        <f t="shared" si="70"/>
        <v>0</v>
      </c>
      <c r="CQ99" s="3">
        <f t="shared" si="70"/>
        <v>0</v>
      </c>
      <c r="CR99" s="3">
        <f t="shared" si="70"/>
        <v>0</v>
      </c>
      <c r="CS99" s="3">
        <f t="shared" si="70"/>
        <v>0</v>
      </c>
      <c r="CT99" s="3">
        <f t="shared" si="70"/>
        <v>0</v>
      </c>
      <c r="CU99" s="3">
        <f t="shared" si="70"/>
        <v>0</v>
      </c>
      <c r="CV99" s="3">
        <f t="shared" si="70"/>
        <v>0</v>
      </c>
      <c r="CW99" s="3">
        <f t="shared" si="70"/>
        <v>0</v>
      </c>
      <c r="CX99" s="3">
        <f t="shared" si="70"/>
        <v>0</v>
      </c>
      <c r="CY99" s="3">
        <f t="shared" si="70"/>
        <v>0</v>
      </c>
      <c r="CZ99" s="3">
        <f t="shared" si="70"/>
        <v>0</v>
      </c>
      <c r="DA99" s="3">
        <f t="shared" si="70"/>
        <v>0</v>
      </c>
      <c r="DB99" s="3">
        <f t="shared" si="70"/>
        <v>0</v>
      </c>
      <c r="DC99" s="3">
        <f t="shared" si="70"/>
        <v>0</v>
      </c>
      <c r="DD99" s="3">
        <f t="shared" si="70"/>
        <v>0</v>
      </c>
      <c r="DE99" s="3">
        <f t="shared" si="70"/>
        <v>0</v>
      </c>
      <c r="DF99" s="3">
        <f t="shared" si="70"/>
        <v>0</v>
      </c>
      <c r="DG99" s="4">
        <f aca="true" t="shared" si="71" ref="DG99:EL99">DG108</f>
        <v>4630.14</v>
      </c>
      <c r="DH99" s="4">
        <f t="shared" si="71"/>
        <v>62.83</v>
      </c>
      <c r="DI99" s="4">
        <f t="shared" si="71"/>
        <v>193.48</v>
      </c>
      <c r="DJ99" s="4">
        <f t="shared" si="71"/>
        <v>118.69</v>
      </c>
      <c r="DK99" s="4">
        <f t="shared" si="71"/>
        <v>4373.83</v>
      </c>
      <c r="DL99" s="4">
        <f t="shared" si="71"/>
        <v>0</v>
      </c>
      <c r="DM99" s="4">
        <f t="shared" si="71"/>
        <v>14.1323</v>
      </c>
      <c r="DN99" s="4">
        <f t="shared" si="71"/>
        <v>0.24780000000000002</v>
      </c>
      <c r="DO99" s="4">
        <f t="shared" si="71"/>
        <v>0</v>
      </c>
      <c r="DP99" s="4">
        <f t="shared" si="71"/>
        <v>5289.69</v>
      </c>
      <c r="DQ99" s="4">
        <f t="shared" si="71"/>
        <v>3043.36</v>
      </c>
      <c r="DR99" s="4">
        <f t="shared" si="71"/>
        <v>0</v>
      </c>
      <c r="DS99" s="4">
        <f t="shared" si="71"/>
        <v>0</v>
      </c>
      <c r="DT99" s="4">
        <f t="shared" si="71"/>
        <v>4630.14</v>
      </c>
      <c r="DU99" s="4">
        <f t="shared" si="71"/>
        <v>62.83</v>
      </c>
      <c r="DV99" s="4">
        <f t="shared" si="71"/>
        <v>193.48</v>
      </c>
      <c r="DW99" s="4">
        <f t="shared" si="71"/>
        <v>118.69</v>
      </c>
      <c r="DX99" s="4">
        <f t="shared" si="71"/>
        <v>4373.83</v>
      </c>
      <c r="DY99" s="4">
        <f t="shared" si="71"/>
        <v>0</v>
      </c>
      <c r="DZ99" s="4">
        <f t="shared" si="71"/>
        <v>14.1323</v>
      </c>
      <c r="EA99" s="4">
        <f t="shared" si="71"/>
        <v>0.24780000000000002</v>
      </c>
      <c r="EB99" s="4">
        <f t="shared" si="71"/>
        <v>0</v>
      </c>
      <c r="EC99" s="4">
        <f t="shared" si="71"/>
        <v>5289.69</v>
      </c>
      <c r="ED99" s="4">
        <f t="shared" si="71"/>
        <v>3043.36</v>
      </c>
      <c r="EE99" s="4">
        <f t="shared" si="71"/>
        <v>0</v>
      </c>
      <c r="EF99" s="4">
        <f t="shared" si="71"/>
        <v>0</v>
      </c>
      <c r="EG99" s="4">
        <f t="shared" si="71"/>
        <v>0</v>
      </c>
      <c r="EH99" s="4">
        <f t="shared" si="71"/>
        <v>0</v>
      </c>
      <c r="EI99" s="4">
        <f t="shared" si="71"/>
        <v>0</v>
      </c>
      <c r="EJ99" s="4">
        <f t="shared" si="71"/>
        <v>12963.19</v>
      </c>
      <c r="EK99" s="4">
        <f t="shared" si="71"/>
        <v>12963.19</v>
      </c>
      <c r="EL99" s="4">
        <f t="shared" si="71"/>
        <v>0</v>
      </c>
      <c r="EM99" s="4">
        <f aca="true" t="shared" si="72" ref="EM99:FR99">EM108</f>
        <v>0</v>
      </c>
      <c r="EN99" s="4">
        <f t="shared" si="72"/>
        <v>62.83</v>
      </c>
      <c r="EO99" s="4">
        <f t="shared" si="72"/>
        <v>62.83</v>
      </c>
      <c r="EP99" s="4">
        <f t="shared" si="72"/>
        <v>0</v>
      </c>
      <c r="EQ99" s="4">
        <f t="shared" si="72"/>
        <v>62.83</v>
      </c>
      <c r="ER99" s="4">
        <f t="shared" si="72"/>
        <v>0</v>
      </c>
      <c r="ES99" s="4">
        <f t="shared" si="72"/>
        <v>0</v>
      </c>
      <c r="ET99" s="4">
        <f t="shared" si="72"/>
        <v>0</v>
      </c>
      <c r="EU99" s="4">
        <f t="shared" si="72"/>
        <v>0</v>
      </c>
      <c r="EV99" s="4">
        <f t="shared" si="72"/>
        <v>0</v>
      </c>
      <c r="EW99" s="4">
        <f t="shared" si="72"/>
        <v>0</v>
      </c>
      <c r="EX99" s="4">
        <f t="shared" si="72"/>
        <v>0</v>
      </c>
      <c r="EY99" s="4">
        <f t="shared" si="72"/>
        <v>0</v>
      </c>
      <c r="EZ99" s="4">
        <f t="shared" si="72"/>
        <v>0</v>
      </c>
      <c r="FA99" s="4">
        <f t="shared" si="72"/>
        <v>0</v>
      </c>
      <c r="FB99" s="4">
        <f t="shared" si="72"/>
        <v>0</v>
      </c>
      <c r="FC99" s="4">
        <f t="shared" si="72"/>
        <v>0</v>
      </c>
      <c r="FD99" s="4">
        <f t="shared" si="72"/>
        <v>0</v>
      </c>
      <c r="FE99" s="4">
        <f t="shared" si="72"/>
        <v>0</v>
      </c>
      <c r="FF99" s="4">
        <f t="shared" si="72"/>
        <v>0</v>
      </c>
      <c r="FG99" s="4">
        <f t="shared" si="72"/>
        <v>0</v>
      </c>
      <c r="FH99" s="4">
        <f t="shared" si="72"/>
        <v>0</v>
      </c>
      <c r="FI99" s="4">
        <f t="shared" si="72"/>
        <v>0</v>
      </c>
      <c r="FJ99" s="4">
        <f t="shared" si="72"/>
        <v>0</v>
      </c>
      <c r="FK99" s="4">
        <f t="shared" si="72"/>
        <v>0</v>
      </c>
      <c r="FL99" s="4">
        <f t="shared" si="72"/>
        <v>0</v>
      </c>
      <c r="FM99" s="4">
        <f t="shared" si="72"/>
        <v>0</v>
      </c>
      <c r="FN99" s="4">
        <f t="shared" si="72"/>
        <v>0</v>
      </c>
      <c r="FO99" s="4">
        <f t="shared" si="72"/>
        <v>0</v>
      </c>
      <c r="FP99" s="4">
        <f t="shared" si="72"/>
        <v>0</v>
      </c>
      <c r="FQ99" s="4">
        <f t="shared" si="72"/>
        <v>0</v>
      </c>
      <c r="FR99" s="4">
        <f t="shared" si="72"/>
        <v>0</v>
      </c>
      <c r="FS99" s="4">
        <f aca="true" t="shared" si="73" ref="FS99:GX99">FS108</f>
        <v>12963.19</v>
      </c>
      <c r="FT99" s="4">
        <f t="shared" si="73"/>
        <v>12963.19</v>
      </c>
      <c r="FU99" s="4">
        <f t="shared" si="73"/>
        <v>0</v>
      </c>
      <c r="FV99" s="4">
        <f t="shared" si="73"/>
        <v>0</v>
      </c>
      <c r="FW99" s="4">
        <f t="shared" si="73"/>
        <v>62.83</v>
      </c>
      <c r="FX99" s="4">
        <f t="shared" si="73"/>
        <v>62.83</v>
      </c>
      <c r="FY99" s="4">
        <f t="shared" si="73"/>
        <v>0</v>
      </c>
      <c r="FZ99" s="4">
        <f t="shared" si="73"/>
        <v>62.83</v>
      </c>
      <c r="GA99" s="4">
        <f t="shared" si="73"/>
        <v>0</v>
      </c>
      <c r="GB99" s="4">
        <f t="shared" si="73"/>
        <v>0</v>
      </c>
      <c r="GC99" s="4">
        <f t="shared" si="73"/>
        <v>0</v>
      </c>
      <c r="GD99" s="4">
        <f t="shared" si="73"/>
        <v>0</v>
      </c>
      <c r="GE99" s="4">
        <f t="shared" si="73"/>
        <v>0</v>
      </c>
      <c r="GF99" s="4">
        <f t="shared" si="73"/>
        <v>0</v>
      </c>
      <c r="GG99" s="4">
        <f t="shared" si="73"/>
        <v>0</v>
      </c>
      <c r="GH99" s="4">
        <f t="shared" si="73"/>
        <v>0</v>
      </c>
      <c r="GI99" s="4">
        <f t="shared" si="73"/>
        <v>0</v>
      </c>
      <c r="GJ99" s="4">
        <f t="shared" si="73"/>
        <v>0</v>
      </c>
      <c r="GK99" s="4">
        <f t="shared" si="73"/>
        <v>0</v>
      </c>
      <c r="GL99" s="4">
        <f t="shared" si="73"/>
        <v>0</v>
      </c>
      <c r="GM99" s="4">
        <f t="shared" si="73"/>
        <v>0</v>
      </c>
      <c r="GN99" s="4">
        <f t="shared" si="73"/>
        <v>0</v>
      </c>
      <c r="GO99" s="4">
        <f t="shared" si="73"/>
        <v>0</v>
      </c>
      <c r="GP99" s="4">
        <f t="shared" si="73"/>
        <v>0</v>
      </c>
      <c r="GQ99" s="4">
        <f t="shared" si="73"/>
        <v>0</v>
      </c>
      <c r="GR99" s="4">
        <f t="shared" si="73"/>
        <v>0</v>
      </c>
      <c r="GS99" s="4">
        <f t="shared" si="73"/>
        <v>0</v>
      </c>
      <c r="GT99" s="4">
        <f t="shared" si="73"/>
        <v>0</v>
      </c>
      <c r="GU99" s="4">
        <f t="shared" si="73"/>
        <v>0</v>
      </c>
      <c r="GV99" s="4">
        <f t="shared" si="73"/>
        <v>0</v>
      </c>
      <c r="GW99" s="4">
        <f t="shared" si="73"/>
        <v>0</v>
      </c>
      <c r="GX99" s="4">
        <f t="shared" si="73"/>
        <v>0</v>
      </c>
    </row>
    <row r="101" spans="1:255" ht="12.75">
      <c r="A101" s="2">
        <v>17</v>
      </c>
      <c r="B101" s="2">
        <v>1</v>
      </c>
      <c r="C101" s="2">
        <f>ROW(SmtRes!A71)</f>
        <v>71</v>
      </c>
      <c r="D101" s="2">
        <f>ROW(EtalonRes!A50)</f>
        <v>50</v>
      </c>
      <c r="E101" s="2" t="s">
        <v>156</v>
      </c>
      <c r="F101" s="2" t="s">
        <v>157</v>
      </c>
      <c r="G101" s="2" t="s">
        <v>158</v>
      </c>
      <c r="H101" s="2" t="s">
        <v>159</v>
      </c>
      <c r="I101" s="2">
        <f>ROUND(7/100,7)</f>
        <v>0.07</v>
      </c>
      <c r="J101" s="2">
        <v>0</v>
      </c>
      <c r="K101" s="2">
        <f>ROUND(7/100,7)</f>
        <v>0.07</v>
      </c>
      <c r="L101" s="2"/>
      <c r="M101" s="2"/>
      <c r="N101" s="2"/>
      <c r="O101" s="2">
        <f aca="true" t="shared" si="74" ref="O101:O106">ROUND(CP101,2)</f>
        <v>37.2</v>
      </c>
      <c r="P101" s="2">
        <f aca="true" t="shared" si="75" ref="P101:P106">ROUND(CQ101*I101,2)</f>
        <v>0</v>
      </c>
      <c r="Q101" s="2">
        <f aca="true" t="shared" si="76" ref="Q101:Q106">ROUND(CR101*I101,2)</f>
        <v>10.6</v>
      </c>
      <c r="R101" s="2">
        <f aca="true" t="shared" si="77" ref="R101:R106">ROUND(CS101*I101,2)</f>
        <v>2.55</v>
      </c>
      <c r="S101" s="2">
        <f aca="true" t="shared" si="78" ref="S101:S106">ROUND(CT101*I101,2)</f>
        <v>26.6</v>
      </c>
      <c r="T101" s="2">
        <f aca="true" t="shared" si="79" ref="T101:T106">ROUND(CU101*I101,2)</f>
        <v>0</v>
      </c>
      <c r="U101" s="2">
        <f aca="true" t="shared" si="80" ref="U101:U106">CV101*I101</f>
        <v>3.3173000000000004</v>
      </c>
      <c r="V101" s="2">
        <f aca="true" t="shared" si="81" ref="V101:V106">CW101*I101</f>
        <v>0.2058</v>
      </c>
      <c r="W101" s="2">
        <f aca="true" t="shared" si="82" ref="W101:W106">ROUND(CX101*I101,2)</f>
        <v>0</v>
      </c>
      <c r="X101" s="2">
        <f aca="true" t="shared" si="83" ref="X101:Y106">ROUND(CY101,2)</f>
        <v>31.48</v>
      </c>
      <c r="Y101" s="2">
        <f t="shared" si="83"/>
        <v>16.03</v>
      </c>
      <c r="Z101" s="2"/>
      <c r="AA101" s="2">
        <v>55722483</v>
      </c>
      <c r="AB101" s="2">
        <f aca="true" t="shared" si="84" ref="AB101:AB106">ROUND((AC101+AD101+AF101),2)</f>
        <v>531.54</v>
      </c>
      <c r="AC101" s="2">
        <f>ROUND(((ES101*ROUND(0,7))),2)</f>
        <v>0</v>
      </c>
      <c r="AD101" s="2">
        <f>ROUND(((((ET101*ROUND(0.7,7)))-((EU101*ROUND(0.7,7))))+AE101),2)</f>
        <v>151.47</v>
      </c>
      <c r="AE101" s="2">
        <f>ROUND(((EU101*ROUND(0.7,7))),2)</f>
        <v>36.41</v>
      </c>
      <c r="AF101" s="2">
        <f>ROUND(((EV101*ROUND(0.7,7))),2)</f>
        <v>380.07</v>
      </c>
      <c r="AG101" s="2">
        <f aca="true" t="shared" si="85" ref="AG101:AG106">ROUND((AP101),2)</f>
        <v>0</v>
      </c>
      <c r="AH101" s="2">
        <f>((EW101*ROUND(0.7,7)))</f>
        <v>47.39</v>
      </c>
      <c r="AI101" s="2">
        <f>((EX101*ROUND(0.7,7)))</f>
        <v>2.94</v>
      </c>
      <c r="AJ101" s="2">
        <f aca="true" t="shared" si="86" ref="AJ101:AJ106">(AS101)</f>
        <v>0</v>
      </c>
      <c r="AK101" s="2">
        <v>2392.69</v>
      </c>
      <c r="AL101" s="2">
        <v>1633.36</v>
      </c>
      <c r="AM101" s="2">
        <v>216.38</v>
      </c>
      <c r="AN101" s="2">
        <v>52.01</v>
      </c>
      <c r="AO101" s="2">
        <v>542.95</v>
      </c>
      <c r="AP101" s="2">
        <v>0</v>
      </c>
      <c r="AQ101" s="2">
        <v>67.7</v>
      </c>
      <c r="AR101" s="2">
        <v>4.2</v>
      </c>
      <c r="AS101" s="2">
        <v>0</v>
      </c>
      <c r="AT101" s="2">
        <v>108</v>
      </c>
      <c r="AU101" s="2">
        <v>55</v>
      </c>
      <c r="AV101" s="2">
        <v>1</v>
      </c>
      <c r="AW101" s="2">
        <v>1</v>
      </c>
      <c r="AX101" s="2"/>
      <c r="AY101" s="2"/>
      <c r="AZ101" s="2">
        <v>1</v>
      </c>
      <c r="BA101" s="2">
        <v>1</v>
      </c>
      <c r="BB101" s="2">
        <v>1</v>
      </c>
      <c r="BC101" s="2">
        <v>1</v>
      </c>
      <c r="BD101" s="2" t="s">
        <v>3</v>
      </c>
      <c r="BE101" s="2" t="s">
        <v>3</v>
      </c>
      <c r="BF101" s="2" t="s">
        <v>3</v>
      </c>
      <c r="BG101" s="2" t="s">
        <v>3</v>
      </c>
      <c r="BH101" s="2">
        <v>0</v>
      </c>
      <c r="BI101" s="2">
        <v>1</v>
      </c>
      <c r="BJ101" s="2" t="s">
        <v>160</v>
      </c>
      <c r="BK101" s="2"/>
      <c r="BL101" s="2"/>
      <c r="BM101" s="2">
        <v>10001</v>
      </c>
      <c r="BN101" s="2">
        <v>0</v>
      </c>
      <c r="BO101" s="2" t="s">
        <v>3</v>
      </c>
      <c r="BP101" s="2">
        <v>0</v>
      </c>
      <c r="BQ101" s="2">
        <v>2</v>
      </c>
      <c r="BR101" s="2">
        <v>0</v>
      </c>
      <c r="BS101" s="2">
        <v>1</v>
      </c>
      <c r="BT101" s="2">
        <v>1</v>
      </c>
      <c r="BU101" s="2">
        <v>1</v>
      </c>
      <c r="BV101" s="2">
        <v>1</v>
      </c>
      <c r="BW101" s="2">
        <v>1</v>
      </c>
      <c r="BX101" s="2">
        <v>1</v>
      </c>
      <c r="BY101" s="2" t="s">
        <v>3</v>
      </c>
      <c r="BZ101" s="2">
        <v>108</v>
      </c>
      <c r="CA101" s="2">
        <v>55</v>
      </c>
      <c r="CB101" s="2" t="s">
        <v>3</v>
      </c>
      <c r="CC101" s="2"/>
      <c r="CD101" s="2"/>
      <c r="CE101" s="2">
        <v>0</v>
      </c>
      <c r="CF101" s="2">
        <v>0</v>
      </c>
      <c r="CG101" s="2">
        <v>0</v>
      </c>
      <c r="CH101" s="2"/>
      <c r="CI101" s="2"/>
      <c r="CJ101" s="2"/>
      <c r="CK101" s="2"/>
      <c r="CL101" s="2"/>
      <c r="CM101" s="2">
        <v>0</v>
      </c>
      <c r="CN101" s="2" t="s">
        <v>161</v>
      </c>
      <c r="CO101" s="2">
        <v>0</v>
      </c>
      <c r="CP101" s="2">
        <f aca="true" t="shared" si="87" ref="CP101:CP106">(P101+Q101+S101)</f>
        <v>37.2</v>
      </c>
      <c r="CQ101" s="2">
        <f aca="true" t="shared" si="88" ref="CQ101:CQ106">AC101*BC101</f>
        <v>0</v>
      </c>
      <c r="CR101" s="2">
        <f>((((ET101*ROUND(0.7,7)))*BB101-((EU101*ROUND(0.7,7)))*BS101)+AE101*BS101)</f>
        <v>151.469</v>
      </c>
      <c r="CS101" s="2">
        <f aca="true" t="shared" si="89" ref="CS101:CS106">AE101*BS101</f>
        <v>36.41</v>
      </c>
      <c r="CT101" s="2">
        <f aca="true" t="shared" si="90" ref="CT101:CT106">AF101*BA101</f>
        <v>380.07</v>
      </c>
      <c r="CU101" s="2">
        <f aca="true" t="shared" si="91" ref="CU101:CX106">AG101</f>
        <v>0</v>
      </c>
      <c r="CV101" s="2">
        <f t="shared" si="91"/>
        <v>47.39</v>
      </c>
      <c r="CW101" s="2">
        <f t="shared" si="91"/>
        <v>2.94</v>
      </c>
      <c r="CX101" s="2">
        <f t="shared" si="91"/>
        <v>0</v>
      </c>
      <c r="CY101" s="2">
        <f aca="true" t="shared" si="92" ref="CY101:CY106">(((S101+R101)*AT101)/100)</f>
        <v>31.482000000000003</v>
      </c>
      <c r="CZ101" s="2">
        <f aca="true" t="shared" si="93" ref="CZ101:CZ106">(((S101+R101)*AU101)/100)</f>
        <v>16.032500000000002</v>
      </c>
      <c r="DA101" s="2"/>
      <c r="DB101" s="2"/>
      <c r="DC101" s="2" t="s">
        <v>3</v>
      </c>
      <c r="DD101" s="2" t="s">
        <v>162</v>
      </c>
      <c r="DE101" s="2" t="s">
        <v>163</v>
      </c>
      <c r="DF101" s="2" t="s">
        <v>163</v>
      </c>
      <c r="DG101" s="2" t="s">
        <v>163</v>
      </c>
      <c r="DH101" s="2" t="s">
        <v>3</v>
      </c>
      <c r="DI101" s="2" t="s">
        <v>163</v>
      </c>
      <c r="DJ101" s="2" t="s">
        <v>163</v>
      </c>
      <c r="DK101" s="2" t="s">
        <v>3</v>
      </c>
      <c r="DL101" s="2" t="s">
        <v>3</v>
      </c>
      <c r="DM101" s="2" t="s">
        <v>3</v>
      </c>
      <c r="DN101" s="2">
        <v>0</v>
      </c>
      <c r="DO101" s="2">
        <v>0</v>
      </c>
      <c r="DP101" s="2">
        <v>1</v>
      </c>
      <c r="DQ101" s="2">
        <v>1</v>
      </c>
      <c r="DR101" s="2"/>
      <c r="DS101" s="2"/>
      <c r="DT101" s="2"/>
      <c r="DU101" s="2">
        <v>1013</v>
      </c>
      <c r="DV101" s="2" t="s">
        <v>159</v>
      </c>
      <c r="DW101" s="2" t="s">
        <v>159</v>
      </c>
      <c r="DX101" s="2">
        <v>1</v>
      </c>
      <c r="DY101" s="2"/>
      <c r="DZ101" s="2" t="s">
        <v>3</v>
      </c>
      <c r="EA101" s="2" t="s">
        <v>3</v>
      </c>
      <c r="EB101" s="2" t="s">
        <v>3</v>
      </c>
      <c r="EC101" s="2" t="s">
        <v>3</v>
      </c>
      <c r="ED101" s="2"/>
      <c r="EE101" s="2">
        <v>55471661</v>
      </c>
      <c r="EF101" s="2">
        <v>2</v>
      </c>
      <c r="EG101" s="2" t="s">
        <v>45</v>
      </c>
      <c r="EH101" s="2">
        <v>10</v>
      </c>
      <c r="EI101" s="2" t="s">
        <v>164</v>
      </c>
      <c r="EJ101" s="2">
        <v>1</v>
      </c>
      <c r="EK101" s="2">
        <v>10001</v>
      </c>
      <c r="EL101" s="2" t="s">
        <v>164</v>
      </c>
      <c r="EM101" s="2" t="s">
        <v>165</v>
      </c>
      <c r="EN101" s="2"/>
      <c r="EO101" s="2" t="s">
        <v>166</v>
      </c>
      <c r="EP101" s="2"/>
      <c r="EQ101" s="2">
        <v>0</v>
      </c>
      <c r="ER101" s="2">
        <v>2392.69</v>
      </c>
      <c r="ES101" s="2">
        <v>1633.36</v>
      </c>
      <c r="ET101" s="2">
        <v>216.38</v>
      </c>
      <c r="EU101" s="2">
        <v>52.01</v>
      </c>
      <c r="EV101" s="2">
        <v>542.95</v>
      </c>
      <c r="EW101" s="2">
        <v>67.7</v>
      </c>
      <c r="EX101" s="2">
        <v>4.2</v>
      </c>
      <c r="EY101" s="2">
        <v>0</v>
      </c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>
        <v>0</v>
      </c>
      <c r="FR101" s="2">
        <f aca="true" t="shared" si="94" ref="FR101:FR106">ROUND(IF(AND(BH101=3,BI101=3),P101,0),2)</f>
        <v>0</v>
      </c>
      <c r="FS101" s="2">
        <v>0</v>
      </c>
      <c r="FT101" s="2"/>
      <c r="FU101" s="2"/>
      <c r="FV101" s="2"/>
      <c r="FW101" s="2"/>
      <c r="FX101" s="2">
        <v>108</v>
      </c>
      <c r="FY101" s="2">
        <v>55</v>
      </c>
      <c r="FZ101" s="2"/>
      <c r="GA101" s="2" t="s">
        <v>3</v>
      </c>
      <c r="GB101" s="2"/>
      <c r="GC101" s="2"/>
      <c r="GD101" s="2">
        <v>1</v>
      </c>
      <c r="GE101" s="2"/>
      <c r="GF101" s="2">
        <v>-569254164</v>
      </c>
      <c r="GG101" s="2">
        <v>2</v>
      </c>
      <c r="GH101" s="2">
        <v>1</v>
      </c>
      <c r="GI101" s="2">
        <v>-2</v>
      </c>
      <c r="GJ101" s="2">
        <v>0</v>
      </c>
      <c r="GK101" s="2">
        <v>0</v>
      </c>
      <c r="GL101" s="2">
        <f aca="true" t="shared" si="95" ref="GL101:GL106">ROUND(IF(AND(BH101=3,BI101=3,FS101&lt;&gt;0),P101,0),2)</f>
        <v>0</v>
      </c>
      <c r="GM101" s="2">
        <f aca="true" t="shared" si="96" ref="GM101:GM106">ROUND(O101+X101+Y101,2)+GX101</f>
        <v>84.71</v>
      </c>
      <c r="GN101" s="2">
        <f aca="true" t="shared" si="97" ref="GN101:GN106">IF(OR(BI101=0,BI101=1),ROUND(O101+X101+Y101,2),0)</f>
        <v>84.71</v>
      </c>
      <c r="GO101" s="2">
        <f aca="true" t="shared" si="98" ref="GO101:GO106">IF(BI101=2,ROUND(O101+X101+Y101,2),0)</f>
        <v>0</v>
      </c>
      <c r="GP101" s="2">
        <f aca="true" t="shared" si="99" ref="GP101:GP106">IF(BI101=4,ROUND(O101+X101+Y101,2)+GX101,0)</f>
        <v>0</v>
      </c>
      <c r="GQ101" s="2"/>
      <c r="GR101" s="2">
        <v>0</v>
      </c>
      <c r="GS101" s="2">
        <v>3</v>
      </c>
      <c r="GT101" s="2">
        <v>0</v>
      </c>
      <c r="GU101" s="2" t="s">
        <v>3</v>
      </c>
      <c r="GV101" s="2">
        <f aca="true" t="shared" si="100" ref="GV101:GV106">ROUND((GT101),2)</f>
        <v>0</v>
      </c>
      <c r="GW101" s="2">
        <v>1</v>
      </c>
      <c r="GX101" s="2">
        <f aca="true" t="shared" si="101" ref="GX101:GX106">ROUND(HC101*I101,2)</f>
        <v>0</v>
      </c>
      <c r="GY101" s="2"/>
      <c r="GZ101" s="2"/>
      <c r="HA101" s="2">
        <v>0</v>
      </c>
      <c r="HB101" s="2">
        <v>0</v>
      </c>
      <c r="HC101" s="2">
        <f aca="true" t="shared" si="102" ref="HC101:HC106">GV101*GW101</f>
        <v>0</v>
      </c>
      <c r="HD101" s="2"/>
      <c r="HE101" s="2" t="s">
        <v>3</v>
      </c>
      <c r="HF101" s="2" t="s">
        <v>3</v>
      </c>
      <c r="HG101" s="2"/>
      <c r="HH101" s="2"/>
      <c r="HI101" s="2"/>
      <c r="HJ101" s="2"/>
      <c r="HK101" s="2"/>
      <c r="HL101" s="2"/>
      <c r="HM101" s="2" t="s">
        <v>3</v>
      </c>
      <c r="HN101" s="2" t="s">
        <v>167</v>
      </c>
      <c r="HO101" s="2" t="s">
        <v>168</v>
      </c>
      <c r="HP101" s="2" t="s">
        <v>164</v>
      </c>
      <c r="HQ101" s="2" t="s">
        <v>164</v>
      </c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>
        <v>0</v>
      </c>
      <c r="IL101" s="2"/>
      <c r="IM101" s="2"/>
      <c r="IN101" s="2"/>
      <c r="IO101" s="2"/>
      <c r="IP101" s="2"/>
      <c r="IQ101" s="2"/>
      <c r="IR101" s="2"/>
      <c r="IS101" s="2"/>
      <c r="IT101" s="2"/>
      <c r="IU101" s="2"/>
    </row>
    <row r="102" spans="1:245" ht="12.75">
      <c r="A102">
        <v>17</v>
      </c>
      <c r="B102">
        <v>1</v>
      </c>
      <c r="C102">
        <f>ROW(SmtRes!A78)</f>
        <v>78</v>
      </c>
      <c r="D102">
        <f>ROW(EtalonRes!A58)</f>
        <v>58</v>
      </c>
      <c r="E102" t="s">
        <v>156</v>
      </c>
      <c r="F102" t="s">
        <v>157</v>
      </c>
      <c r="G102" t="s">
        <v>158</v>
      </c>
      <c r="H102" t="s">
        <v>159</v>
      </c>
      <c r="I102">
        <f>ROUND(7/100,7)</f>
        <v>0.07</v>
      </c>
      <c r="J102">
        <v>0</v>
      </c>
      <c r="K102">
        <f>ROUND(7/100,7)</f>
        <v>0.07</v>
      </c>
      <c r="O102">
        <f t="shared" si="74"/>
        <v>1169.08</v>
      </c>
      <c r="P102">
        <f t="shared" si="75"/>
        <v>0</v>
      </c>
      <c r="Q102">
        <f t="shared" si="76"/>
        <v>142.4</v>
      </c>
      <c r="R102">
        <f t="shared" si="77"/>
        <v>98.35</v>
      </c>
      <c r="S102">
        <f t="shared" si="78"/>
        <v>1026.68</v>
      </c>
      <c r="T102">
        <f t="shared" si="79"/>
        <v>0</v>
      </c>
      <c r="U102">
        <f t="shared" si="80"/>
        <v>3.3173000000000004</v>
      </c>
      <c r="V102">
        <f t="shared" si="81"/>
        <v>0.2058</v>
      </c>
      <c r="W102">
        <f t="shared" si="82"/>
        <v>0</v>
      </c>
      <c r="X102">
        <f t="shared" si="83"/>
        <v>1215.03</v>
      </c>
      <c r="Y102">
        <f t="shared" si="83"/>
        <v>618.77</v>
      </c>
      <c r="AA102">
        <v>55722484</v>
      </c>
      <c r="AB102">
        <f t="shared" si="84"/>
        <v>531.54</v>
      </c>
      <c r="AC102">
        <f>ROUND(((ES102*ROUND(0,7))),2)</f>
        <v>0</v>
      </c>
      <c r="AD102">
        <f>ROUND(((((ET102*ROUND(0.7,7)))-((EU102*ROUND(0.7,7))))+AE102),2)</f>
        <v>151.47</v>
      </c>
      <c r="AE102">
        <f>ROUND(((EU102*ROUND(0.7,7))),2)</f>
        <v>36.41</v>
      </c>
      <c r="AF102">
        <f>ROUND(((EV102*ROUND(0.7,7))),2)</f>
        <v>380.07</v>
      </c>
      <c r="AG102">
        <f t="shared" si="85"/>
        <v>0</v>
      </c>
      <c r="AH102">
        <f>((EW102*ROUND(0.7,7)))</f>
        <v>47.39</v>
      </c>
      <c r="AI102">
        <f>((EX102*ROUND(0.7,7)))</f>
        <v>2.94</v>
      </c>
      <c r="AJ102">
        <f t="shared" si="86"/>
        <v>0</v>
      </c>
      <c r="AK102">
        <v>2392.69</v>
      </c>
      <c r="AL102">
        <v>1633.36</v>
      </c>
      <c r="AM102">
        <v>216.38</v>
      </c>
      <c r="AN102">
        <v>52.01</v>
      </c>
      <c r="AO102">
        <v>542.95</v>
      </c>
      <c r="AP102">
        <v>0</v>
      </c>
      <c r="AQ102">
        <v>67.7</v>
      </c>
      <c r="AR102">
        <v>4.2</v>
      </c>
      <c r="AS102">
        <v>0</v>
      </c>
      <c r="AT102">
        <v>108</v>
      </c>
      <c r="AU102">
        <v>55</v>
      </c>
      <c r="AV102">
        <v>1</v>
      </c>
      <c r="AW102">
        <v>1</v>
      </c>
      <c r="AZ102">
        <v>1</v>
      </c>
      <c r="BA102">
        <v>38.59</v>
      </c>
      <c r="BB102">
        <v>13.43</v>
      </c>
      <c r="BC102">
        <v>6.82</v>
      </c>
      <c r="BH102">
        <v>0</v>
      </c>
      <c r="BI102">
        <v>1</v>
      </c>
      <c r="BJ102" t="s">
        <v>160</v>
      </c>
      <c r="BM102">
        <v>10001</v>
      </c>
      <c r="BN102">
        <v>0</v>
      </c>
      <c r="BO102" t="s">
        <v>32</v>
      </c>
      <c r="BP102">
        <v>1</v>
      </c>
      <c r="BQ102">
        <v>2</v>
      </c>
      <c r="BR102">
        <v>0</v>
      </c>
      <c r="BS102">
        <v>38.59</v>
      </c>
      <c r="BT102">
        <v>1</v>
      </c>
      <c r="BU102">
        <v>1</v>
      </c>
      <c r="BV102">
        <v>1</v>
      </c>
      <c r="BW102">
        <v>1</v>
      </c>
      <c r="BX102">
        <v>1</v>
      </c>
      <c r="BZ102">
        <v>108</v>
      </c>
      <c r="CA102">
        <v>55</v>
      </c>
      <c r="CE102">
        <v>0</v>
      </c>
      <c r="CF102">
        <v>0</v>
      </c>
      <c r="CG102">
        <v>0</v>
      </c>
      <c r="CM102">
        <v>0</v>
      </c>
      <c r="CN102" t="s">
        <v>161</v>
      </c>
      <c r="CO102">
        <v>0</v>
      </c>
      <c r="CP102">
        <f t="shared" si="87"/>
        <v>1169.0800000000002</v>
      </c>
      <c r="CQ102">
        <f t="shared" si="88"/>
        <v>0</v>
      </c>
      <c r="CR102">
        <f>((((ET102*ROUND(0.7,7)))*BB102-((EU102*ROUND(0.7,7)))*BS102)+AE102*BS102)</f>
        <v>2034.3041499999995</v>
      </c>
      <c r="CS102">
        <f t="shared" si="89"/>
        <v>1405.0619</v>
      </c>
      <c r="CT102">
        <f t="shared" si="90"/>
        <v>14666.901300000001</v>
      </c>
      <c r="CU102">
        <f t="shared" si="91"/>
        <v>0</v>
      </c>
      <c r="CV102">
        <f t="shared" si="91"/>
        <v>47.39</v>
      </c>
      <c r="CW102">
        <f t="shared" si="91"/>
        <v>2.94</v>
      </c>
      <c r="CX102">
        <f t="shared" si="91"/>
        <v>0</v>
      </c>
      <c r="CY102">
        <f t="shared" si="92"/>
        <v>1215.0323999999998</v>
      </c>
      <c r="CZ102">
        <f t="shared" si="93"/>
        <v>618.7665000000001</v>
      </c>
      <c r="DD102" t="s">
        <v>162</v>
      </c>
      <c r="DE102" t="s">
        <v>163</v>
      </c>
      <c r="DF102" t="s">
        <v>163</v>
      </c>
      <c r="DG102" t="s">
        <v>163</v>
      </c>
      <c r="DI102" t="s">
        <v>163</v>
      </c>
      <c r="DJ102" t="s">
        <v>163</v>
      </c>
      <c r="DN102">
        <v>0</v>
      </c>
      <c r="DO102">
        <v>0</v>
      </c>
      <c r="DP102">
        <v>1</v>
      </c>
      <c r="DQ102">
        <v>1</v>
      </c>
      <c r="DU102">
        <v>1013</v>
      </c>
      <c r="DV102" t="s">
        <v>159</v>
      </c>
      <c r="DW102" t="s">
        <v>159</v>
      </c>
      <c r="DX102">
        <v>1</v>
      </c>
      <c r="EE102">
        <v>55471661</v>
      </c>
      <c r="EF102">
        <v>2</v>
      </c>
      <c r="EG102" t="s">
        <v>45</v>
      </c>
      <c r="EH102">
        <v>10</v>
      </c>
      <c r="EI102" t="s">
        <v>164</v>
      </c>
      <c r="EJ102">
        <v>1</v>
      </c>
      <c r="EK102">
        <v>10001</v>
      </c>
      <c r="EL102" t="s">
        <v>164</v>
      </c>
      <c r="EM102" t="s">
        <v>165</v>
      </c>
      <c r="EO102" t="s">
        <v>166</v>
      </c>
      <c r="EQ102">
        <v>0</v>
      </c>
      <c r="ER102">
        <v>2392.69</v>
      </c>
      <c r="ES102">
        <v>1633.36</v>
      </c>
      <c r="ET102">
        <v>216.38</v>
      </c>
      <c r="EU102">
        <v>52.01</v>
      </c>
      <c r="EV102">
        <v>542.95</v>
      </c>
      <c r="EW102">
        <v>67.7</v>
      </c>
      <c r="EX102">
        <v>4.2</v>
      </c>
      <c r="EY102">
        <v>0</v>
      </c>
      <c r="FQ102">
        <v>0</v>
      </c>
      <c r="FR102">
        <f t="shared" si="94"/>
        <v>0</v>
      </c>
      <c r="FS102">
        <v>0</v>
      </c>
      <c r="FX102">
        <v>108</v>
      </c>
      <c r="FY102">
        <v>55</v>
      </c>
      <c r="GD102">
        <v>1</v>
      </c>
      <c r="GF102">
        <v>-569254164</v>
      </c>
      <c r="GG102">
        <v>2</v>
      </c>
      <c r="GH102">
        <v>1</v>
      </c>
      <c r="GI102">
        <v>4</v>
      </c>
      <c r="GJ102">
        <v>0</v>
      </c>
      <c r="GK102">
        <v>0</v>
      </c>
      <c r="GL102">
        <f t="shared" si="95"/>
        <v>0</v>
      </c>
      <c r="GM102">
        <f t="shared" si="96"/>
        <v>3002.88</v>
      </c>
      <c r="GN102">
        <f t="shared" si="97"/>
        <v>3002.88</v>
      </c>
      <c r="GO102">
        <f t="shared" si="98"/>
        <v>0</v>
      </c>
      <c r="GP102">
        <f t="shared" si="99"/>
        <v>0</v>
      </c>
      <c r="GR102">
        <v>0</v>
      </c>
      <c r="GS102">
        <v>3</v>
      </c>
      <c r="GT102">
        <v>0</v>
      </c>
      <c r="GV102">
        <f t="shared" si="100"/>
        <v>0</v>
      </c>
      <c r="GW102">
        <v>1</v>
      </c>
      <c r="GX102">
        <f t="shared" si="101"/>
        <v>0</v>
      </c>
      <c r="HA102">
        <v>0</v>
      </c>
      <c r="HB102">
        <v>0</v>
      </c>
      <c r="HC102">
        <f t="shared" si="102"/>
        <v>0</v>
      </c>
      <c r="HN102" t="s">
        <v>167</v>
      </c>
      <c r="HO102" t="s">
        <v>168</v>
      </c>
      <c r="HP102" t="s">
        <v>164</v>
      </c>
      <c r="HQ102" t="s">
        <v>164</v>
      </c>
      <c r="IK102">
        <v>0</v>
      </c>
    </row>
    <row r="103" spans="1:255" ht="12.75">
      <c r="A103" s="2">
        <v>17</v>
      </c>
      <c r="B103" s="2">
        <v>1</v>
      </c>
      <c r="C103" s="2">
        <f>ROW(SmtRes!A86)</f>
        <v>86</v>
      </c>
      <c r="D103" s="2">
        <f>ROW(EtalonRes!A67)</f>
        <v>67</v>
      </c>
      <c r="E103" s="2" t="s">
        <v>169</v>
      </c>
      <c r="F103" s="2" t="s">
        <v>170</v>
      </c>
      <c r="G103" s="2" t="s">
        <v>171</v>
      </c>
      <c r="H103" s="2" t="s">
        <v>159</v>
      </c>
      <c r="I103" s="2">
        <f>ROUND(7/100,7)</f>
        <v>0.07</v>
      </c>
      <c r="J103" s="2">
        <v>0</v>
      </c>
      <c r="K103" s="2">
        <f>ROUND(7/100,7)</f>
        <v>0.07</v>
      </c>
      <c r="L103" s="2"/>
      <c r="M103" s="2"/>
      <c r="N103" s="2"/>
      <c r="O103" s="2">
        <f t="shared" si="74"/>
        <v>99.75</v>
      </c>
      <c r="P103" s="2">
        <f t="shared" si="75"/>
        <v>9.21</v>
      </c>
      <c r="Q103" s="2">
        <f t="shared" si="76"/>
        <v>3.8</v>
      </c>
      <c r="R103" s="2">
        <f t="shared" si="77"/>
        <v>0.53</v>
      </c>
      <c r="S103" s="2">
        <f t="shared" si="78"/>
        <v>86.74</v>
      </c>
      <c r="T103" s="2">
        <f t="shared" si="79"/>
        <v>0</v>
      </c>
      <c r="U103" s="2">
        <f t="shared" si="80"/>
        <v>10.815000000000001</v>
      </c>
      <c r="V103" s="2">
        <f t="shared" si="81"/>
        <v>0.042</v>
      </c>
      <c r="W103" s="2">
        <f t="shared" si="82"/>
        <v>0</v>
      </c>
      <c r="X103" s="2">
        <f t="shared" si="83"/>
        <v>105.6</v>
      </c>
      <c r="Y103" s="2">
        <f t="shared" si="83"/>
        <v>62.83</v>
      </c>
      <c r="Z103" s="2"/>
      <c r="AA103" s="2">
        <v>55722483</v>
      </c>
      <c r="AB103" s="2">
        <f t="shared" si="84"/>
        <v>1425.02</v>
      </c>
      <c r="AC103" s="2">
        <f>ROUND((ES103),2)</f>
        <v>131.6</v>
      </c>
      <c r="AD103" s="2">
        <f>ROUND((((ET103)-(EU103))+AE103),2)</f>
        <v>54.33</v>
      </c>
      <c r="AE103" s="2">
        <f aca="true" t="shared" si="103" ref="AE103:AF106">ROUND((EU103),2)</f>
        <v>7.53</v>
      </c>
      <c r="AF103" s="2">
        <f t="shared" si="103"/>
        <v>1239.09</v>
      </c>
      <c r="AG103" s="2">
        <f t="shared" si="85"/>
        <v>0</v>
      </c>
      <c r="AH103" s="2">
        <f aca="true" t="shared" si="104" ref="AH103:AI106">(EW103)</f>
        <v>154.5</v>
      </c>
      <c r="AI103" s="2">
        <f t="shared" si="104"/>
        <v>0.6</v>
      </c>
      <c r="AJ103" s="2">
        <f t="shared" si="86"/>
        <v>0</v>
      </c>
      <c r="AK103" s="2">
        <v>1425.02</v>
      </c>
      <c r="AL103" s="2">
        <v>131.6</v>
      </c>
      <c r="AM103" s="2">
        <v>54.33</v>
      </c>
      <c r="AN103" s="2">
        <v>7.53</v>
      </c>
      <c r="AO103" s="2">
        <v>1239.09</v>
      </c>
      <c r="AP103" s="2">
        <v>0</v>
      </c>
      <c r="AQ103" s="2">
        <v>154.5</v>
      </c>
      <c r="AR103" s="2">
        <v>0.6</v>
      </c>
      <c r="AS103" s="2">
        <v>0</v>
      </c>
      <c r="AT103" s="2">
        <v>121</v>
      </c>
      <c r="AU103" s="2">
        <v>72</v>
      </c>
      <c r="AV103" s="2">
        <v>1</v>
      </c>
      <c r="AW103" s="2">
        <v>1</v>
      </c>
      <c r="AX103" s="2"/>
      <c r="AY103" s="2"/>
      <c r="AZ103" s="2">
        <v>1</v>
      </c>
      <c r="BA103" s="2">
        <v>1</v>
      </c>
      <c r="BB103" s="2">
        <v>1</v>
      </c>
      <c r="BC103" s="2">
        <v>1</v>
      </c>
      <c r="BD103" s="2" t="s">
        <v>3</v>
      </c>
      <c r="BE103" s="2" t="s">
        <v>3</v>
      </c>
      <c r="BF103" s="2" t="s">
        <v>3</v>
      </c>
      <c r="BG103" s="2" t="s">
        <v>3</v>
      </c>
      <c r="BH103" s="2">
        <v>0</v>
      </c>
      <c r="BI103" s="2">
        <v>1</v>
      </c>
      <c r="BJ103" s="2" t="s">
        <v>172</v>
      </c>
      <c r="BK103" s="2"/>
      <c r="BL103" s="2"/>
      <c r="BM103" s="2">
        <v>16001</v>
      </c>
      <c r="BN103" s="2">
        <v>0</v>
      </c>
      <c r="BO103" s="2" t="s">
        <v>3</v>
      </c>
      <c r="BP103" s="2">
        <v>0</v>
      </c>
      <c r="BQ103" s="2">
        <v>2</v>
      </c>
      <c r="BR103" s="2">
        <v>0</v>
      </c>
      <c r="BS103" s="2">
        <v>1</v>
      </c>
      <c r="BT103" s="2">
        <v>1</v>
      </c>
      <c r="BU103" s="2">
        <v>1</v>
      </c>
      <c r="BV103" s="2">
        <v>1</v>
      </c>
      <c r="BW103" s="2">
        <v>1</v>
      </c>
      <c r="BX103" s="2">
        <v>1</v>
      </c>
      <c r="BY103" s="2" t="s">
        <v>3</v>
      </c>
      <c r="BZ103" s="2">
        <v>121</v>
      </c>
      <c r="CA103" s="2">
        <v>72</v>
      </c>
      <c r="CB103" s="2" t="s">
        <v>3</v>
      </c>
      <c r="CC103" s="2"/>
      <c r="CD103" s="2"/>
      <c r="CE103" s="2">
        <v>0</v>
      </c>
      <c r="CF103" s="2">
        <v>0</v>
      </c>
      <c r="CG103" s="2">
        <v>0</v>
      </c>
      <c r="CH103" s="2"/>
      <c r="CI103" s="2"/>
      <c r="CJ103" s="2"/>
      <c r="CK103" s="2"/>
      <c r="CL103" s="2"/>
      <c r="CM103" s="2">
        <v>0</v>
      </c>
      <c r="CN103" s="2" t="s">
        <v>3</v>
      </c>
      <c r="CO103" s="2">
        <v>0</v>
      </c>
      <c r="CP103" s="2">
        <f t="shared" si="87"/>
        <v>99.75</v>
      </c>
      <c r="CQ103" s="2">
        <f t="shared" si="88"/>
        <v>131.6</v>
      </c>
      <c r="CR103" s="2">
        <f>(((ET103)*BB103-(EU103)*BS103)+AE103*BS103)</f>
        <v>54.33</v>
      </c>
      <c r="CS103" s="2">
        <f t="shared" si="89"/>
        <v>7.53</v>
      </c>
      <c r="CT103" s="2">
        <f t="shared" si="90"/>
        <v>1239.09</v>
      </c>
      <c r="CU103" s="2">
        <f t="shared" si="91"/>
        <v>0</v>
      </c>
      <c r="CV103" s="2">
        <f t="shared" si="91"/>
        <v>154.5</v>
      </c>
      <c r="CW103" s="2">
        <f t="shared" si="91"/>
        <v>0.6</v>
      </c>
      <c r="CX103" s="2">
        <f t="shared" si="91"/>
        <v>0</v>
      </c>
      <c r="CY103" s="2">
        <f t="shared" si="92"/>
        <v>105.5967</v>
      </c>
      <c r="CZ103" s="2">
        <f t="shared" si="93"/>
        <v>62.834399999999995</v>
      </c>
      <c r="DA103" s="2"/>
      <c r="DB103" s="2"/>
      <c r="DC103" s="2" t="s">
        <v>3</v>
      </c>
      <c r="DD103" s="2" t="s">
        <v>3</v>
      </c>
      <c r="DE103" s="2" t="s">
        <v>3</v>
      </c>
      <c r="DF103" s="2" t="s">
        <v>3</v>
      </c>
      <c r="DG103" s="2" t="s">
        <v>3</v>
      </c>
      <c r="DH103" s="2" t="s">
        <v>3</v>
      </c>
      <c r="DI103" s="2" t="s">
        <v>3</v>
      </c>
      <c r="DJ103" s="2" t="s">
        <v>3</v>
      </c>
      <c r="DK103" s="2" t="s">
        <v>3</v>
      </c>
      <c r="DL103" s="2" t="s">
        <v>3</v>
      </c>
      <c r="DM103" s="2" t="s">
        <v>3</v>
      </c>
      <c r="DN103" s="2">
        <v>0</v>
      </c>
      <c r="DO103" s="2">
        <v>0</v>
      </c>
      <c r="DP103" s="2">
        <v>1</v>
      </c>
      <c r="DQ103" s="2">
        <v>1</v>
      </c>
      <c r="DR103" s="2"/>
      <c r="DS103" s="2"/>
      <c r="DT103" s="2"/>
      <c r="DU103" s="2">
        <v>1013</v>
      </c>
      <c r="DV103" s="2" t="s">
        <v>159</v>
      </c>
      <c r="DW103" s="2" t="s">
        <v>159</v>
      </c>
      <c r="DX103" s="2">
        <v>1</v>
      </c>
      <c r="DY103" s="2"/>
      <c r="DZ103" s="2" t="s">
        <v>3</v>
      </c>
      <c r="EA103" s="2" t="s">
        <v>3</v>
      </c>
      <c r="EB103" s="2" t="s">
        <v>3</v>
      </c>
      <c r="EC103" s="2" t="s">
        <v>3</v>
      </c>
      <c r="ED103" s="2"/>
      <c r="EE103" s="2">
        <v>55471696</v>
      </c>
      <c r="EF103" s="2">
        <v>2</v>
      </c>
      <c r="EG103" s="2" t="s">
        <v>45</v>
      </c>
      <c r="EH103" s="2">
        <v>16</v>
      </c>
      <c r="EI103" s="2" t="s">
        <v>173</v>
      </c>
      <c r="EJ103" s="2">
        <v>1</v>
      </c>
      <c r="EK103" s="2">
        <v>16001</v>
      </c>
      <c r="EL103" s="2" t="s">
        <v>174</v>
      </c>
      <c r="EM103" s="2" t="s">
        <v>175</v>
      </c>
      <c r="EN103" s="2"/>
      <c r="EO103" s="2" t="s">
        <v>3</v>
      </c>
      <c r="EP103" s="2"/>
      <c r="EQ103" s="2">
        <v>0</v>
      </c>
      <c r="ER103" s="2">
        <v>1425.02</v>
      </c>
      <c r="ES103" s="2">
        <v>131.6</v>
      </c>
      <c r="ET103" s="2">
        <v>54.33</v>
      </c>
      <c r="EU103" s="2">
        <v>7.53</v>
      </c>
      <c r="EV103" s="2">
        <v>1239.09</v>
      </c>
      <c r="EW103" s="2">
        <v>154.5</v>
      </c>
      <c r="EX103" s="2">
        <v>0.6</v>
      </c>
      <c r="EY103" s="2">
        <v>0</v>
      </c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>
        <v>0</v>
      </c>
      <c r="FR103" s="2">
        <f t="shared" si="94"/>
        <v>0</v>
      </c>
      <c r="FS103" s="2">
        <v>0</v>
      </c>
      <c r="FT103" s="2"/>
      <c r="FU103" s="2"/>
      <c r="FV103" s="2"/>
      <c r="FW103" s="2"/>
      <c r="FX103" s="2">
        <v>121</v>
      </c>
      <c r="FY103" s="2">
        <v>72</v>
      </c>
      <c r="FZ103" s="2"/>
      <c r="GA103" s="2" t="s">
        <v>3</v>
      </c>
      <c r="GB103" s="2"/>
      <c r="GC103" s="2"/>
      <c r="GD103" s="2">
        <v>1</v>
      </c>
      <c r="GE103" s="2"/>
      <c r="GF103" s="2">
        <v>821062242</v>
      </c>
      <c r="GG103" s="2">
        <v>2</v>
      </c>
      <c r="GH103" s="2">
        <v>1</v>
      </c>
      <c r="GI103" s="2">
        <v>-2</v>
      </c>
      <c r="GJ103" s="2">
        <v>0</v>
      </c>
      <c r="GK103" s="2">
        <v>0</v>
      </c>
      <c r="GL103" s="2">
        <f t="shared" si="95"/>
        <v>0</v>
      </c>
      <c r="GM103" s="2">
        <f t="shared" si="96"/>
        <v>268.18</v>
      </c>
      <c r="GN103" s="2">
        <f t="shared" si="97"/>
        <v>268.18</v>
      </c>
      <c r="GO103" s="2">
        <f t="shared" si="98"/>
        <v>0</v>
      </c>
      <c r="GP103" s="2">
        <f t="shared" si="99"/>
        <v>0</v>
      </c>
      <c r="GQ103" s="2"/>
      <c r="GR103" s="2">
        <v>0</v>
      </c>
      <c r="GS103" s="2">
        <v>3</v>
      </c>
      <c r="GT103" s="2">
        <v>0</v>
      </c>
      <c r="GU103" s="2" t="s">
        <v>3</v>
      </c>
      <c r="GV103" s="2">
        <f t="shared" si="100"/>
        <v>0</v>
      </c>
      <c r="GW103" s="2">
        <v>1</v>
      </c>
      <c r="GX103" s="2">
        <f t="shared" si="101"/>
        <v>0</v>
      </c>
      <c r="GY103" s="2"/>
      <c r="GZ103" s="2"/>
      <c r="HA103" s="2">
        <v>0</v>
      </c>
      <c r="HB103" s="2">
        <v>0</v>
      </c>
      <c r="HC103" s="2">
        <f t="shared" si="102"/>
        <v>0</v>
      </c>
      <c r="HD103" s="2"/>
      <c r="HE103" s="2" t="s">
        <v>3</v>
      </c>
      <c r="HF103" s="2" t="s">
        <v>3</v>
      </c>
      <c r="HG103" s="2"/>
      <c r="HH103" s="2"/>
      <c r="HI103" s="2"/>
      <c r="HJ103" s="2"/>
      <c r="HK103" s="2"/>
      <c r="HL103" s="2"/>
      <c r="HM103" s="2" t="s">
        <v>3</v>
      </c>
      <c r="HN103" s="2" t="s">
        <v>176</v>
      </c>
      <c r="HO103" s="2" t="s">
        <v>177</v>
      </c>
      <c r="HP103" s="2" t="s">
        <v>173</v>
      </c>
      <c r="HQ103" s="2" t="s">
        <v>173</v>
      </c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>
        <v>0</v>
      </c>
      <c r="IL103" s="2"/>
      <c r="IM103" s="2"/>
      <c r="IN103" s="2"/>
      <c r="IO103" s="2"/>
      <c r="IP103" s="2"/>
      <c r="IQ103" s="2"/>
      <c r="IR103" s="2"/>
      <c r="IS103" s="2"/>
      <c r="IT103" s="2"/>
      <c r="IU103" s="2"/>
    </row>
    <row r="104" spans="1:245" ht="12.75">
      <c r="A104">
        <v>17</v>
      </c>
      <c r="B104">
        <v>1</v>
      </c>
      <c r="C104">
        <f>ROW(SmtRes!A94)</f>
        <v>94</v>
      </c>
      <c r="D104">
        <f>ROW(EtalonRes!A76)</f>
        <v>76</v>
      </c>
      <c r="E104" t="s">
        <v>169</v>
      </c>
      <c r="F104" t="s">
        <v>170</v>
      </c>
      <c r="G104" t="s">
        <v>171</v>
      </c>
      <c r="H104" t="s">
        <v>159</v>
      </c>
      <c r="I104">
        <f>ROUND(7/100,7)</f>
        <v>0.07</v>
      </c>
      <c r="J104">
        <v>0</v>
      </c>
      <c r="K104">
        <f>ROUND(7/100,7)</f>
        <v>0.07</v>
      </c>
      <c r="O104">
        <f t="shared" si="74"/>
        <v>3461.06</v>
      </c>
      <c r="P104">
        <f t="shared" si="75"/>
        <v>62.83</v>
      </c>
      <c r="Q104">
        <f t="shared" si="76"/>
        <v>51.08</v>
      </c>
      <c r="R104">
        <f t="shared" si="77"/>
        <v>20.34</v>
      </c>
      <c r="S104">
        <f t="shared" si="78"/>
        <v>3347.15</v>
      </c>
      <c r="T104">
        <f t="shared" si="79"/>
        <v>0</v>
      </c>
      <c r="U104">
        <f t="shared" si="80"/>
        <v>10.815000000000001</v>
      </c>
      <c r="V104">
        <f t="shared" si="81"/>
        <v>0.042</v>
      </c>
      <c r="W104">
        <f t="shared" si="82"/>
        <v>0</v>
      </c>
      <c r="X104">
        <f t="shared" si="83"/>
        <v>4074.66</v>
      </c>
      <c r="Y104">
        <f t="shared" si="83"/>
        <v>2424.59</v>
      </c>
      <c r="AA104">
        <v>55722484</v>
      </c>
      <c r="AB104">
        <f t="shared" si="84"/>
        <v>1425.02</v>
      </c>
      <c r="AC104">
        <f>ROUND((ES104),2)</f>
        <v>131.6</v>
      </c>
      <c r="AD104">
        <f>ROUND((((ET104)-(EU104))+AE104),2)</f>
        <v>54.33</v>
      </c>
      <c r="AE104">
        <f t="shared" si="103"/>
        <v>7.53</v>
      </c>
      <c r="AF104">
        <f t="shared" si="103"/>
        <v>1239.09</v>
      </c>
      <c r="AG104">
        <f t="shared" si="85"/>
        <v>0</v>
      </c>
      <c r="AH104">
        <f t="shared" si="104"/>
        <v>154.5</v>
      </c>
      <c r="AI104">
        <f t="shared" si="104"/>
        <v>0.6</v>
      </c>
      <c r="AJ104">
        <f t="shared" si="86"/>
        <v>0</v>
      </c>
      <c r="AK104">
        <v>1425.02</v>
      </c>
      <c r="AL104">
        <v>131.6</v>
      </c>
      <c r="AM104">
        <v>54.33</v>
      </c>
      <c r="AN104">
        <v>7.53</v>
      </c>
      <c r="AO104">
        <v>1239.09</v>
      </c>
      <c r="AP104">
        <v>0</v>
      </c>
      <c r="AQ104">
        <v>154.5</v>
      </c>
      <c r="AR104">
        <v>0.6</v>
      </c>
      <c r="AS104">
        <v>0</v>
      </c>
      <c r="AT104">
        <v>121</v>
      </c>
      <c r="AU104">
        <v>72</v>
      </c>
      <c r="AV104">
        <v>1</v>
      </c>
      <c r="AW104">
        <v>1</v>
      </c>
      <c r="AZ104">
        <v>1</v>
      </c>
      <c r="BA104">
        <v>38.59</v>
      </c>
      <c r="BB104">
        <v>13.43</v>
      </c>
      <c r="BC104">
        <v>6.82</v>
      </c>
      <c r="BH104">
        <v>0</v>
      </c>
      <c r="BI104">
        <v>1</v>
      </c>
      <c r="BJ104" t="s">
        <v>172</v>
      </c>
      <c r="BM104">
        <v>16001</v>
      </c>
      <c r="BN104">
        <v>0</v>
      </c>
      <c r="BO104" t="s">
        <v>32</v>
      </c>
      <c r="BP104">
        <v>1</v>
      </c>
      <c r="BQ104">
        <v>2</v>
      </c>
      <c r="BR104">
        <v>0</v>
      </c>
      <c r="BS104">
        <v>38.59</v>
      </c>
      <c r="BT104">
        <v>1</v>
      </c>
      <c r="BU104">
        <v>1</v>
      </c>
      <c r="BV104">
        <v>1</v>
      </c>
      <c r="BW104">
        <v>1</v>
      </c>
      <c r="BX104">
        <v>1</v>
      </c>
      <c r="BZ104">
        <v>121</v>
      </c>
      <c r="CA104">
        <v>72</v>
      </c>
      <c r="CE104">
        <v>0</v>
      </c>
      <c r="CF104">
        <v>0</v>
      </c>
      <c r="CG104">
        <v>0</v>
      </c>
      <c r="CM104">
        <v>0</v>
      </c>
      <c r="CO104">
        <v>0</v>
      </c>
      <c r="CP104">
        <f t="shared" si="87"/>
        <v>3461.06</v>
      </c>
      <c r="CQ104">
        <f t="shared" si="88"/>
        <v>897.512</v>
      </c>
      <c r="CR104">
        <f>(((ET104)*BB104-(EU104)*BS104)+AE104*BS104)</f>
        <v>729.6519</v>
      </c>
      <c r="CS104">
        <f t="shared" si="89"/>
        <v>290.58270000000005</v>
      </c>
      <c r="CT104">
        <f t="shared" si="90"/>
        <v>47816.4831</v>
      </c>
      <c r="CU104">
        <f t="shared" si="91"/>
        <v>0</v>
      </c>
      <c r="CV104">
        <f t="shared" si="91"/>
        <v>154.5</v>
      </c>
      <c r="CW104">
        <f t="shared" si="91"/>
        <v>0.6</v>
      </c>
      <c r="CX104">
        <f t="shared" si="91"/>
        <v>0</v>
      </c>
      <c r="CY104">
        <f t="shared" si="92"/>
        <v>4074.6629000000003</v>
      </c>
      <c r="CZ104">
        <f t="shared" si="93"/>
        <v>2424.5928000000004</v>
      </c>
      <c r="DN104">
        <v>0</v>
      </c>
      <c r="DO104">
        <v>0</v>
      </c>
      <c r="DP104">
        <v>1</v>
      </c>
      <c r="DQ104">
        <v>1</v>
      </c>
      <c r="DU104">
        <v>1013</v>
      </c>
      <c r="DV104" t="s">
        <v>159</v>
      </c>
      <c r="DW104" t="s">
        <v>159</v>
      </c>
      <c r="DX104">
        <v>1</v>
      </c>
      <c r="EE104">
        <v>55471696</v>
      </c>
      <c r="EF104">
        <v>2</v>
      </c>
      <c r="EG104" t="s">
        <v>45</v>
      </c>
      <c r="EH104">
        <v>16</v>
      </c>
      <c r="EI104" t="s">
        <v>173</v>
      </c>
      <c r="EJ104">
        <v>1</v>
      </c>
      <c r="EK104">
        <v>16001</v>
      </c>
      <c r="EL104" t="s">
        <v>174</v>
      </c>
      <c r="EM104" t="s">
        <v>175</v>
      </c>
      <c r="EQ104">
        <v>0</v>
      </c>
      <c r="ER104">
        <v>1425.02</v>
      </c>
      <c r="ES104">
        <v>131.6</v>
      </c>
      <c r="ET104">
        <v>54.33</v>
      </c>
      <c r="EU104">
        <v>7.53</v>
      </c>
      <c r="EV104">
        <v>1239.09</v>
      </c>
      <c r="EW104">
        <v>154.5</v>
      </c>
      <c r="EX104">
        <v>0.6</v>
      </c>
      <c r="EY104">
        <v>0</v>
      </c>
      <c r="FQ104">
        <v>0</v>
      </c>
      <c r="FR104">
        <f t="shared" si="94"/>
        <v>0</v>
      </c>
      <c r="FS104">
        <v>0</v>
      </c>
      <c r="FX104">
        <v>121</v>
      </c>
      <c r="FY104">
        <v>72</v>
      </c>
      <c r="GD104">
        <v>1</v>
      </c>
      <c r="GF104">
        <v>821062242</v>
      </c>
      <c r="GG104">
        <v>2</v>
      </c>
      <c r="GH104">
        <v>1</v>
      </c>
      <c r="GI104">
        <v>4</v>
      </c>
      <c r="GJ104">
        <v>0</v>
      </c>
      <c r="GK104">
        <v>0</v>
      </c>
      <c r="GL104">
        <f t="shared" si="95"/>
        <v>0</v>
      </c>
      <c r="GM104">
        <f t="shared" si="96"/>
        <v>9960.31</v>
      </c>
      <c r="GN104">
        <f t="shared" si="97"/>
        <v>9960.31</v>
      </c>
      <c r="GO104">
        <f t="shared" si="98"/>
        <v>0</v>
      </c>
      <c r="GP104">
        <f t="shared" si="99"/>
        <v>0</v>
      </c>
      <c r="GR104">
        <v>0</v>
      </c>
      <c r="GS104">
        <v>3</v>
      </c>
      <c r="GT104">
        <v>0</v>
      </c>
      <c r="GV104">
        <f t="shared" si="100"/>
        <v>0</v>
      </c>
      <c r="GW104">
        <v>1</v>
      </c>
      <c r="GX104">
        <f t="shared" si="101"/>
        <v>0</v>
      </c>
      <c r="HA104">
        <v>0</v>
      </c>
      <c r="HB104">
        <v>0</v>
      </c>
      <c r="HC104">
        <f t="shared" si="102"/>
        <v>0</v>
      </c>
      <c r="HN104" t="s">
        <v>176</v>
      </c>
      <c r="HO104" t="s">
        <v>177</v>
      </c>
      <c r="HP104" t="s">
        <v>173</v>
      </c>
      <c r="HQ104" t="s">
        <v>173</v>
      </c>
      <c r="IK104">
        <v>0</v>
      </c>
    </row>
    <row r="105" spans="1:255" ht="12.75">
      <c r="A105" s="2">
        <v>18</v>
      </c>
      <c r="B105" s="2">
        <v>1</v>
      </c>
      <c r="C105" s="2">
        <v>86</v>
      </c>
      <c r="D105" s="2"/>
      <c r="E105" s="2" t="s">
        <v>178</v>
      </c>
      <c r="F105" s="2" t="s">
        <v>52</v>
      </c>
      <c r="G105" s="2" t="s">
        <v>179</v>
      </c>
      <c r="H105" s="2" t="s">
        <v>54</v>
      </c>
      <c r="I105" s="2">
        <f>I103*J105</f>
        <v>7</v>
      </c>
      <c r="J105" s="2">
        <v>99.99999999999999</v>
      </c>
      <c r="K105" s="2">
        <v>100</v>
      </c>
      <c r="L105" s="2"/>
      <c r="M105" s="2"/>
      <c r="N105" s="2"/>
      <c r="O105" s="2">
        <f t="shared" si="74"/>
        <v>0</v>
      </c>
      <c r="P105" s="2">
        <f t="shared" si="75"/>
        <v>0</v>
      </c>
      <c r="Q105" s="2">
        <f t="shared" si="76"/>
        <v>0</v>
      </c>
      <c r="R105" s="2">
        <f t="shared" si="77"/>
        <v>0</v>
      </c>
      <c r="S105" s="2">
        <f t="shared" si="78"/>
        <v>0</v>
      </c>
      <c r="T105" s="2">
        <f t="shared" si="79"/>
        <v>0</v>
      </c>
      <c r="U105" s="2">
        <f t="shared" si="80"/>
        <v>0</v>
      </c>
      <c r="V105" s="2">
        <f t="shared" si="81"/>
        <v>0</v>
      </c>
      <c r="W105" s="2">
        <f t="shared" si="82"/>
        <v>0</v>
      </c>
      <c r="X105" s="2">
        <f t="shared" si="83"/>
        <v>0</v>
      </c>
      <c r="Y105" s="2">
        <f t="shared" si="83"/>
        <v>0</v>
      </c>
      <c r="Z105" s="2"/>
      <c r="AA105" s="2">
        <v>55722483</v>
      </c>
      <c r="AB105" s="2">
        <f t="shared" si="84"/>
        <v>0</v>
      </c>
      <c r="AC105" s="2">
        <f>ROUND((ES105),2)</f>
        <v>0</v>
      </c>
      <c r="AD105" s="2">
        <f>ROUND((((ET105)-(EU105))+AE105),2)</f>
        <v>0</v>
      </c>
      <c r="AE105" s="2">
        <f t="shared" si="103"/>
        <v>0</v>
      </c>
      <c r="AF105" s="2">
        <f t="shared" si="103"/>
        <v>0</v>
      </c>
      <c r="AG105" s="2">
        <f t="shared" si="85"/>
        <v>0</v>
      </c>
      <c r="AH105" s="2">
        <f t="shared" si="104"/>
        <v>0</v>
      </c>
      <c r="AI105" s="2">
        <f t="shared" si="104"/>
        <v>0</v>
      </c>
      <c r="AJ105" s="2">
        <f t="shared" si="86"/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121</v>
      </c>
      <c r="AU105" s="2">
        <v>72</v>
      </c>
      <c r="AV105" s="2">
        <v>1</v>
      </c>
      <c r="AW105" s="2">
        <v>1</v>
      </c>
      <c r="AX105" s="2"/>
      <c r="AY105" s="2"/>
      <c r="AZ105" s="2">
        <v>1</v>
      </c>
      <c r="BA105" s="2">
        <v>1</v>
      </c>
      <c r="BB105" s="2">
        <v>1</v>
      </c>
      <c r="BC105" s="2">
        <v>1</v>
      </c>
      <c r="BD105" s="2" t="s">
        <v>3</v>
      </c>
      <c r="BE105" s="2" t="s">
        <v>3</v>
      </c>
      <c r="BF105" s="2" t="s">
        <v>3</v>
      </c>
      <c r="BG105" s="2" t="s">
        <v>3</v>
      </c>
      <c r="BH105" s="2">
        <v>3</v>
      </c>
      <c r="BI105" s="2">
        <v>1</v>
      </c>
      <c r="BJ105" s="2" t="s">
        <v>3</v>
      </c>
      <c r="BK105" s="2"/>
      <c r="BL105" s="2"/>
      <c r="BM105" s="2">
        <v>16001</v>
      </c>
      <c r="BN105" s="2">
        <v>0</v>
      </c>
      <c r="BO105" s="2" t="s">
        <v>3</v>
      </c>
      <c r="BP105" s="2">
        <v>0</v>
      </c>
      <c r="BQ105" s="2">
        <v>2</v>
      </c>
      <c r="BR105" s="2">
        <v>0</v>
      </c>
      <c r="BS105" s="2">
        <v>1</v>
      </c>
      <c r="BT105" s="2">
        <v>1</v>
      </c>
      <c r="BU105" s="2">
        <v>1</v>
      </c>
      <c r="BV105" s="2">
        <v>1</v>
      </c>
      <c r="BW105" s="2">
        <v>1</v>
      </c>
      <c r="BX105" s="2">
        <v>1</v>
      </c>
      <c r="BY105" s="2" t="s">
        <v>3</v>
      </c>
      <c r="BZ105" s="2">
        <v>121</v>
      </c>
      <c r="CA105" s="2">
        <v>72</v>
      </c>
      <c r="CB105" s="2" t="s">
        <v>3</v>
      </c>
      <c r="CC105" s="2"/>
      <c r="CD105" s="2"/>
      <c r="CE105" s="2">
        <v>0</v>
      </c>
      <c r="CF105" s="2">
        <v>0</v>
      </c>
      <c r="CG105" s="2">
        <v>0</v>
      </c>
      <c r="CH105" s="2"/>
      <c r="CI105" s="2"/>
      <c r="CJ105" s="2"/>
      <c r="CK105" s="2"/>
      <c r="CL105" s="2"/>
      <c r="CM105" s="2">
        <v>0</v>
      </c>
      <c r="CN105" s="2" t="s">
        <v>3</v>
      </c>
      <c r="CO105" s="2">
        <v>0</v>
      </c>
      <c r="CP105" s="2">
        <f t="shared" si="87"/>
        <v>0</v>
      </c>
      <c r="CQ105" s="2">
        <f t="shared" si="88"/>
        <v>0</v>
      </c>
      <c r="CR105" s="2">
        <f>(((ET105)*BB105-(EU105)*BS105)+AE105*BS105)</f>
        <v>0</v>
      </c>
      <c r="CS105" s="2">
        <f t="shared" si="89"/>
        <v>0</v>
      </c>
      <c r="CT105" s="2">
        <f t="shared" si="90"/>
        <v>0</v>
      </c>
      <c r="CU105" s="2">
        <f t="shared" si="91"/>
        <v>0</v>
      </c>
      <c r="CV105" s="2">
        <f t="shared" si="91"/>
        <v>0</v>
      </c>
      <c r="CW105" s="2">
        <f t="shared" si="91"/>
        <v>0</v>
      </c>
      <c r="CX105" s="2">
        <f t="shared" si="91"/>
        <v>0</v>
      </c>
      <c r="CY105" s="2">
        <f t="shared" si="92"/>
        <v>0</v>
      </c>
      <c r="CZ105" s="2">
        <f t="shared" si="93"/>
        <v>0</v>
      </c>
      <c r="DA105" s="2"/>
      <c r="DB105" s="2"/>
      <c r="DC105" s="2" t="s">
        <v>3</v>
      </c>
      <c r="DD105" s="2" t="s">
        <v>3</v>
      </c>
      <c r="DE105" s="2" t="s">
        <v>3</v>
      </c>
      <c r="DF105" s="2" t="s">
        <v>3</v>
      </c>
      <c r="DG105" s="2" t="s">
        <v>3</v>
      </c>
      <c r="DH105" s="2" t="s">
        <v>3</v>
      </c>
      <c r="DI105" s="2" t="s">
        <v>3</v>
      </c>
      <c r="DJ105" s="2" t="s">
        <v>3</v>
      </c>
      <c r="DK105" s="2" t="s">
        <v>3</v>
      </c>
      <c r="DL105" s="2" t="s">
        <v>3</v>
      </c>
      <c r="DM105" s="2" t="s">
        <v>3</v>
      </c>
      <c r="DN105" s="2">
        <v>0</v>
      </c>
      <c r="DO105" s="2">
        <v>0</v>
      </c>
      <c r="DP105" s="2">
        <v>1</v>
      </c>
      <c r="DQ105" s="2">
        <v>1</v>
      </c>
      <c r="DR105" s="2"/>
      <c r="DS105" s="2"/>
      <c r="DT105" s="2"/>
      <c r="DU105" s="2">
        <v>1013</v>
      </c>
      <c r="DV105" s="2" t="s">
        <v>54</v>
      </c>
      <c r="DW105" s="2" t="s">
        <v>54</v>
      </c>
      <c r="DX105" s="2">
        <v>1</v>
      </c>
      <c r="DY105" s="2"/>
      <c r="DZ105" s="2" t="s">
        <v>3</v>
      </c>
      <c r="EA105" s="2" t="s">
        <v>3</v>
      </c>
      <c r="EB105" s="2" t="s">
        <v>3</v>
      </c>
      <c r="EC105" s="2" t="s">
        <v>3</v>
      </c>
      <c r="ED105" s="2"/>
      <c r="EE105" s="2">
        <v>55471696</v>
      </c>
      <c r="EF105" s="2">
        <v>2</v>
      </c>
      <c r="EG105" s="2" t="s">
        <v>45</v>
      </c>
      <c r="EH105" s="2">
        <v>16</v>
      </c>
      <c r="EI105" s="2" t="s">
        <v>173</v>
      </c>
      <c r="EJ105" s="2">
        <v>1</v>
      </c>
      <c r="EK105" s="2">
        <v>16001</v>
      </c>
      <c r="EL105" s="2" t="s">
        <v>174</v>
      </c>
      <c r="EM105" s="2" t="s">
        <v>175</v>
      </c>
      <c r="EN105" s="2"/>
      <c r="EO105" s="2" t="s">
        <v>3</v>
      </c>
      <c r="EP105" s="2"/>
      <c r="EQ105" s="2">
        <v>0</v>
      </c>
      <c r="ER105" s="2">
        <v>0</v>
      </c>
      <c r="ES105" s="2">
        <v>0</v>
      </c>
      <c r="ET105" s="2">
        <v>0</v>
      </c>
      <c r="EU105" s="2">
        <v>0</v>
      </c>
      <c r="EV105" s="2">
        <v>0</v>
      </c>
      <c r="EW105" s="2">
        <v>0</v>
      </c>
      <c r="EX105" s="2">
        <v>0</v>
      </c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>
        <v>0</v>
      </c>
      <c r="FR105" s="2">
        <f t="shared" si="94"/>
        <v>0</v>
      </c>
      <c r="FS105" s="2">
        <v>0</v>
      </c>
      <c r="FT105" s="2"/>
      <c r="FU105" s="2"/>
      <c r="FV105" s="2"/>
      <c r="FW105" s="2"/>
      <c r="FX105" s="2">
        <v>121</v>
      </c>
      <c r="FY105" s="2">
        <v>72</v>
      </c>
      <c r="FZ105" s="2"/>
      <c r="GA105" s="2" t="s">
        <v>55</v>
      </c>
      <c r="GB105" s="2"/>
      <c r="GC105" s="2"/>
      <c r="GD105" s="2">
        <v>1</v>
      </c>
      <c r="GE105" s="2"/>
      <c r="GF105" s="2">
        <v>942734671</v>
      </c>
      <c r="GG105" s="2">
        <v>2</v>
      </c>
      <c r="GH105" s="2">
        <v>4</v>
      </c>
      <c r="GI105" s="2">
        <v>-2</v>
      </c>
      <c r="GJ105" s="2">
        <v>0</v>
      </c>
      <c r="GK105" s="2">
        <v>0</v>
      </c>
      <c r="GL105" s="2">
        <f t="shared" si="95"/>
        <v>0</v>
      </c>
      <c r="GM105" s="2">
        <f t="shared" si="96"/>
        <v>0</v>
      </c>
      <c r="GN105" s="2">
        <f t="shared" si="97"/>
        <v>0</v>
      </c>
      <c r="GO105" s="2">
        <f t="shared" si="98"/>
        <v>0</v>
      </c>
      <c r="GP105" s="2">
        <f t="shared" si="99"/>
        <v>0</v>
      </c>
      <c r="GQ105" s="2"/>
      <c r="GR105" s="2">
        <v>0</v>
      </c>
      <c r="GS105" s="2">
        <v>2</v>
      </c>
      <c r="GT105" s="2">
        <v>0</v>
      </c>
      <c r="GU105" s="2" t="s">
        <v>3</v>
      </c>
      <c r="GV105" s="2">
        <f t="shared" si="100"/>
        <v>0</v>
      </c>
      <c r="GW105" s="2">
        <v>1</v>
      </c>
      <c r="GX105" s="2">
        <f t="shared" si="101"/>
        <v>0</v>
      </c>
      <c r="GY105" s="2"/>
      <c r="GZ105" s="2"/>
      <c r="HA105" s="2">
        <v>0</v>
      </c>
      <c r="HB105" s="2">
        <v>0</v>
      </c>
      <c r="HC105" s="2">
        <f t="shared" si="102"/>
        <v>0</v>
      </c>
      <c r="HD105" s="2"/>
      <c r="HE105" s="2" t="s">
        <v>3</v>
      </c>
      <c r="HF105" s="2" t="s">
        <v>3</v>
      </c>
      <c r="HG105" s="2"/>
      <c r="HH105" s="2"/>
      <c r="HI105" s="2"/>
      <c r="HJ105" s="2"/>
      <c r="HK105" s="2"/>
      <c r="HL105" s="2"/>
      <c r="HM105" s="2" t="s">
        <v>3</v>
      </c>
      <c r="HN105" s="2" t="s">
        <v>176</v>
      </c>
      <c r="HO105" s="2" t="s">
        <v>177</v>
      </c>
      <c r="HP105" s="2" t="s">
        <v>173</v>
      </c>
      <c r="HQ105" s="2" t="s">
        <v>173</v>
      </c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>
        <v>0</v>
      </c>
      <c r="IL105" s="2"/>
      <c r="IM105" s="2"/>
      <c r="IN105" s="2"/>
      <c r="IO105" s="2"/>
      <c r="IP105" s="2"/>
      <c r="IQ105" s="2"/>
      <c r="IR105" s="2"/>
      <c r="IS105" s="2"/>
      <c r="IT105" s="2"/>
      <c r="IU105" s="2"/>
    </row>
    <row r="106" spans="1:245" ht="12.75">
      <c r="A106">
        <v>18</v>
      </c>
      <c r="B106">
        <v>1</v>
      </c>
      <c r="C106">
        <v>94</v>
      </c>
      <c r="E106" t="s">
        <v>178</v>
      </c>
      <c r="F106" t="s">
        <v>52</v>
      </c>
      <c r="G106" t="s">
        <v>179</v>
      </c>
      <c r="H106" t="s">
        <v>54</v>
      </c>
      <c r="I106">
        <f>I104*J106</f>
        <v>7</v>
      </c>
      <c r="J106">
        <v>99.99999999999999</v>
      </c>
      <c r="K106">
        <v>100</v>
      </c>
      <c r="O106">
        <f t="shared" si="74"/>
        <v>0</v>
      </c>
      <c r="P106">
        <f t="shared" si="75"/>
        <v>0</v>
      </c>
      <c r="Q106">
        <f t="shared" si="76"/>
        <v>0</v>
      </c>
      <c r="R106">
        <f t="shared" si="77"/>
        <v>0</v>
      </c>
      <c r="S106">
        <f t="shared" si="78"/>
        <v>0</v>
      </c>
      <c r="T106">
        <f t="shared" si="79"/>
        <v>0</v>
      </c>
      <c r="U106">
        <f t="shared" si="80"/>
        <v>0</v>
      </c>
      <c r="V106">
        <f t="shared" si="81"/>
        <v>0</v>
      </c>
      <c r="W106">
        <f t="shared" si="82"/>
        <v>0</v>
      </c>
      <c r="X106">
        <f t="shared" si="83"/>
        <v>0</v>
      </c>
      <c r="Y106">
        <f t="shared" si="83"/>
        <v>0</v>
      </c>
      <c r="AA106">
        <v>55722484</v>
      </c>
      <c r="AB106">
        <f t="shared" si="84"/>
        <v>0</v>
      </c>
      <c r="AC106">
        <f>ROUND((ES106),2)</f>
        <v>0</v>
      </c>
      <c r="AD106">
        <f>ROUND((((ET106)-(EU106))+AE106),2)</f>
        <v>0</v>
      </c>
      <c r="AE106">
        <f t="shared" si="103"/>
        <v>0</v>
      </c>
      <c r="AF106">
        <f t="shared" si="103"/>
        <v>0</v>
      </c>
      <c r="AG106">
        <f t="shared" si="85"/>
        <v>0</v>
      </c>
      <c r="AH106">
        <f t="shared" si="104"/>
        <v>0</v>
      </c>
      <c r="AI106">
        <f t="shared" si="104"/>
        <v>0</v>
      </c>
      <c r="AJ106">
        <f t="shared" si="86"/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121</v>
      </c>
      <c r="AU106">
        <v>72</v>
      </c>
      <c r="AV106">
        <v>1</v>
      </c>
      <c r="AW106">
        <v>1</v>
      </c>
      <c r="AZ106">
        <v>1</v>
      </c>
      <c r="BA106">
        <v>1</v>
      </c>
      <c r="BB106">
        <v>1</v>
      </c>
      <c r="BC106">
        <v>1</v>
      </c>
      <c r="BH106">
        <v>3</v>
      </c>
      <c r="BI106">
        <v>1</v>
      </c>
      <c r="BM106">
        <v>16001</v>
      </c>
      <c r="BN106">
        <v>0</v>
      </c>
      <c r="BP106">
        <v>0</v>
      </c>
      <c r="BQ106">
        <v>2</v>
      </c>
      <c r="BR106">
        <v>0</v>
      </c>
      <c r="BS106">
        <v>1</v>
      </c>
      <c r="BT106">
        <v>1</v>
      </c>
      <c r="BU106">
        <v>1</v>
      </c>
      <c r="BV106">
        <v>1</v>
      </c>
      <c r="BW106">
        <v>1</v>
      </c>
      <c r="BX106">
        <v>1</v>
      </c>
      <c r="BZ106">
        <v>121</v>
      </c>
      <c r="CA106">
        <v>72</v>
      </c>
      <c r="CE106">
        <v>0</v>
      </c>
      <c r="CF106">
        <v>0</v>
      </c>
      <c r="CG106">
        <v>0</v>
      </c>
      <c r="CM106">
        <v>0</v>
      </c>
      <c r="CO106">
        <v>0</v>
      </c>
      <c r="CP106">
        <f t="shared" si="87"/>
        <v>0</v>
      </c>
      <c r="CQ106">
        <f t="shared" si="88"/>
        <v>0</v>
      </c>
      <c r="CR106">
        <f>(((ET106)*BB106-(EU106)*BS106)+AE106*BS106)</f>
        <v>0</v>
      </c>
      <c r="CS106">
        <f t="shared" si="89"/>
        <v>0</v>
      </c>
      <c r="CT106">
        <f t="shared" si="90"/>
        <v>0</v>
      </c>
      <c r="CU106">
        <f t="shared" si="91"/>
        <v>0</v>
      </c>
      <c r="CV106">
        <f t="shared" si="91"/>
        <v>0</v>
      </c>
      <c r="CW106">
        <f t="shared" si="91"/>
        <v>0</v>
      </c>
      <c r="CX106">
        <f t="shared" si="91"/>
        <v>0</v>
      </c>
      <c r="CY106">
        <f t="shared" si="92"/>
        <v>0</v>
      </c>
      <c r="CZ106">
        <f t="shared" si="93"/>
        <v>0</v>
      </c>
      <c r="DN106">
        <v>0</v>
      </c>
      <c r="DO106">
        <v>0</v>
      </c>
      <c r="DP106">
        <v>1</v>
      </c>
      <c r="DQ106">
        <v>1</v>
      </c>
      <c r="DU106">
        <v>1013</v>
      </c>
      <c r="DV106" t="s">
        <v>54</v>
      </c>
      <c r="DW106" t="s">
        <v>54</v>
      </c>
      <c r="DX106">
        <v>1</v>
      </c>
      <c r="EE106">
        <v>55471696</v>
      </c>
      <c r="EF106">
        <v>2</v>
      </c>
      <c r="EG106" t="s">
        <v>45</v>
      </c>
      <c r="EH106">
        <v>16</v>
      </c>
      <c r="EI106" t="s">
        <v>173</v>
      </c>
      <c r="EJ106">
        <v>1</v>
      </c>
      <c r="EK106">
        <v>16001</v>
      </c>
      <c r="EL106" t="s">
        <v>174</v>
      </c>
      <c r="EM106" t="s">
        <v>175</v>
      </c>
      <c r="EQ106">
        <v>0</v>
      </c>
      <c r="ER106">
        <v>0</v>
      </c>
      <c r="ES106">
        <v>0</v>
      </c>
      <c r="ET106">
        <v>0</v>
      </c>
      <c r="EU106">
        <v>0</v>
      </c>
      <c r="EV106">
        <v>0</v>
      </c>
      <c r="EW106">
        <v>0</v>
      </c>
      <c r="EX106">
        <v>0</v>
      </c>
      <c r="FQ106">
        <v>0</v>
      </c>
      <c r="FR106">
        <f t="shared" si="94"/>
        <v>0</v>
      </c>
      <c r="FS106">
        <v>0</v>
      </c>
      <c r="FX106">
        <v>121</v>
      </c>
      <c r="FY106">
        <v>72</v>
      </c>
      <c r="GA106" t="s">
        <v>55</v>
      </c>
      <c r="GD106">
        <v>1</v>
      </c>
      <c r="GF106">
        <v>942734671</v>
      </c>
      <c r="GG106">
        <v>2</v>
      </c>
      <c r="GH106">
        <v>2</v>
      </c>
      <c r="GI106">
        <v>3</v>
      </c>
      <c r="GJ106">
        <v>0</v>
      </c>
      <c r="GK106">
        <v>0</v>
      </c>
      <c r="GL106">
        <f t="shared" si="95"/>
        <v>0</v>
      </c>
      <c r="GM106">
        <f t="shared" si="96"/>
        <v>0</v>
      </c>
      <c r="GN106">
        <f t="shared" si="97"/>
        <v>0</v>
      </c>
      <c r="GO106">
        <f t="shared" si="98"/>
        <v>0</v>
      </c>
      <c r="GP106">
        <f t="shared" si="99"/>
        <v>0</v>
      </c>
      <c r="GR106">
        <v>0</v>
      </c>
      <c r="GS106">
        <v>4</v>
      </c>
      <c r="GT106">
        <v>0</v>
      </c>
      <c r="GV106">
        <f t="shared" si="100"/>
        <v>0</v>
      </c>
      <c r="GW106">
        <v>1</v>
      </c>
      <c r="GX106">
        <f t="shared" si="101"/>
        <v>0</v>
      </c>
      <c r="HA106">
        <v>0</v>
      </c>
      <c r="HB106">
        <v>0</v>
      </c>
      <c r="HC106">
        <f t="shared" si="102"/>
        <v>0</v>
      </c>
      <c r="HN106" t="s">
        <v>176</v>
      </c>
      <c r="HO106" t="s">
        <v>177</v>
      </c>
      <c r="HP106" t="s">
        <v>173</v>
      </c>
      <c r="HQ106" t="s">
        <v>173</v>
      </c>
      <c r="IK106">
        <v>0</v>
      </c>
    </row>
    <row r="108" spans="1:206" ht="12.75">
      <c r="A108" s="3">
        <v>51</v>
      </c>
      <c r="B108" s="3">
        <f>B97</f>
        <v>1</v>
      </c>
      <c r="C108" s="3">
        <f>A97</f>
        <v>4</v>
      </c>
      <c r="D108" s="3">
        <f>ROW(A97)</f>
        <v>97</v>
      </c>
      <c r="E108" s="3"/>
      <c r="F108" s="3" t="str">
        <f>IF(F97&lt;&gt;"",F97,"")</f>
        <v>Новый раздел</v>
      </c>
      <c r="G108" s="3" t="str">
        <f>IF(G97&lt;&gt;"",G97,"")</f>
        <v>Пожарные шкафы</v>
      </c>
      <c r="H108" s="3">
        <v>0</v>
      </c>
      <c r="I108" s="3"/>
      <c r="J108" s="3"/>
      <c r="K108" s="3"/>
      <c r="L108" s="3"/>
      <c r="M108" s="3"/>
      <c r="N108" s="3"/>
      <c r="O108" s="3">
        <f aca="true" t="shared" si="105" ref="O108:T108">ROUND(AB108,2)</f>
        <v>136.95</v>
      </c>
      <c r="P108" s="3">
        <f t="shared" si="105"/>
        <v>9.21</v>
      </c>
      <c r="Q108" s="3">
        <f t="shared" si="105"/>
        <v>14.4</v>
      </c>
      <c r="R108" s="3">
        <f t="shared" si="105"/>
        <v>3.08</v>
      </c>
      <c r="S108" s="3">
        <f t="shared" si="105"/>
        <v>113.34</v>
      </c>
      <c r="T108" s="3">
        <f t="shared" si="105"/>
        <v>0</v>
      </c>
      <c r="U108" s="3">
        <f>AH108</f>
        <v>14.1323</v>
      </c>
      <c r="V108" s="3">
        <f>AI108</f>
        <v>0.24780000000000002</v>
      </c>
      <c r="W108" s="3">
        <f>ROUND(AJ108,2)</f>
        <v>0</v>
      </c>
      <c r="X108" s="3">
        <f>ROUND(AK108,2)</f>
        <v>137.08</v>
      </c>
      <c r="Y108" s="3">
        <f>ROUND(AL108,2)</f>
        <v>78.86</v>
      </c>
      <c r="Z108" s="3"/>
      <c r="AA108" s="3"/>
      <c r="AB108" s="3">
        <f>ROUND(SUMIF(AA101:AA106,"=55722483",O101:O106),2)</f>
        <v>136.95</v>
      </c>
      <c r="AC108" s="3">
        <f>ROUND(SUMIF(AA101:AA106,"=55722483",P101:P106),2)</f>
        <v>9.21</v>
      </c>
      <c r="AD108" s="3">
        <f>ROUND(SUMIF(AA101:AA106,"=55722483",Q101:Q106),2)</f>
        <v>14.4</v>
      </c>
      <c r="AE108" s="3">
        <f>ROUND(SUMIF(AA101:AA106,"=55722483",R101:R106),2)</f>
        <v>3.08</v>
      </c>
      <c r="AF108" s="3">
        <f>ROUND(SUMIF(AA101:AA106,"=55722483",S101:S106),2)</f>
        <v>113.34</v>
      </c>
      <c r="AG108" s="3">
        <f>ROUND(SUMIF(AA101:AA106,"=55722483",T101:T106),2)</f>
        <v>0</v>
      </c>
      <c r="AH108" s="3">
        <f>SUMIF(AA101:AA106,"=55722483",U101:U106)</f>
        <v>14.1323</v>
      </c>
      <c r="AI108" s="3">
        <f>SUMIF(AA101:AA106,"=55722483",V101:V106)</f>
        <v>0.24780000000000002</v>
      </c>
      <c r="AJ108" s="3">
        <f>ROUND(SUMIF(AA101:AA106,"=55722483",W101:W106),2)</f>
        <v>0</v>
      </c>
      <c r="AK108" s="3">
        <f>ROUND(SUMIF(AA101:AA106,"=55722483",X101:X106),2)</f>
        <v>137.08</v>
      </c>
      <c r="AL108" s="3">
        <f>ROUND(SUMIF(AA101:AA106,"=55722483",Y101:Y106),2)</f>
        <v>78.86</v>
      </c>
      <c r="AM108" s="3"/>
      <c r="AN108" s="3"/>
      <c r="AO108" s="3">
        <f aca="true" t="shared" si="106" ref="AO108:BD108">ROUND(BX108,2)</f>
        <v>0</v>
      </c>
      <c r="AP108" s="3">
        <f t="shared" si="106"/>
        <v>0</v>
      </c>
      <c r="AQ108" s="3">
        <f t="shared" si="106"/>
        <v>0</v>
      </c>
      <c r="AR108" s="3">
        <f t="shared" si="106"/>
        <v>352.89</v>
      </c>
      <c r="AS108" s="3">
        <f t="shared" si="106"/>
        <v>352.89</v>
      </c>
      <c r="AT108" s="3">
        <f t="shared" si="106"/>
        <v>0</v>
      </c>
      <c r="AU108" s="3">
        <f t="shared" si="106"/>
        <v>0</v>
      </c>
      <c r="AV108" s="3">
        <f t="shared" si="106"/>
        <v>9.21</v>
      </c>
      <c r="AW108" s="3">
        <f t="shared" si="106"/>
        <v>9.21</v>
      </c>
      <c r="AX108" s="3">
        <f t="shared" si="106"/>
        <v>0</v>
      </c>
      <c r="AY108" s="3">
        <f t="shared" si="106"/>
        <v>9.21</v>
      </c>
      <c r="AZ108" s="3">
        <f t="shared" si="106"/>
        <v>0</v>
      </c>
      <c r="BA108" s="3">
        <f t="shared" si="106"/>
        <v>0</v>
      </c>
      <c r="BB108" s="3">
        <f t="shared" si="106"/>
        <v>0</v>
      </c>
      <c r="BC108" s="3">
        <f t="shared" si="106"/>
        <v>0</v>
      </c>
      <c r="BD108" s="3">
        <f t="shared" si="106"/>
        <v>0</v>
      </c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>
        <f>ROUND(SUMIF(AA101:AA106,"=55722483",FQ101:FQ106),2)</f>
        <v>0</v>
      </c>
      <c r="BY108" s="3">
        <f>ROUND(SUMIF(AA101:AA106,"=55722483",FR101:FR106),2)</f>
        <v>0</v>
      </c>
      <c r="BZ108" s="3">
        <f>ROUND(SUMIF(AA101:AA106,"=55722483",GL101:GL106),2)</f>
        <v>0</v>
      </c>
      <c r="CA108" s="3">
        <f>ROUND(SUMIF(AA101:AA106,"=55722483",GM101:GM106),2)</f>
        <v>352.89</v>
      </c>
      <c r="CB108" s="3">
        <f>ROUND(SUMIF(AA101:AA106,"=55722483",GN101:GN106),2)</f>
        <v>352.89</v>
      </c>
      <c r="CC108" s="3">
        <f>ROUND(SUMIF(AA101:AA106,"=55722483",GO101:GO106),2)</f>
        <v>0</v>
      </c>
      <c r="CD108" s="3">
        <f>ROUND(SUMIF(AA101:AA106,"=55722483",GP101:GP106),2)</f>
        <v>0</v>
      </c>
      <c r="CE108" s="3">
        <f>AC108-BX108</f>
        <v>9.21</v>
      </c>
      <c r="CF108" s="3">
        <f>AC108-BY108</f>
        <v>9.21</v>
      </c>
      <c r="CG108" s="3">
        <f>BX108-BZ108</f>
        <v>0</v>
      </c>
      <c r="CH108" s="3">
        <f>AC108-BX108-BY108+BZ108</f>
        <v>9.21</v>
      </c>
      <c r="CI108" s="3">
        <f>BY108-BZ108</f>
        <v>0</v>
      </c>
      <c r="CJ108" s="3">
        <f>ROUND(SUMIF(AA101:AA106,"=55722483",GX101:GX106),2)</f>
        <v>0</v>
      </c>
      <c r="CK108" s="3">
        <f>ROUND(SUMIF(AA101:AA106,"=55722483",GY101:GY106),2)</f>
        <v>0</v>
      </c>
      <c r="CL108" s="3">
        <f>ROUND(SUMIF(AA101:AA106,"=55722483",GZ101:GZ106),2)</f>
        <v>0</v>
      </c>
      <c r="CM108" s="3">
        <f>ROUND(SUMIF(AA101:AA106,"=55722483",HD101:HD106),2)</f>
        <v>0</v>
      </c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4">
        <f aca="true" t="shared" si="107" ref="DG108:DL108">ROUND(DT108,2)</f>
        <v>4630.14</v>
      </c>
      <c r="DH108" s="4">
        <f t="shared" si="107"/>
        <v>62.83</v>
      </c>
      <c r="DI108" s="4">
        <f t="shared" si="107"/>
        <v>193.48</v>
      </c>
      <c r="DJ108" s="4">
        <f t="shared" si="107"/>
        <v>118.69</v>
      </c>
      <c r="DK108" s="4">
        <f t="shared" si="107"/>
        <v>4373.83</v>
      </c>
      <c r="DL108" s="4">
        <f t="shared" si="107"/>
        <v>0</v>
      </c>
      <c r="DM108" s="4">
        <f>DZ108</f>
        <v>14.1323</v>
      </c>
      <c r="DN108" s="4">
        <f>EA108</f>
        <v>0.24780000000000002</v>
      </c>
      <c r="DO108" s="4">
        <f>ROUND(EB108,2)</f>
        <v>0</v>
      </c>
      <c r="DP108" s="4">
        <f>ROUND(EC108,2)</f>
        <v>5289.69</v>
      </c>
      <c r="DQ108" s="4">
        <f>ROUND(ED108,2)</f>
        <v>3043.36</v>
      </c>
      <c r="DR108" s="4"/>
      <c r="DS108" s="4"/>
      <c r="DT108" s="4">
        <f>ROUND(SUMIF(AA101:AA106,"=55722484",O101:O106),2)</f>
        <v>4630.14</v>
      </c>
      <c r="DU108" s="4">
        <f>ROUND(SUMIF(AA101:AA106,"=55722484",P101:P106),2)</f>
        <v>62.83</v>
      </c>
      <c r="DV108" s="4">
        <f>ROUND(SUMIF(AA101:AA106,"=55722484",Q101:Q106),2)</f>
        <v>193.48</v>
      </c>
      <c r="DW108" s="4">
        <f>ROUND(SUMIF(AA101:AA106,"=55722484",R101:R106),2)</f>
        <v>118.69</v>
      </c>
      <c r="DX108" s="4">
        <f>ROUND(SUMIF(AA101:AA106,"=55722484",S101:S106),2)</f>
        <v>4373.83</v>
      </c>
      <c r="DY108" s="4">
        <f>ROUND(SUMIF(AA101:AA106,"=55722484",T101:T106),2)</f>
        <v>0</v>
      </c>
      <c r="DZ108" s="4">
        <f>SUMIF(AA101:AA106,"=55722484",U101:U106)</f>
        <v>14.1323</v>
      </c>
      <c r="EA108" s="4">
        <f>SUMIF(AA101:AA106,"=55722484",V101:V106)</f>
        <v>0.24780000000000002</v>
      </c>
      <c r="EB108" s="4">
        <f>ROUND(SUMIF(AA101:AA106,"=55722484",W101:W106),2)</f>
        <v>0</v>
      </c>
      <c r="EC108" s="4">
        <f>ROUND(SUMIF(AA101:AA106,"=55722484",X101:X106),2)</f>
        <v>5289.69</v>
      </c>
      <c r="ED108" s="4">
        <f>ROUND(SUMIF(AA101:AA106,"=55722484",Y101:Y106),2)</f>
        <v>3043.36</v>
      </c>
      <c r="EE108" s="4"/>
      <c r="EF108" s="4"/>
      <c r="EG108" s="4">
        <f aca="true" t="shared" si="108" ref="EG108:EV108">ROUND(FP108,2)</f>
        <v>0</v>
      </c>
      <c r="EH108" s="4">
        <f t="shared" si="108"/>
        <v>0</v>
      </c>
      <c r="EI108" s="4">
        <f t="shared" si="108"/>
        <v>0</v>
      </c>
      <c r="EJ108" s="4">
        <f t="shared" si="108"/>
        <v>12963.19</v>
      </c>
      <c r="EK108" s="4">
        <f t="shared" si="108"/>
        <v>12963.19</v>
      </c>
      <c r="EL108" s="4">
        <f t="shared" si="108"/>
        <v>0</v>
      </c>
      <c r="EM108" s="4">
        <f t="shared" si="108"/>
        <v>0</v>
      </c>
      <c r="EN108" s="4">
        <f t="shared" si="108"/>
        <v>62.83</v>
      </c>
      <c r="EO108" s="4">
        <f t="shared" si="108"/>
        <v>62.83</v>
      </c>
      <c r="EP108" s="4">
        <f t="shared" si="108"/>
        <v>0</v>
      </c>
      <c r="EQ108" s="4">
        <f t="shared" si="108"/>
        <v>62.83</v>
      </c>
      <c r="ER108" s="4">
        <f t="shared" si="108"/>
        <v>0</v>
      </c>
      <c r="ES108" s="4">
        <f t="shared" si="108"/>
        <v>0</v>
      </c>
      <c r="ET108" s="4">
        <f t="shared" si="108"/>
        <v>0</v>
      </c>
      <c r="EU108" s="4">
        <f t="shared" si="108"/>
        <v>0</v>
      </c>
      <c r="EV108" s="4">
        <f t="shared" si="108"/>
        <v>0</v>
      </c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>
        <f>ROUND(SUMIF(AA101:AA106,"=55722484",FQ101:FQ106),2)</f>
        <v>0</v>
      </c>
      <c r="FQ108" s="4">
        <f>ROUND(SUMIF(AA101:AA106,"=55722484",FR101:FR106),2)</f>
        <v>0</v>
      </c>
      <c r="FR108" s="4">
        <f>ROUND(SUMIF(AA101:AA106,"=55722484",GL101:GL106),2)</f>
        <v>0</v>
      </c>
      <c r="FS108" s="4">
        <f>ROUND(SUMIF(AA101:AA106,"=55722484",GM101:GM106),2)</f>
        <v>12963.19</v>
      </c>
      <c r="FT108" s="4">
        <f>ROUND(SUMIF(AA101:AA106,"=55722484",GN101:GN106),2)</f>
        <v>12963.19</v>
      </c>
      <c r="FU108" s="4">
        <f>ROUND(SUMIF(AA101:AA106,"=55722484",GO101:GO106),2)</f>
        <v>0</v>
      </c>
      <c r="FV108" s="4">
        <f>ROUND(SUMIF(AA101:AA106,"=55722484",GP101:GP106),2)</f>
        <v>0</v>
      </c>
      <c r="FW108" s="4">
        <f>DU108-FP108</f>
        <v>62.83</v>
      </c>
      <c r="FX108" s="4">
        <f>DU108-FQ108</f>
        <v>62.83</v>
      </c>
      <c r="FY108" s="4">
        <f>FP108-FR108</f>
        <v>0</v>
      </c>
      <c r="FZ108" s="4">
        <f>DU108-FP108-FQ108+FR108</f>
        <v>62.83</v>
      </c>
      <c r="GA108" s="4">
        <f>FQ108-FR108</f>
        <v>0</v>
      </c>
      <c r="GB108" s="4">
        <f>ROUND(SUMIF(AA101:AA106,"=55722484",GX101:GX106),2)</f>
        <v>0</v>
      </c>
      <c r="GC108" s="4">
        <f>ROUND(SUMIF(AA101:AA106,"=55722484",GY101:GY106),2)</f>
        <v>0</v>
      </c>
      <c r="GD108" s="4">
        <f>ROUND(SUMIF(AA101:AA106,"=55722484",GZ101:GZ106),2)</f>
        <v>0</v>
      </c>
      <c r="GE108" s="4">
        <f>ROUND(SUMIF(AA101:AA106,"=55722484",HD101:HD106),2)</f>
        <v>0</v>
      </c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>
        <v>0</v>
      </c>
    </row>
    <row r="110" spans="1:28" ht="12.75">
      <c r="A110" s="5">
        <v>50</v>
      </c>
      <c r="B110" s="5">
        <v>0</v>
      </c>
      <c r="C110" s="5">
        <v>0</v>
      </c>
      <c r="D110" s="5">
        <v>1</v>
      </c>
      <c r="E110" s="5">
        <v>201</v>
      </c>
      <c r="F110" s="5">
        <f>ROUND(Source!O108,O110)</f>
        <v>136.95</v>
      </c>
      <c r="G110" s="5" t="s">
        <v>101</v>
      </c>
      <c r="H110" s="5" t="s">
        <v>102</v>
      </c>
      <c r="I110" s="5"/>
      <c r="J110" s="5"/>
      <c r="K110" s="5">
        <v>201</v>
      </c>
      <c r="L110" s="5">
        <v>1</v>
      </c>
      <c r="M110" s="5">
        <v>3</v>
      </c>
      <c r="N110" s="5" t="s">
        <v>3</v>
      </c>
      <c r="O110" s="5">
        <v>2</v>
      </c>
      <c r="P110" s="5">
        <f>ROUND(Source!DG108,O110)</f>
        <v>4630.14</v>
      </c>
      <c r="Q110" s="5"/>
      <c r="R110" s="5"/>
      <c r="S110" s="5"/>
      <c r="T110" s="5"/>
      <c r="U110" s="5"/>
      <c r="V110" s="5"/>
      <c r="W110" s="5">
        <v>136.95</v>
      </c>
      <c r="X110" s="5">
        <v>1</v>
      </c>
      <c r="Y110" s="5">
        <v>136.95</v>
      </c>
      <c r="Z110" s="5">
        <v>4630.14</v>
      </c>
      <c r="AA110" s="5">
        <v>1</v>
      </c>
      <c r="AB110" s="5">
        <v>4630.14</v>
      </c>
    </row>
    <row r="111" spans="1:28" ht="12.75">
      <c r="A111" s="5">
        <v>50</v>
      </c>
      <c r="B111" s="5">
        <v>0</v>
      </c>
      <c r="C111" s="5">
        <v>0</v>
      </c>
      <c r="D111" s="5">
        <v>1</v>
      </c>
      <c r="E111" s="5">
        <v>202</v>
      </c>
      <c r="F111" s="5">
        <f>ROUND(Source!P108,O111)</f>
        <v>9.21</v>
      </c>
      <c r="G111" s="5" t="s">
        <v>103</v>
      </c>
      <c r="H111" s="5" t="s">
        <v>104</v>
      </c>
      <c r="I111" s="5"/>
      <c r="J111" s="5"/>
      <c r="K111" s="5">
        <v>202</v>
      </c>
      <c r="L111" s="5">
        <v>2</v>
      </c>
      <c r="M111" s="5">
        <v>3</v>
      </c>
      <c r="N111" s="5" t="s">
        <v>3</v>
      </c>
      <c r="O111" s="5">
        <v>2</v>
      </c>
      <c r="P111" s="5">
        <f>ROUND(Source!DH108,O111)</f>
        <v>62.83</v>
      </c>
      <c r="Q111" s="5"/>
      <c r="R111" s="5"/>
      <c r="S111" s="5"/>
      <c r="T111" s="5"/>
      <c r="U111" s="5"/>
      <c r="V111" s="5"/>
      <c r="W111" s="5">
        <v>9.21</v>
      </c>
      <c r="X111" s="5">
        <v>1</v>
      </c>
      <c r="Y111" s="5">
        <v>9.21</v>
      </c>
      <c r="Z111" s="5">
        <v>62.83</v>
      </c>
      <c r="AA111" s="5">
        <v>1</v>
      </c>
      <c r="AB111" s="5">
        <v>62.83</v>
      </c>
    </row>
    <row r="112" spans="1:28" ht="12.75">
      <c r="A112" s="5">
        <v>50</v>
      </c>
      <c r="B112" s="5">
        <v>0</v>
      </c>
      <c r="C112" s="5">
        <v>0</v>
      </c>
      <c r="D112" s="5">
        <v>1</v>
      </c>
      <c r="E112" s="5">
        <v>222</v>
      </c>
      <c r="F112" s="5">
        <f>ROUND(Source!AO108,O112)</f>
        <v>0</v>
      </c>
      <c r="G112" s="5" t="s">
        <v>105</v>
      </c>
      <c r="H112" s="5" t="s">
        <v>106</v>
      </c>
      <c r="I112" s="5"/>
      <c r="J112" s="5"/>
      <c r="K112" s="5">
        <v>222</v>
      </c>
      <c r="L112" s="5">
        <v>3</v>
      </c>
      <c r="M112" s="5">
        <v>3</v>
      </c>
      <c r="N112" s="5" t="s">
        <v>3</v>
      </c>
      <c r="O112" s="5">
        <v>2</v>
      </c>
      <c r="P112" s="5">
        <f>ROUND(Source!EG108,O112)</f>
        <v>0</v>
      </c>
      <c r="Q112" s="5"/>
      <c r="R112" s="5"/>
      <c r="S112" s="5"/>
      <c r="T112" s="5"/>
      <c r="U112" s="5"/>
      <c r="V112" s="5"/>
      <c r="W112" s="5">
        <v>0</v>
      </c>
      <c r="X112" s="5">
        <v>1</v>
      </c>
      <c r="Y112" s="5">
        <v>0</v>
      </c>
      <c r="Z112" s="5">
        <v>0</v>
      </c>
      <c r="AA112" s="5">
        <v>1</v>
      </c>
      <c r="AB112" s="5">
        <v>0</v>
      </c>
    </row>
    <row r="113" spans="1:28" ht="12.75">
      <c r="A113" s="5">
        <v>50</v>
      </c>
      <c r="B113" s="5">
        <v>0</v>
      </c>
      <c r="C113" s="5">
        <v>0</v>
      </c>
      <c r="D113" s="5">
        <v>1</v>
      </c>
      <c r="E113" s="5">
        <v>225</v>
      </c>
      <c r="F113" s="5">
        <f>ROUND(Source!AV108,O113)</f>
        <v>9.21</v>
      </c>
      <c r="G113" s="5" t="s">
        <v>107</v>
      </c>
      <c r="H113" s="5" t="s">
        <v>108</v>
      </c>
      <c r="I113" s="5"/>
      <c r="J113" s="5"/>
      <c r="K113" s="5">
        <v>225</v>
      </c>
      <c r="L113" s="5">
        <v>4</v>
      </c>
      <c r="M113" s="5">
        <v>3</v>
      </c>
      <c r="N113" s="5" t="s">
        <v>3</v>
      </c>
      <c r="O113" s="5">
        <v>2</v>
      </c>
      <c r="P113" s="5">
        <f>ROUND(Source!EN108,O113)</f>
        <v>62.83</v>
      </c>
      <c r="Q113" s="5"/>
      <c r="R113" s="5"/>
      <c r="S113" s="5"/>
      <c r="T113" s="5"/>
      <c r="U113" s="5"/>
      <c r="V113" s="5"/>
      <c r="W113" s="5">
        <v>9.21</v>
      </c>
      <c r="X113" s="5">
        <v>1</v>
      </c>
      <c r="Y113" s="5">
        <v>9.21</v>
      </c>
      <c r="Z113" s="5">
        <v>62.83</v>
      </c>
      <c r="AA113" s="5">
        <v>1</v>
      </c>
      <c r="AB113" s="5">
        <v>62.83</v>
      </c>
    </row>
    <row r="114" spans="1:28" ht="12.75">
      <c r="A114" s="5">
        <v>50</v>
      </c>
      <c r="B114" s="5">
        <v>0</v>
      </c>
      <c r="C114" s="5">
        <v>0</v>
      </c>
      <c r="D114" s="5">
        <v>1</v>
      </c>
      <c r="E114" s="5">
        <v>226</v>
      </c>
      <c r="F114" s="5">
        <f>ROUND(Source!AW108,O114)</f>
        <v>9.21</v>
      </c>
      <c r="G114" s="5" t="s">
        <v>109</v>
      </c>
      <c r="H114" s="5" t="s">
        <v>110</v>
      </c>
      <c r="I114" s="5"/>
      <c r="J114" s="5"/>
      <c r="K114" s="5">
        <v>226</v>
      </c>
      <c r="L114" s="5">
        <v>5</v>
      </c>
      <c r="M114" s="5">
        <v>3</v>
      </c>
      <c r="N114" s="5" t="s">
        <v>3</v>
      </c>
      <c r="O114" s="5">
        <v>2</v>
      </c>
      <c r="P114" s="5">
        <f>ROUND(Source!EO108,O114)</f>
        <v>62.83</v>
      </c>
      <c r="Q114" s="5"/>
      <c r="R114" s="5"/>
      <c r="S114" s="5"/>
      <c r="T114" s="5"/>
      <c r="U114" s="5"/>
      <c r="V114" s="5"/>
      <c r="W114" s="5">
        <v>9.21</v>
      </c>
      <c r="X114" s="5">
        <v>1</v>
      </c>
      <c r="Y114" s="5">
        <v>9.21</v>
      </c>
      <c r="Z114" s="5">
        <v>62.83</v>
      </c>
      <c r="AA114" s="5">
        <v>1</v>
      </c>
      <c r="AB114" s="5">
        <v>62.83</v>
      </c>
    </row>
    <row r="115" spans="1:28" ht="12.75">
      <c r="A115" s="5">
        <v>50</v>
      </c>
      <c r="B115" s="5">
        <v>0</v>
      </c>
      <c r="C115" s="5">
        <v>0</v>
      </c>
      <c r="D115" s="5">
        <v>1</v>
      </c>
      <c r="E115" s="5">
        <v>227</v>
      </c>
      <c r="F115" s="5">
        <f>ROUND(Source!AX108,O115)</f>
        <v>0</v>
      </c>
      <c r="G115" s="5" t="s">
        <v>111</v>
      </c>
      <c r="H115" s="5" t="s">
        <v>112</v>
      </c>
      <c r="I115" s="5"/>
      <c r="J115" s="5"/>
      <c r="K115" s="5">
        <v>227</v>
      </c>
      <c r="L115" s="5">
        <v>6</v>
      </c>
      <c r="M115" s="5">
        <v>3</v>
      </c>
      <c r="N115" s="5" t="s">
        <v>3</v>
      </c>
      <c r="O115" s="5">
        <v>2</v>
      </c>
      <c r="P115" s="5">
        <f>ROUND(Source!EP108,O115)</f>
        <v>0</v>
      </c>
      <c r="Q115" s="5"/>
      <c r="R115" s="5"/>
      <c r="S115" s="5"/>
      <c r="T115" s="5"/>
      <c r="U115" s="5"/>
      <c r="V115" s="5"/>
      <c r="W115" s="5">
        <v>0</v>
      </c>
      <c r="X115" s="5">
        <v>1</v>
      </c>
      <c r="Y115" s="5">
        <v>0</v>
      </c>
      <c r="Z115" s="5">
        <v>0</v>
      </c>
      <c r="AA115" s="5">
        <v>1</v>
      </c>
      <c r="AB115" s="5">
        <v>0</v>
      </c>
    </row>
    <row r="116" spans="1:28" ht="12.75">
      <c r="A116" s="5">
        <v>50</v>
      </c>
      <c r="B116" s="5">
        <v>0</v>
      </c>
      <c r="C116" s="5">
        <v>0</v>
      </c>
      <c r="D116" s="5">
        <v>1</v>
      </c>
      <c r="E116" s="5">
        <v>228</v>
      </c>
      <c r="F116" s="5">
        <f>ROUND(Source!AY108,O116)</f>
        <v>9.21</v>
      </c>
      <c r="G116" s="5" t="s">
        <v>113</v>
      </c>
      <c r="H116" s="5" t="s">
        <v>114</v>
      </c>
      <c r="I116" s="5"/>
      <c r="J116" s="5"/>
      <c r="K116" s="5">
        <v>228</v>
      </c>
      <c r="L116" s="5">
        <v>7</v>
      </c>
      <c r="M116" s="5">
        <v>3</v>
      </c>
      <c r="N116" s="5" t="s">
        <v>3</v>
      </c>
      <c r="O116" s="5">
        <v>2</v>
      </c>
      <c r="P116" s="5">
        <f>ROUND(Source!EQ108,O116)</f>
        <v>62.83</v>
      </c>
      <c r="Q116" s="5"/>
      <c r="R116" s="5"/>
      <c r="S116" s="5"/>
      <c r="T116" s="5"/>
      <c r="U116" s="5"/>
      <c r="V116" s="5"/>
      <c r="W116" s="5">
        <v>9.21</v>
      </c>
      <c r="X116" s="5">
        <v>1</v>
      </c>
      <c r="Y116" s="5">
        <v>9.21</v>
      </c>
      <c r="Z116" s="5">
        <v>62.83</v>
      </c>
      <c r="AA116" s="5">
        <v>1</v>
      </c>
      <c r="AB116" s="5">
        <v>62.83</v>
      </c>
    </row>
    <row r="117" spans="1:28" ht="12.75">
      <c r="A117" s="5">
        <v>50</v>
      </c>
      <c r="B117" s="5">
        <v>0</v>
      </c>
      <c r="C117" s="5">
        <v>0</v>
      </c>
      <c r="D117" s="5">
        <v>1</v>
      </c>
      <c r="E117" s="5">
        <v>216</v>
      </c>
      <c r="F117" s="5">
        <f>ROUND(Source!AP108,O117)</f>
        <v>0</v>
      </c>
      <c r="G117" s="5" t="s">
        <v>115</v>
      </c>
      <c r="H117" s="5" t="s">
        <v>116</v>
      </c>
      <c r="I117" s="5"/>
      <c r="J117" s="5"/>
      <c r="K117" s="5">
        <v>216</v>
      </c>
      <c r="L117" s="5">
        <v>8</v>
      </c>
      <c r="M117" s="5">
        <v>3</v>
      </c>
      <c r="N117" s="5" t="s">
        <v>3</v>
      </c>
      <c r="O117" s="5">
        <v>2</v>
      </c>
      <c r="P117" s="5">
        <f>ROUND(Source!EH108,O117)</f>
        <v>0</v>
      </c>
      <c r="Q117" s="5"/>
      <c r="R117" s="5"/>
      <c r="S117" s="5"/>
      <c r="T117" s="5"/>
      <c r="U117" s="5"/>
      <c r="V117" s="5"/>
      <c r="W117" s="5">
        <v>0</v>
      </c>
      <c r="X117" s="5">
        <v>1</v>
      </c>
      <c r="Y117" s="5">
        <v>0</v>
      </c>
      <c r="Z117" s="5">
        <v>0</v>
      </c>
      <c r="AA117" s="5">
        <v>1</v>
      </c>
      <c r="AB117" s="5">
        <v>0</v>
      </c>
    </row>
    <row r="118" spans="1:28" ht="12.75">
      <c r="A118" s="5">
        <v>50</v>
      </c>
      <c r="B118" s="5">
        <v>0</v>
      </c>
      <c r="C118" s="5">
        <v>0</v>
      </c>
      <c r="D118" s="5">
        <v>1</v>
      </c>
      <c r="E118" s="5">
        <v>223</v>
      </c>
      <c r="F118" s="5">
        <f>ROUND(Source!AQ108,O118)</f>
        <v>0</v>
      </c>
      <c r="G118" s="5" t="s">
        <v>117</v>
      </c>
      <c r="H118" s="5" t="s">
        <v>118</v>
      </c>
      <c r="I118" s="5"/>
      <c r="J118" s="5"/>
      <c r="K118" s="5">
        <v>223</v>
      </c>
      <c r="L118" s="5">
        <v>9</v>
      </c>
      <c r="M118" s="5">
        <v>3</v>
      </c>
      <c r="N118" s="5" t="s">
        <v>3</v>
      </c>
      <c r="O118" s="5">
        <v>2</v>
      </c>
      <c r="P118" s="5">
        <f>ROUND(Source!EI108,O118)</f>
        <v>0</v>
      </c>
      <c r="Q118" s="5"/>
      <c r="R118" s="5"/>
      <c r="S118" s="5"/>
      <c r="T118" s="5"/>
      <c r="U118" s="5"/>
      <c r="V118" s="5"/>
      <c r="W118" s="5">
        <v>0</v>
      </c>
      <c r="X118" s="5">
        <v>1</v>
      </c>
      <c r="Y118" s="5">
        <v>0</v>
      </c>
      <c r="Z118" s="5">
        <v>0</v>
      </c>
      <c r="AA118" s="5">
        <v>1</v>
      </c>
      <c r="AB118" s="5">
        <v>0</v>
      </c>
    </row>
    <row r="119" spans="1:28" ht="12.75">
      <c r="A119" s="5">
        <v>50</v>
      </c>
      <c r="B119" s="5">
        <v>0</v>
      </c>
      <c r="C119" s="5">
        <v>0</v>
      </c>
      <c r="D119" s="5">
        <v>1</v>
      </c>
      <c r="E119" s="5">
        <v>229</v>
      </c>
      <c r="F119" s="5">
        <f>ROUND(Source!AZ108,O119)</f>
        <v>0</v>
      </c>
      <c r="G119" s="5" t="s">
        <v>119</v>
      </c>
      <c r="H119" s="5" t="s">
        <v>120</v>
      </c>
      <c r="I119" s="5"/>
      <c r="J119" s="5"/>
      <c r="K119" s="5">
        <v>229</v>
      </c>
      <c r="L119" s="5">
        <v>10</v>
      </c>
      <c r="M119" s="5">
        <v>3</v>
      </c>
      <c r="N119" s="5" t="s">
        <v>3</v>
      </c>
      <c r="O119" s="5">
        <v>2</v>
      </c>
      <c r="P119" s="5">
        <f>ROUND(Source!ER108,O119)</f>
        <v>0</v>
      </c>
      <c r="Q119" s="5"/>
      <c r="R119" s="5"/>
      <c r="S119" s="5"/>
      <c r="T119" s="5"/>
      <c r="U119" s="5"/>
      <c r="V119" s="5"/>
      <c r="W119" s="5">
        <v>0</v>
      </c>
      <c r="X119" s="5">
        <v>1</v>
      </c>
      <c r="Y119" s="5">
        <v>0</v>
      </c>
      <c r="Z119" s="5">
        <v>0</v>
      </c>
      <c r="AA119" s="5">
        <v>1</v>
      </c>
      <c r="AB119" s="5">
        <v>0</v>
      </c>
    </row>
    <row r="120" spans="1:28" ht="12.75">
      <c r="A120" s="5">
        <v>50</v>
      </c>
      <c r="B120" s="5">
        <v>0</v>
      </c>
      <c r="C120" s="5">
        <v>0</v>
      </c>
      <c r="D120" s="5">
        <v>1</v>
      </c>
      <c r="E120" s="5">
        <v>203</v>
      </c>
      <c r="F120" s="5">
        <f>ROUND(Source!Q108,O120)</f>
        <v>14.4</v>
      </c>
      <c r="G120" s="5" t="s">
        <v>121</v>
      </c>
      <c r="H120" s="5" t="s">
        <v>122</v>
      </c>
      <c r="I120" s="5"/>
      <c r="J120" s="5"/>
      <c r="K120" s="5">
        <v>203</v>
      </c>
      <c r="L120" s="5">
        <v>11</v>
      </c>
      <c r="M120" s="5">
        <v>3</v>
      </c>
      <c r="N120" s="5" t="s">
        <v>3</v>
      </c>
      <c r="O120" s="5">
        <v>2</v>
      </c>
      <c r="P120" s="5">
        <f>ROUND(Source!DI108,O120)</f>
        <v>193.48</v>
      </c>
      <c r="Q120" s="5"/>
      <c r="R120" s="5"/>
      <c r="S120" s="5"/>
      <c r="T120" s="5"/>
      <c r="U120" s="5"/>
      <c r="V120" s="5"/>
      <c r="W120" s="5">
        <v>14.399999999999999</v>
      </c>
      <c r="X120" s="5">
        <v>1</v>
      </c>
      <c r="Y120" s="5">
        <v>14.399999999999999</v>
      </c>
      <c r="Z120" s="5">
        <v>193.48000000000002</v>
      </c>
      <c r="AA120" s="5">
        <v>1</v>
      </c>
      <c r="AB120" s="5">
        <v>193.48000000000002</v>
      </c>
    </row>
    <row r="121" spans="1:28" ht="12.75">
      <c r="A121" s="5">
        <v>50</v>
      </c>
      <c r="B121" s="5">
        <v>0</v>
      </c>
      <c r="C121" s="5">
        <v>0</v>
      </c>
      <c r="D121" s="5">
        <v>1</v>
      </c>
      <c r="E121" s="5">
        <v>231</v>
      </c>
      <c r="F121" s="5">
        <f>ROUND(Source!BB108,O121)</f>
        <v>0</v>
      </c>
      <c r="G121" s="5" t="s">
        <v>123</v>
      </c>
      <c r="H121" s="5" t="s">
        <v>124</v>
      </c>
      <c r="I121" s="5"/>
      <c r="J121" s="5"/>
      <c r="K121" s="5">
        <v>231</v>
      </c>
      <c r="L121" s="5">
        <v>12</v>
      </c>
      <c r="M121" s="5">
        <v>3</v>
      </c>
      <c r="N121" s="5" t="s">
        <v>3</v>
      </c>
      <c r="O121" s="5">
        <v>2</v>
      </c>
      <c r="P121" s="5">
        <f>ROUND(Source!ET108,O121)</f>
        <v>0</v>
      </c>
      <c r="Q121" s="5"/>
      <c r="R121" s="5"/>
      <c r="S121" s="5"/>
      <c r="T121" s="5"/>
      <c r="U121" s="5"/>
      <c r="V121" s="5"/>
      <c r="W121" s="5">
        <v>0</v>
      </c>
      <c r="X121" s="5">
        <v>1</v>
      </c>
      <c r="Y121" s="5">
        <v>0</v>
      </c>
      <c r="Z121" s="5">
        <v>0</v>
      </c>
      <c r="AA121" s="5">
        <v>1</v>
      </c>
      <c r="AB121" s="5">
        <v>0</v>
      </c>
    </row>
    <row r="122" spans="1:28" ht="12.75">
      <c r="A122" s="5">
        <v>50</v>
      </c>
      <c r="B122" s="5">
        <v>0</v>
      </c>
      <c r="C122" s="5">
        <v>0</v>
      </c>
      <c r="D122" s="5">
        <v>1</v>
      </c>
      <c r="E122" s="5">
        <v>204</v>
      </c>
      <c r="F122" s="5">
        <f>ROUND(Source!R108,O122)</f>
        <v>3.08</v>
      </c>
      <c r="G122" s="5" t="s">
        <v>125</v>
      </c>
      <c r="H122" s="5" t="s">
        <v>126</v>
      </c>
      <c r="I122" s="5"/>
      <c r="J122" s="5"/>
      <c r="K122" s="5">
        <v>204</v>
      </c>
      <c r="L122" s="5">
        <v>13</v>
      </c>
      <c r="M122" s="5">
        <v>3</v>
      </c>
      <c r="N122" s="5" t="s">
        <v>3</v>
      </c>
      <c r="O122" s="5">
        <v>2</v>
      </c>
      <c r="P122" s="5">
        <f>ROUND(Source!DJ108,O122)</f>
        <v>118.69</v>
      </c>
      <c r="Q122" s="5"/>
      <c r="R122" s="5"/>
      <c r="S122" s="5"/>
      <c r="T122" s="5"/>
      <c r="U122" s="5"/>
      <c r="V122" s="5"/>
      <c r="W122" s="5">
        <v>3.08</v>
      </c>
      <c r="X122" s="5">
        <v>1</v>
      </c>
      <c r="Y122" s="5">
        <v>3.08</v>
      </c>
      <c r="Z122" s="5">
        <v>118.69</v>
      </c>
      <c r="AA122" s="5">
        <v>1</v>
      </c>
      <c r="AB122" s="5">
        <v>118.69</v>
      </c>
    </row>
    <row r="123" spans="1:28" ht="12.75">
      <c r="A123" s="5">
        <v>50</v>
      </c>
      <c r="B123" s="5">
        <v>0</v>
      </c>
      <c r="C123" s="5">
        <v>0</v>
      </c>
      <c r="D123" s="5">
        <v>1</v>
      </c>
      <c r="E123" s="5">
        <v>205</v>
      </c>
      <c r="F123" s="5">
        <f>ROUND(Source!S108,O123)</f>
        <v>113.34</v>
      </c>
      <c r="G123" s="5" t="s">
        <v>127</v>
      </c>
      <c r="H123" s="5" t="s">
        <v>128</v>
      </c>
      <c r="I123" s="5"/>
      <c r="J123" s="5"/>
      <c r="K123" s="5">
        <v>205</v>
      </c>
      <c r="L123" s="5">
        <v>14</v>
      </c>
      <c r="M123" s="5">
        <v>3</v>
      </c>
      <c r="N123" s="5" t="s">
        <v>3</v>
      </c>
      <c r="O123" s="5">
        <v>2</v>
      </c>
      <c r="P123" s="5">
        <f>ROUND(Source!DK108,O123)</f>
        <v>4373.83</v>
      </c>
      <c r="Q123" s="5"/>
      <c r="R123" s="5"/>
      <c r="S123" s="5"/>
      <c r="T123" s="5"/>
      <c r="U123" s="5"/>
      <c r="V123" s="5"/>
      <c r="W123" s="5">
        <v>113.34</v>
      </c>
      <c r="X123" s="5">
        <v>1</v>
      </c>
      <c r="Y123" s="5">
        <v>113.34</v>
      </c>
      <c r="Z123" s="5">
        <v>4373.83</v>
      </c>
      <c r="AA123" s="5">
        <v>1</v>
      </c>
      <c r="AB123" s="5">
        <v>4373.83</v>
      </c>
    </row>
    <row r="124" spans="1:28" ht="12.75">
      <c r="A124" s="5">
        <v>50</v>
      </c>
      <c r="B124" s="5">
        <v>0</v>
      </c>
      <c r="C124" s="5">
        <v>0</v>
      </c>
      <c r="D124" s="5">
        <v>1</v>
      </c>
      <c r="E124" s="5">
        <v>232</v>
      </c>
      <c r="F124" s="5">
        <f>ROUND(Source!BC108,O124)</f>
        <v>0</v>
      </c>
      <c r="G124" s="5" t="s">
        <v>129</v>
      </c>
      <c r="H124" s="5" t="s">
        <v>130</v>
      </c>
      <c r="I124" s="5"/>
      <c r="J124" s="5"/>
      <c r="K124" s="5">
        <v>232</v>
      </c>
      <c r="L124" s="5">
        <v>15</v>
      </c>
      <c r="M124" s="5">
        <v>3</v>
      </c>
      <c r="N124" s="5" t="s">
        <v>3</v>
      </c>
      <c r="O124" s="5">
        <v>2</v>
      </c>
      <c r="P124" s="5">
        <f>ROUND(Source!EU108,O124)</f>
        <v>0</v>
      </c>
      <c r="Q124" s="5"/>
      <c r="R124" s="5"/>
      <c r="S124" s="5"/>
      <c r="T124" s="5"/>
      <c r="U124" s="5"/>
      <c r="V124" s="5"/>
      <c r="W124" s="5">
        <v>0</v>
      </c>
      <c r="X124" s="5">
        <v>1</v>
      </c>
      <c r="Y124" s="5">
        <v>0</v>
      </c>
      <c r="Z124" s="5">
        <v>0</v>
      </c>
      <c r="AA124" s="5">
        <v>1</v>
      </c>
      <c r="AB124" s="5">
        <v>0</v>
      </c>
    </row>
    <row r="125" spans="1:28" ht="12.75">
      <c r="A125" s="5">
        <v>50</v>
      </c>
      <c r="B125" s="5">
        <v>0</v>
      </c>
      <c r="C125" s="5">
        <v>0</v>
      </c>
      <c r="D125" s="5">
        <v>1</v>
      </c>
      <c r="E125" s="5">
        <v>214</v>
      </c>
      <c r="F125" s="5">
        <f>ROUND(Source!AS108,O125)</f>
        <v>352.89</v>
      </c>
      <c r="G125" s="5" t="s">
        <v>131</v>
      </c>
      <c r="H125" s="5" t="s">
        <v>132</v>
      </c>
      <c r="I125" s="5"/>
      <c r="J125" s="5"/>
      <c r="K125" s="5">
        <v>214</v>
      </c>
      <c r="L125" s="5">
        <v>16</v>
      </c>
      <c r="M125" s="5">
        <v>3</v>
      </c>
      <c r="N125" s="5" t="s">
        <v>3</v>
      </c>
      <c r="O125" s="5">
        <v>2</v>
      </c>
      <c r="P125" s="5">
        <f>ROUND(Source!EK108,O125)</f>
        <v>12963.19</v>
      </c>
      <c r="Q125" s="5"/>
      <c r="R125" s="5"/>
      <c r="S125" s="5"/>
      <c r="T125" s="5"/>
      <c r="U125" s="5"/>
      <c r="V125" s="5"/>
      <c r="W125" s="5">
        <v>352.89</v>
      </c>
      <c r="X125" s="5">
        <v>1</v>
      </c>
      <c r="Y125" s="5">
        <v>352.89</v>
      </c>
      <c r="Z125" s="5">
        <v>12963.19</v>
      </c>
      <c r="AA125" s="5">
        <v>1</v>
      </c>
      <c r="AB125" s="5">
        <v>12963.19</v>
      </c>
    </row>
    <row r="126" spans="1:28" ht="12.75">
      <c r="A126" s="5">
        <v>50</v>
      </c>
      <c r="B126" s="5">
        <v>0</v>
      </c>
      <c r="C126" s="5">
        <v>0</v>
      </c>
      <c r="D126" s="5">
        <v>1</v>
      </c>
      <c r="E126" s="5">
        <v>215</v>
      </c>
      <c r="F126" s="5">
        <f>ROUND(Source!AT108,O126)</f>
        <v>0</v>
      </c>
      <c r="G126" s="5" t="s">
        <v>133</v>
      </c>
      <c r="H126" s="5" t="s">
        <v>134</v>
      </c>
      <c r="I126" s="5"/>
      <c r="J126" s="5"/>
      <c r="K126" s="5">
        <v>215</v>
      </c>
      <c r="L126" s="5">
        <v>17</v>
      </c>
      <c r="M126" s="5">
        <v>3</v>
      </c>
      <c r="N126" s="5" t="s">
        <v>3</v>
      </c>
      <c r="O126" s="5">
        <v>2</v>
      </c>
      <c r="P126" s="5">
        <f>ROUND(Source!EL108,O126)</f>
        <v>0</v>
      </c>
      <c r="Q126" s="5"/>
      <c r="R126" s="5"/>
      <c r="S126" s="5"/>
      <c r="T126" s="5"/>
      <c r="U126" s="5"/>
      <c r="V126" s="5"/>
      <c r="W126" s="5">
        <v>0</v>
      </c>
      <c r="X126" s="5">
        <v>1</v>
      </c>
      <c r="Y126" s="5">
        <v>0</v>
      </c>
      <c r="Z126" s="5">
        <v>0</v>
      </c>
      <c r="AA126" s="5">
        <v>1</v>
      </c>
      <c r="AB126" s="5">
        <v>0</v>
      </c>
    </row>
    <row r="127" spans="1:28" ht="12.75">
      <c r="A127" s="5">
        <v>50</v>
      </c>
      <c r="B127" s="5">
        <v>0</v>
      </c>
      <c r="C127" s="5">
        <v>0</v>
      </c>
      <c r="D127" s="5">
        <v>1</v>
      </c>
      <c r="E127" s="5">
        <v>217</v>
      </c>
      <c r="F127" s="5">
        <f>ROUND(Source!AU108,O127)</f>
        <v>0</v>
      </c>
      <c r="G127" s="5" t="s">
        <v>135</v>
      </c>
      <c r="H127" s="5" t="s">
        <v>136</v>
      </c>
      <c r="I127" s="5"/>
      <c r="J127" s="5"/>
      <c r="K127" s="5">
        <v>217</v>
      </c>
      <c r="L127" s="5">
        <v>18</v>
      </c>
      <c r="M127" s="5">
        <v>3</v>
      </c>
      <c r="N127" s="5" t="s">
        <v>3</v>
      </c>
      <c r="O127" s="5">
        <v>2</v>
      </c>
      <c r="P127" s="5">
        <f>ROUND(Source!EM108,O127)</f>
        <v>0</v>
      </c>
      <c r="Q127" s="5"/>
      <c r="R127" s="5"/>
      <c r="S127" s="5"/>
      <c r="T127" s="5"/>
      <c r="U127" s="5"/>
      <c r="V127" s="5"/>
      <c r="W127" s="5">
        <v>0</v>
      </c>
      <c r="X127" s="5">
        <v>1</v>
      </c>
      <c r="Y127" s="5">
        <v>0</v>
      </c>
      <c r="Z127" s="5">
        <v>0</v>
      </c>
      <c r="AA127" s="5">
        <v>1</v>
      </c>
      <c r="AB127" s="5">
        <v>0</v>
      </c>
    </row>
    <row r="128" spans="1:28" ht="12.75">
      <c r="A128" s="5">
        <v>50</v>
      </c>
      <c r="B128" s="5">
        <v>0</v>
      </c>
      <c r="C128" s="5">
        <v>0</v>
      </c>
      <c r="D128" s="5">
        <v>1</v>
      </c>
      <c r="E128" s="5">
        <v>230</v>
      </c>
      <c r="F128" s="5">
        <f>ROUND(Source!BA108,O128)</f>
        <v>0</v>
      </c>
      <c r="G128" s="5" t="s">
        <v>137</v>
      </c>
      <c r="H128" s="5" t="s">
        <v>138</v>
      </c>
      <c r="I128" s="5"/>
      <c r="J128" s="5"/>
      <c r="K128" s="5">
        <v>230</v>
      </c>
      <c r="L128" s="5">
        <v>19</v>
      </c>
      <c r="M128" s="5">
        <v>3</v>
      </c>
      <c r="N128" s="5" t="s">
        <v>3</v>
      </c>
      <c r="O128" s="5">
        <v>2</v>
      </c>
      <c r="P128" s="5">
        <f>ROUND(Source!ES108,O128)</f>
        <v>0</v>
      </c>
      <c r="Q128" s="5"/>
      <c r="R128" s="5"/>
      <c r="S128" s="5"/>
      <c r="T128" s="5"/>
      <c r="U128" s="5"/>
      <c r="V128" s="5"/>
      <c r="W128" s="5">
        <v>0</v>
      </c>
      <c r="X128" s="5">
        <v>1</v>
      </c>
      <c r="Y128" s="5">
        <v>0</v>
      </c>
      <c r="Z128" s="5">
        <v>0</v>
      </c>
      <c r="AA128" s="5">
        <v>1</v>
      </c>
      <c r="AB128" s="5">
        <v>0</v>
      </c>
    </row>
    <row r="129" spans="1:28" ht="12.75">
      <c r="A129" s="5">
        <v>50</v>
      </c>
      <c r="B129" s="5">
        <v>0</v>
      </c>
      <c r="C129" s="5">
        <v>0</v>
      </c>
      <c r="D129" s="5">
        <v>1</v>
      </c>
      <c r="E129" s="5">
        <v>206</v>
      </c>
      <c r="F129" s="5">
        <f>ROUND(Source!T108,O129)</f>
        <v>0</v>
      </c>
      <c r="G129" s="5" t="s">
        <v>139</v>
      </c>
      <c r="H129" s="5" t="s">
        <v>140</v>
      </c>
      <c r="I129" s="5"/>
      <c r="J129" s="5"/>
      <c r="K129" s="5">
        <v>206</v>
      </c>
      <c r="L129" s="5">
        <v>20</v>
      </c>
      <c r="M129" s="5">
        <v>3</v>
      </c>
      <c r="N129" s="5" t="s">
        <v>3</v>
      </c>
      <c r="O129" s="5">
        <v>2</v>
      </c>
      <c r="P129" s="5">
        <f>ROUND(Source!DL108,O129)</f>
        <v>0</v>
      </c>
      <c r="Q129" s="5"/>
      <c r="R129" s="5"/>
      <c r="S129" s="5"/>
      <c r="T129" s="5"/>
      <c r="U129" s="5"/>
      <c r="V129" s="5"/>
      <c r="W129" s="5">
        <v>0</v>
      </c>
      <c r="X129" s="5">
        <v>1</v>
      </c>
      <c r="Y129" s="5">
        <v>0</v>
      </c>
      <c r="Z129" s="5">
        <v>0</v>
      </c>
      <c r="AA129" s="5">
        <v>1</v>
      </c>
      <c r="AB129" s="5">
        <v>0</v>
      </c>
    </row>
    <row r="130" spans="1:28" ht="12.75">
      <c r="A130" s="5">
        <v>50</v>
      </c>
      <c r="B130" s="5">
        <v>0</v>
      </c>
      <c r="C130" s="5">
        <v>0</v>
      </c>
      <c r="D130" s="5">
        <v>1</v>
      </c>
      <c r="E130" s="5">
        <v>207</v>
      </c>
      <c r="F130" s="5">
        <f>Source!U108</f>
        <v>14.1323</v>
      </c>
      <c r="G130" s="5" t="s">
        <v>141</v>
      </c>
      <c r="H130" s="5" t="s">
        <v>142</v>
      </c>
      <c r="I130" s="5"/>
      <c r="J130" s="5"/>
      <c r="K130" s="5">
        <v>207</v>
      </c>
      <c r="L130" s="5">
        <v>21</v>
      </c>
      <c r="M130" s="5">
        <v>3</v>
      </c>
      <c r="N130" s="5" t="s">
        <v>3</v>
      </c>
      <c r="O130" s="5">
        <v>-1</v>
      </c>
      <c r="P130" s="5">
        <f>Source!DM108</f>
        <v>14.1323</v>
      </c>
      <c r="Q130" s="5"/>
      <c r="R130" s="5"/>
      <c r="S130" s="5"/>
      <c r="T130" s="5"/>
      <c r="U130" s="5"/>
      <c r="V130" s="5"/>
      <c r="W130" s="5">
        <v>14.1323</v>
      </c>
      <c r="X130" s="5">
        <v>1</v>
      </c>
      <c r="Y130" s="5">
        <v>14.1323</v>
      </c>
      <c r="Z130" s="5">
        <v>14.1323</v>
      </c>
      <c r="AA130" s="5">
        <v>1</v>
      </c>
      <c r="AB130" s="5">
        <v>14.1323</v>
      </c>
    </row>
    <row r="131" spans="1:28" ht="12.75">
      <c r="A131" s="5">
        <v>50</v>
      </c>
      <c r="B131" s="5">
        <v>0</v>
      </c>
      <c r="C131" s="5">
        <v>0</v>
      </c>
      <c r="D131" s="5">
        <v>1</v>
      </c>
      <c r="E131" s="5">
        <v>208</v>
      </c>
      <c r="F131" s="5">
        <f>Source!V108</f>
        <v>0.24780000000000002</v>
      </c>
      <c r="G131" s="5" t="s">
        <v>143</v>
      </c>
      <c r="H131" s="5" t="s">
        <v>144</v>
      </c>
      <c r="I131" s="5"/>
      <c r="J131" s="5"/>
      <c r="K131" s="5">
        <v>208</v>
      </c>
      <c r="L131" s="5">
        <v>22</v>
      </c>
      <c r="M131" s="5">
        <v>3</v>
      </c>
      <c r="N131" s="5" t="s">
        <v>3</v>
      </c>
      <c r="O131" s="5">
        <v>-1</v>
      </c>
      <c r="P131" s="5">
        <f>Source!DN108</f>
        <v>0.24780000000000002</v>
      </c>
      <c r="Q131" s="5"/>
      <c r="R131" s="5"/>
      <c r="S131" s="5"/>
      <c r="T131" s="5"/>
      <c r="U131" s="5"/>
      <c r="V131" s="5"/>
      <c r="W131" s="5">
        <v>0.2478</v>
      </c>
      <c r="X131" s="5">
        <v>1</v>
      </c>
      <c r="Y131" s="5">
        <v>0.2478</v>
      </c>
      <c r="Z131" s="5">
        <v>0.2478</v>
      </c>
      <c r="AA131" s="5">
        <v>1</v>
      </c>
      <c r="AB131" s="5">
        <v>0.2478</v>
      </c>
    </row>
    <row r="132" spans="1:28" ht="12.75">
      <c r="A132" s="5">
        <v>50</v>
      </c>
      <c r="B132" s="5">
        <v>0</v>
      </c>
      <c r="C132" s="5">
        <v>0</v>
      </c>
      <c r="D132" s="5">
        <v>1</v>
      </c>
      <c r="E132" s="5">
        <v>209</v>
      </c>
      <c r="F132" s="5">
        <f>ROUND(Source!W108,O132)</f>
        <v>0</v>
      </c>
      <c r="G132" s="5" t="s">
        <v>145</v>
      </c>
      <c r="H132" s="5" t="s">
        <v>146</v>
      </c>
      <c r="I132" s="5"/>
      <c r="J132" s="5"/>
      <c r="K132" s="5">
        <v>209</v>
      </c>
      <c r="L132" s="5">
        <v>23</v>
      </c>
      <c r="M132" s="5">
        <v>3</v>
      </c>
      <c r="N132" s="5" t="s">
        <v>3</v>
      </c>
      <c r="O132" s="5">
        <v>2</v>
      </c>
      <c r="P132" s="5">
        <f>ROUND(Source!DO108,O132)</f>
        <v>0</v>
      </c>
      <c r="Q132" s="5"/>
      <c r="R132" s="5"/>
      <c r="S132" s="5"/>
      <c r="T132" s="5"/>
      <c r="U132" s="5"/>
      <c r="V132" s="5"/>
      <c r="W132" s="5">
        <v>0</v>
      </c>
      <c r="X132" s="5">
        <v>1</v>
      </c>
      <c r="Y132" s="5">
        <v>0</v>
      </c>
      <c r="Z132" s="5">
        <v>0</v>
      </c>
      <c r="AA132" s="5">
        <v>1</v>
      </c>
      <c r="AB132" s="5">
        <v>0</v>
      </c>
    </row>
    <row r="133" spans="1:28" ht="12.75">
      <c r="A133" s="5">
        <v>50</v>
      </c>
      <c r="B133" s="5">
        <v>0</v>
      </c>
      <c r="C133" s="5">
        <v>0</v>
      </c>
      <c r="D133" s="5">
        <v>1</v>
      </c>
      <c r="E133" s="5">
        <v>233</v>
      </c>
      <c r="F133" s="5">
        <f>ROUND(Source!BD108,O133)</f>
        <v>0</v>
      </c>
      <c r="G133" s="5" t="s">
        <v>147</v>
      </c>
      <c r="H133" s="5" t="s">
        <v>148</v>
      </c>
      <c r="I133" s="5"/>
      <c r="J133" s="5"/>
      <c r="K133" s="5">
        <v>233</v>
      </c>
      <c r="L133" s="5">
        <v>24</v>
      </c>
      <c r="M133" s="5">
        <v>3</v>
      </c>
      <c r="N133" s="5" t="s">
        <v>3</v>
      </c>
      <c r="O133" s="5">
        <v>2</v>
      </c>
      <c r="P133" s="5">
        <f>ROUND(Source!EV108,O133)</f>
        <v>0</v>
      </c>
      <c r="Q133" s="5"/>
      <c r="R133" s="5"/>
      <c r="S133" s="5"/>
      <c r="T133" s="5"/>
      <c r="U133" s="5"/>
      <c r="V133" s="5"/>
      <c r="W133" s="5">
        <v>0</v>
      </c>
      <c r="X133" s="5">
        <v>1</v>
      </c>
      <c r="Y133" s="5">
        <v>0</v>
      </c>
      <c r="Z133" s="5">
        <v>0</v>
      </c>
      <c r="AA133" s="5">
        <v>1</v>
      </c>
      <c r="AB133" s="5">
        <v>0</v>
      </c>
    </row>
    <row r="134" spans="1:28" ht="12.75">
      <c r="A134" s="5">
        <v>50</v>
      </c>
      <c r="B134" s="5">
        <v>0</v>
      </c>
      <c r="C134" s="5">
        <v>0</v>
      </c>
      <c r="D134" s="5">
        <v>1</v>
      </c>
      <c r="E134" s="5">
        <v>210</v>
      </c>
      <c r="F134" s="5">
        <f>ROUND(Source!X108,O134)</f>
        <v>137.08</v>
      </c>
      <c r="G134" s="5" t="s">
        <v>149</v>
      </c>
      <c r="H134" s="5" t="s">
        <v>150</v>
      </c>
      <c r="I134" s="5"/>
      <c r="J134" s="5"/>
      <c r="K134" s="5">
        <v>210</v>
      </c>
      <c r="L134" s="5">
        <v>25</v>
      </c>
      <c r="M134" s="5">
        <v>3</v>
      </c>
      <c r="N134" s="5" t="s">
        <v>3</v>
      </c>
      <c r="O134" s="5">
        <v>2</v>
      </c>
      <c r="P134" s="5">
        <f>ROUND(Source!DP108,O134)</f>
        <v>5289.69</v>
      </c>
      <c r="Q134" s="5"/>
      <c r="R134" s="5"/>
      <c r="S134" s="5"/>
      <c r="T134" s="5"/>
      <c r="U134" s="5"/>
      <c r="V134" s="5"/>
      <c r="W134" s="5">
        <v>137.08</v>
      </c>
      <c r="X134" s="5">
        <v>1</v>
      </c>
      <c r="Y134" s="5">
        <v>137.08</v>
      </c>
      <c r="Z134" s="5">
        <v>5289.69</v>
      </c>
      <c r="AA134" s="5">
        <v>1</v>
      </c>
      <c r="AB134" s="5">
        <v>5289.69</v>
      </c>
    </row>
    <row r="135" spans="1:28" ht="12.75">
      <c r="A135" s="5">
        <v>50</v>
      </c>
      <c r="B135" s="5">
        <v>0</v>
      </c>
      <c r="C135" s="5">
        <v>0</v>
      </c>
      <c r="D135" s="5">
        <v>1</v>
      </c>
      <c r="E135" s="5">
        <v>211</v>
      </c>
      <c r="F135" s="5">
        <f>ROUND(Source!Y108,O135)</f>
        <v>78.86</v>
      </c>
      <c r="G135" s="5" t="s">
        <v>151</v>
      </c>
      <c r="H135" s="5" t="s">
        <v>152</v>
      </c>
      <c r="I135" s="5"/>
      <c r="J135" s="5"/>
      <c r="K135" s="5">
        <v>211</v>
      </c>
      <c r="L135" s="5">
        <v>26</v>
      </c>
      <c r="M135" s="5">
        <v>3</v>
      </c>
      <c r="N135" s="5" t="s">
        <v>3</v>
      </c>
      <c r="O135" s="5">
        <v>2</v>
      </c>
      <c r="P135" s="5">
        <f>ROUND(Source!DQ108,O135)</f>
        <v>3043.36</v>
      </c>
      <c r="Q135" s="5"/>
      <c r="R135" s="5"/>
      <c r="S135" s="5"/>
      <c r="T135" s="5"/>
      <c r="U135" s="5"/>
      <c r="V135" s="5"/>
      <c r="W135" s="5">
        <v>78.86</v>
      </c>
      <c r="X135" s="5">
        <v>1</v>
      </c>
      <c r="Y135" s="5">
        <v>78.86</v>
      </c>
      <c r="Z135" s="5">
        <v>3043.36</v>
      </c>
      <c r="AA135" s="5">
        <v>1</v>
      </c>
      <c r="AB135" s="5">
        <v>3043.36</v>
      </c>
    </row>
    <row r="136" spans="1:28" ht="12.75">
      <c r="A136" s="5">
        <v>50</v>
      </c>
      <c r="B136" s="5">
        <v>0</v>
      </c>
      <c r="C136" s="5">
        <v>0</v>
      </c>
      <c r="D136" s="5">
        <v>1</v>
      </c>
      <c r="E136" s="5">
        <v>224</v>
      </c>
      <c r="F136" s="5">
        <f>ROUND(Source!AR108,O136)</f>
        <v>352.89</v>
      </c>
      <c r="G136" s="5" t="s">
        <v>153</v>
      </c>
      <c r="H136" s="5" t="s">
        <v>154</v>
      </c>
      <c r="I136" s="5"/>
      <c r="J136" s="5"/>
      <c r="K136" s="5">
        <v>224</v>
      </c>
      <c r="L136" s="5">
        <v>27</v>
      </c>
      <c r="M136" s="5">
        <v>3</v>
      </c>
      <c r="N136" s="5" t="s">
        <v>3</v>
      </c>
      <c r="O136" s="5">
        <v>2</v>
      </c>
      <c r="P136" s="5">
        <f>ROUND(Source!EJ108,O136)</f>
        <v>12963.19</v>
      </c>
      <c r="Q136" s="5"/>
      <c r="R136" s="5"/>
      <c r="S136" s="5"/>
      <c r="T136" s="5"/>
      <c r="U136" s="5"/>
      <c r="V136" s="5"/>
      <c r="W136" s="5">
        <v>352.89</v>
      </c>
      <c r="X136" s="5">
        <v>1</v>
      </c>
      <c r="Y136" s="5">
        <v>352.89</v>
      </c>
      <c r="Z136" s="5">
        <v>12963.19</v>
      </c>
      <c r="AA136" s="5">
        <v>1</v>
      </c>
      <c r="AB136" s="5">
        <v>12963.19</v>
      </c>
    </row>
    <row r="138" spans="1:88" ht="12.75">
      <c r="A138" s="1">
        <v>4</v>
      </c>
      <c r="B138" s="1">
        <v>1</v>
      </c>
      <c r="C138" s="1"/>
      <c r="D138" s="1">
        <f>ROW(A151)</f>
        <v>151</v>
      </c>
      <c r="E138" s="1"/>
      <c r="F138" s="1" t="s">
        <v>19</v>
      </c>
      <c r="G138" s="1" t="s">
        <v>180</v>
      </c>
      <c r="H138" s="1" t="s">
        <v>3</v>
      </c>
      <c r="I138" s="1">
        <v>0</v>
      </c>
      <c r="J138" s="1"/>
      <c r="K138" s="1">
        <v>0</v>
      </c>
      <c r="L138" s="1"/>
      <c r="M138" s="1" t="s">
        <v>3</v>
      </c>
      <c r="N138" s="1"/>
      <c r="O138" s="1"/>
      <c r="P138" s="1"/>
      <c r="Q138" s="1"/>
      <c r="R138" s="1"/>
      <c r="S138" s="1">
        <v>0</v>
      </c>
      <c r="T138" s="1">
        <v>0</v>
      </c>
      <c r="U138" s="1" t="s">
        <v>3</v>
      </c>
      <c r="V138" s="1">
        <v>0</v>
      </c>
      <c r="W138" s="1"/>
      <c r="X138" s="1"/>
      <c r="Y138" s="1"/>
      <c r="Z138" s="1"/>
      <c r="AA138" s="1"/>
      <c r="AB138" s="1" t="s">
        <v>3</v>
      </c>
      <c r="AC138" s="1" t="s">
        <v>3</v>
      </c>
      <c r="AD138" s="1" t="s">
        <v>3</v>
      </c>
      <c r="AE138" s="1" t="s">
        <v>3</v>
      </c>
      <c r="AF138" s="1" t="s">
        <v>3</v>
      </c>
      <c r="AG138" s="1" t="s">
        <v>3</v>
      </c>
      <c r="AH138" s="1"/>
      <c r="AI138" s="1"/>
      <c r="AJ138" s="1"/>
      <c r="AK138" s="1"/>
      <c r="AL138" s="1"/>
      <c r="AM138" s="1"/>
      <c r="AN138" s="1"/>
      <c r="AO138" s="1"/>
      <c r="AP138" s="1" t="s">
        <v>3</v>
      </c>
      <c r="AQ138" s="1" t="s">
        <v>3</v>
      </c>
      <c r="AR138" s="1" t="s">
        <v>3</v>
      </c>
      <c r="AS138" s="1"/>
      <c r="AT138" s="1"/>
      <c r="AU138" s="1"/>
      <c r="AV138" s="1"/>
      <c r="AW138" s="1"/>
      <c r="AX138" s="1"/>
      <c r="AY138" s="1"/>
      <c r="AZ138" s="1" t="s">
        <v>3</v>
      </c>
      <c r="BA138" s="1"/>
      <c r="BB138" s="1" t="s">
        <v>3</v>
      </c>
      <c r="BC138" s="1" t="s">
        <v>3</v>
      </c>
      <c r="BD138" s="1" t="s">
        <v>3</v>
      </c>
      <c r="BE138" s="1" t="s">
        <v>3</v>
      </c>
      <c r="BF138" s="1" t="s">
        <v>3</v>
      </c>
      <c r="BG138" s="1" t="s">
        <v>3</v>
      </c>
      <c r="BH138" s="1" t="s">
        <v>3</v>
      </c>
      <c r="BI138" s="1" t="s">
        <v>3</v>
      </c>
      <c r="BJ138" s="1" t="s">
        <v>3</v>
      </c>
      <c r="BK138" s="1" t="s">
        <v>3</v>
      </c>
      <c r="BL138" s="1" t="s">
        <v>3</v>
      </c>
      <c r="BM138" s="1" t="s">
        <v>3</v>
      </c>
      <c r="BN138" s="1" t="s">
        <v>3</v>
      </c>
      <c r="BO138" s="1" t="s">
        <v>3</v>
      </c>
      <c r="BP138" s="1" t="s">
        <v>3</v>
      </c>
      <c r="BQ138" s="1"/>
      <c r="BR138" s="1"/>
      <c r="BS138" s="1"/>
      <c r="BT138" s="1"/>
      <c r="BU138" s="1"/>
      <c r="BV138" s="1"/>
      <c r="BW138" s="1"/>
      <c r="BX138" s="1">
        <v>0</v>
      </c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>
        <v>0</v>
      </c>
    </row>
    <row r="140" spans="1:206" ht="12.75">
      <c r="A140" s="3">
        <v>52</v>
      </c>
      <c r="B140" s="3">
        <f aca="true" t="shared" si="109" ref="B140:G140">B151</f>
        <v>1</v>
      </c>
      <c r="C140" s="3">
        <f t="shared" si="109"/>
        <v>4</v>
      </c>
      <c r="D140" s="3">
        <f t="shared" si="109"/>
        <v>138</v>
      </c>
      <c r="E140" s="3">
        <f t="shared" si="109"/>
        <v>0</v>
      </c>
      <c r="F140" s="3" t="str">
        <f t="shared" si="109"/>
        <v>Новый раздел</v>
      </c>
      <c r="G140" s="3" t="str">
        <f t="shared" si="109"/>
        <v>Разные работы</v>
      </c>
      <c r="H140" s="3"/>
      <c r="I140" s="3"/>
      <c r="J140" s="3"/>
      <c r="K140" s="3"/>
      <c r="L140" s="3"/>
      <c r="M140" s="3"/>
      <c r="N140" s="3"/>
      <c r="O140" s="3">
        <f aca="true" t="shared" si="110" ref="O140:AT140">O151</f>
        <v>38.95</v>
      </c>
      <c r="P140" s="3">
        <f t="shared" si="110"/>
        <v>17.06</v>
      </c>
      <c r="Q140" s="3">
        <f t="shared" si="110"/>
        <v>0</v>
      </c>
      <c r="R140" s="3">
        <f t="shared" si="110"/>
        <v>0</v>
      </c>
      <c r="S140" s="3">
        <f t="shared" si="110"/>
        <v>21.89</v>
      </c>
      <c r="T140" s="3">
        <f t="shared" si="110"/>
        <v>0</v>
      </c>
      <c r="U140" s="3">
        <f t="shared" si="110"/>
        <v>3.0263999999999998</v>
      </c>
      <c r="V140" s="3">
        <f t="shared" si="110"/>
        <v>0</v>
      </c>
      <c r="W140" s="3">
        <f t="shared" si="110"/>
        <v>0</v>
      </c>
      <c r="X140" s="3">
        <f t="shared" si="110"/>
        <v>20.14</v>
      </c>
      <c r="Y140" s="3">
        <f t="shared" si="110"/>
        <v>9.63</v>
      </c>
      <c r="Z140" s="3">
        <f t="shared" si="110"/>
        <v>0</v>
      </c>
      <c r="AA140" s="3">
        <f t="shared" si="110"/>
        <v>0</v>
      </c>
      <c r="AB140" s="3">
        <f t="shared" si="110"/>
        <v>38.95</v>
      </c>
      <c r="AC140" s="3">
        <f t="shared" si="110"/>
        <v>17.06</v>
      </c>
      <c r="AD140" s="3">
        <f t="shared" si="110"/>
        <v>0</v>
      </c>
      <c r="AE140" s="3">
        <f t="shared" si="110"/>
        <v>0</v>
      </c>
      <c r="AF140" s="3">
        <f t="shared" si="110"/>
        <v>21.89</v>
      </c>
      <c r="AG140" s="3">
        <f t="shared" si="110"/>
        <v>0</v>
      </c>
      <c r="AH140" s="3">
        <f t="shared" si="110"/>
        <v>3.0263999999999998</v>
      </c>
      <c r="AI140" s="3">
        <f t="shared" si="110"/>
        <v>0</v>
      </c>
      <c r="AJ140" s="3">
        <f t="shared" si="110"/>
        <v>0</v>
      </c>
      <c r="AK140" s="3">
        <f t="shared" si="110"/>
        <v>20.14</v>
      </c>
      <c r="AL140" s="3">
        <f t="shared" si="110"/>
        <v>9.63</v>
      </c>
      <c r="AM140" s="3">
        <f t="shared" si="110"/>
        <v>0</v>
      </c>
      <c r="AN140" s="3">
        <f t="shared" si="110"/>
        <v>0</v>
      </c>
      <c r="AO140" s="3">
        <f t="shared" si="110"/>
        <v>0</v>
      </c>
      <c r="AP140" s="3">
        <f t="shared" si="110"/>
        <v>0</v>
      </c>
      <c r="AQ140" s="3">
        <f t="shared" si="110"/>
        <v>0</v>
      </c>
      <c r="AR140" s="3">
        <f t="shared" si="110"/>
        <v>116.94</v>
      </c>
      <c r="AS140" s="3">
        <f t="shared" si="110"/>
        <v>116.94</v>
      </c>
      <c r="AT140" s="3">
        <f t="shared" si="110"/>
        <v>0</v>
      </c>
      <c r="AU140" s="3">
        <f aca="true" t="shared" si="111" ref="AU140:BZ140">AU151</f>
        <v>0</v>
      </c>
      <c r="AV140" s="3">
        <f t="shared" si="111"/>
        <v>17.06</v>
      </c>
      <c r="AW140" s="3">
        <f t="shared" si="111"/>
        <v>17.06</v>
      </c>
      <c r="AX140" s="3">
        <f t="shared" si="111"/>
        <v>0</v>
      </c>
      <c r="AY140" s="3">
        <f t="shared" si="111"/>
        <v>17.06</v>
      </c>
      <c r="AZ140" s="3">
        <f t="shared" si="111"/>
        <v>0</v>
      </c>
      <c r="BA140" s="3">
        <f t="shared" si="111"/>
        <v>0</v>
      </c>
      <c r="BB140" s="3">
        <f t="shared" si="111"/>
        <v>0</v>
      </c>
      <c r="BC140" s="3">
        <f t="shared" si="111"/>
        <v>0</v>
      </c>
      <c r="BD140" s="3">
        <f t="shared" si="111"/>
        <v>48.22</v>
      </c>
      <c r="BE140" s="3">
        <f t="shared" si="111"/>
        <v>0</v>
      </c>
      <c r="BF140" s="3">
        <f t="shared" si="111"/>
        <v>0</v>
      </c>
      <c r="BG140" s="3">
        <f t="shared" si="111"/>
        <v>0</v>
      </c>
      <c r="BH140" s="3">
        <f t="shared" si="111"/>
        <v>0</v>
      </c>
      <c r="BI140" s="3">
        <f t="shared" si="111"/>
        <v>0</v>
      </c>
      <c r="BJ140" s="3">
        <f t="shared" si="111"/>
        <v>0</v>
      </c>
      <c r="BK140" s="3">
        <f t="shared" si="111"/>
        <v>0</v>
      </c>
      <c r="BL140" s="3">
        <f t="shared" si="111"/>
        <v>0</v>
      </c>
      <c r="BM140" s="3">
        <f t="shared" si="111"/>
        <v>0</v>
      </c>
      <c r="BN140" s="3">
        <f t="shared" si="111"/>
        <v>0</v>
      </c>
      <c r="BO140" s="3">
        <f t="shared" si="111"/>
        <v>0</v>
      </c>
      <c r="BP140" s="3">
        <f t="shared" si="111"/>
        <v>0</v>
      </c>
      <c r="BQ140" s="3">
        <f t="shared" si="111"/>
        <v>0</v>
      </c>
      <c r="BR140" s="3">
        <f t="shared" si="111"/>
        <v>0</v>
      </c>
      <c r="BS140" s="3">
        <f t="shared" si="111"/>
        <v>0</v>
      </c>
      <c r="BT140" s="3">
        <f t="shared" si="111"/>
        <v>0</v>
      </c>
      <c r="BU140" s="3">
        <f t="shared" si="111"/>
        <v>0</v>
      </c>
      <c r="BV140" s="3">
        <f t="shared" si="111"/>
        <v>0</v>
      </c>
      <c r="BW140" s="3">
        <f t="shared" si="111"/>
        <v>0</v>
      </c>
      <c r="BX140" s="3">
        <f t="shared" si="111"/>
        <v>0</v>
      </c>
      <c r="BY140" s="3">
        <f t="shared" si="111"/>
        <v>0</v>
      </c>
      <c r="BZ140" s="3">
        <f t="shared" si="111"/>
        <v>0</v>
      </c>
      <c r="CA140" s="3">
        <f aca="true" t="shared" si="112" ref="CA140:DF140">CA151</f>
        <v>116.94</v>
      </c>
      <c r="CB140" s="3">
        <f t="shared" si="112"/>
        <v>116.94</v>
      </c>
      <c r="CC140" s="3">
        <f t="shared" si="112"/>
        <v>0</v>
      </c>
      <c r="CD140" s="3">
        <f t="shared" si="112"/>
        <v>0</v>
      </c>
      <c r="CE140" s="3">
        <f t="shared" si="112"/>
        <v>17.06</v>
      </c>
      <c r="CF140" s="3">
        <f t="shared" si="112"/>
        <v>17.06</v>
      </c>
      <c r="CG140" s="3">
        <f t="shared" si="112"/>
        <v>0</v>
      </c>
      <c r="CH140" s="3">
        <f t="shared" si="112"/>
        <v>17.06</v>
      </c>
      <c r="CI140" s="3">
        <f t="shared" si="112"/>
        <v>0</v>
      </c>
      <c r="CJ140" s="3">
        <f t="shared" si="112"/>
        <v>0</v>
      </c>
      <c r="CK140" s="3">
        <f t="shared" si="112"/>
        <v>0</v>
      </c>
      <c r="CL140" s="3">
        <f t="shared" si="112"/>
        <v>0</v>
      </c>
      <c r="CM140" s="3">
        <f t="shared" si="112"/>
        <v>48.22</v>
      </c>
      <c r="CN140" s="3">
        <f t="shared" si="112"/>
        <v>0</v>
      </c>
      <c r="CO140" s="3">
        <f t="shared" si="112"/>
        <v>0</v>
      </c>
      <c r="CP140" s="3">
        <f t="shared" si="112"/>
        <v>0</v>
      </c>
      <c r="CQ140" s="3">
        <f t="shared" si="112"/>
        <v>0</v>
      </c>
      <c r="CR140" s="3">
        <f t="shared" si="112"/>
        <v>0</v>
      </c>
      <c r="CS140" s="3">
        <f t="shared" si="112"/>
        <v>0</v>
      </c>
      <c r="CT140" s="3">
        <f t="shared" si="112"/>
        <v>0</v>
      </c>
      <c r="CU140" s="3">
        <f t="shared" si="112"/>
        <v>0</v>
      </c>
      <c r="CV140" s="3">
        <f t="shared" si="112"/>
        <v>0</v>
      </c>
      <c r="CW140" s="3">
        <f t="shared" si="112"/>
        <v>0</v>
      </c>
      <c r="CX140" s="3">
        <f t="shared" si="112"/>
        <v>0</v>
      </c>
      <c r="CY140" s="3">
        <f t="shared" si="112"/>
        <v>0</v>
      </c>
      <c r="CZ140" s="3">
        <f t="shared" si="112"/>
        <v>0</v>
      </c>
      <c r="DA140" s="3">
        <f t="shared" si="112"/>
        <v>0</v>
      </c>
      <c r="DB140" s="3">
        <f t="shared" si="112"/>
        <v>0</v>
      </c>
      <c r="DC140" s="3">
        <f t="shared" si="112"/>
        <v>0</v>
      </c>
      <c r="DD140" s="3">
        <f t="shared" si="112"/>
        <v>0</v>
      </c>
      <c r="DE140" s="3">
        <f t="shared" si="112"/>
        <v>0</v>
      </c>
      <c r="DF140" s="3">
        <f t="shared" si="112"/>
        <v>0</v>
      </c>
      <c r="DG140" s="4">
        <f aca="true" t="shared" si="113" ref="DG140:EL140">DG151</f>
        <v>960.73</v>
      </c>
      <c r="DH140" s="4">
        <f t="shared" si="113"/>
        <v>116.32</v>
      </c>
      <c r="DI140" s="4">
        <f t="shared" si="113"/>
        <v>0</v>
      </c>
      <c r="DJ140" s="4">
        <f t="shared" si="113"/>
        <v>0</v>
      </c>
      <c r="DK140" s="4">
        <f t="shared" si="113"/>
        <v>844.41</v>
      </c>
      <c r="DL140" s="4">
        <f t="shared" si="113"/>
        <v>0</v>
      </c>
      <c r="DM140" s="4">
        <f t="shared" si="113"/>
        <v>3.0263999999999998</v>
      </c>
      <c r="DN140" s="4">
        <f t="shared" si="113"/>
        <v>0</v>
      </c>
      <c r="DO140" s="4">
        <f t="shared" si="113"/>
        <v>0</v>
      </c>
      <c r="DP140" s="4">
        <f t="shared" si="113"/>
        <v>776.86</v>
      </c>
      <c r="DQ140" s="4">
        <f t="shared" si="113"/>
        <v>371.54</v>
      </c>
      <c r="DR140" s="4">
        <f t="shared" si="113"/>
        <v>0</v>
      </c>
      <c r="DS140" s="4">
        <f t="shared" si="113"/>
        <v>0</v>
      </c>
      <c r="DT140" s="4">
        <f t="shared" si="113"/>
        <v>960.73</v>
      </c>
      <c r="DU140" s="4">
        <f t="shared" si="113"/>
        <v>116.32</v>
      </c>
      <c r="DV140" s="4">
        <f t="shared" si="113"/>
        <v>0</v>
      </c>
      <c r="DW140" s="4">
        <f t="shared" si="113"/>
        <v>0</v>
      </c>
      <c r="DX140" s="4">
        <f t="shared" si="113"/>
        <v>844.41</v>
      </c>
      <c r="DY140" s="4">
        <f t="shared" si="113"/>
        <v>0</v>
      </c>
      <c r="DZ140" s="4">
        <f t="shared" si="113"/>
        <v>3.0263999999999998</v>
      </c>
      <c r="EA140" s="4">
        <f t="shared" si="113"/>
        <v>0</v>
      </c>
      <c r="EB140" s="4">
        <f t="shared" si="113"/>
        <v>0</v>
      </c>
      <c r="EC140" s="4">
        <f t="shared" si="113"/>
        <v>776.86</v>
      </c>
      <c r="ED140" s="4">
        <f t="shared" si="113"/>
        <v>371.54</v>
      </c>
      <c r="EE140" s="4">
        <f t="shared" si="113"/>
        <v>0</v>
      </c>
      <c r="EF140" s="4">
        <f t="shared" si="113"/>
        <v>0</v>
      </c>
      <c r="EG140" s="4">
        <f t="shared" si="113"/>
        <v>0</v>
      </c>
      <c r="EH140" s="4">
        <f t="shared" si="113"/>
        <v>0</v>
      </c>
      <c r="EI140" s="4">
        <f t="shared" si="113"/>
        <v>0</v>
      </c>
      <c r="EJ140" s="4">
        <f t="shared" si="113"/>
        <v>2756.79</v>
      </c>
      <c r="EK140" s="4">
        <f t="shared" si="113"/>
        <v>2756.79</v>
      </c>
      <c r="EL140" s="4">
        <f t="shared" si="113"/>
        <v>0</v>
      </c>
      <c r="EM140" s="4">
        <f aca="true" t="shared" si="114" ref="EM140:FR140">EM151</f>
        <v>0</v>
      </c>
      <c r="EN140" s="4">
        <f t="shared" si="114"/>
        <v>116.32</v>
      </c>
      <c r="EO140" s="4">
        <f t="shared" si="114"/>
        <v>116.32</v>
      </c>
      <c r="EP140" s="4">
        <f t="shared" si="114"/>
        <v>0</v>
      </c>
      <c r="EQ140" s="4">
        <f t="shared" si="114"/>
        <v>116.32</v>
      </c>
      <c r="ER140" s="4">
        <f t="shared" si="114"/>
        <v>0</v>
      </c>
      <c r="ES140" s="4">
        <f t="shared" si="114"/>
        <v>0</v>
      </c>
      <c r="ET140" s="4">
        <f t="shared" si="114"/>
        <v>0</v>
      </c>
      <c r="EU140" s="4">
        <f t="shared" si="114"/>
        <v>0</v>
      </c>
      <c r="EV140" s="4">
        <f t="shared" si="114"/>
        <v>647.66</v>
      </c>
      <c r="EW140" s="4">
        <f t="shared" si="114"/>
        <v>0</v>
      </c>
      <c r="EX140" s="4">
        <f t="shared" si="114"/>
        <v>0</v>
      </c>
      <c r="EY140" s="4">
        <f t="shared" si="114"/>
        <v>0</v>
      </c>
      <c r="EZ140" s="4">
        <f t="shared" si="114"/>
        <v>0</v>
      </c>
      <c r="FA140" s="4">
        <f t="shared" si="114"/>
        <v>0</v>
      </c>
      <c r="FB140" s="4">
        <f t="shared" si="114"/>
        <v>0</v>
      </c>
      <c r="FC140" s="4">
        <f t="shared" si="114"/>
        <v>0</v>
      </c>
      <c r="FD140" s="4">
        <f t="shared" si="114"/>
        <v>0</v>
      </c>
      <c r="FE140" s="4">
        <f t="shared" si="114"/>
        <v>0</v>
      </c>
      <c r="FF140" s="4">
        <f t="shared" si="114"/>
        <v>0</v>
      </c>
      <c r="FG140" s="4">
        <f t="shared" si="114"/>
        <v>0</v>
      </c>
      <c r="FH140" s="4">
        <f t="shared" si="114"/>
        <v>0</v>
      </c>
      <c r="FI140" s="4">
        <f t="shared" si="114"/>
        <v>0</v>
      </c>
      <c r="FJ140" s="4">
        <f t="shared" si="114"/>
        <v>0</v>
      </c>
      <c r="FK140" s="4">
        <f t="shared" si="114"/>
        <v>0</v>
      </c>
      <c r="FL140" s="4">
        <f t="shared" si="114"/>
        <v>0</v>
      </c>
      <c r="FM140" s="4">
        <f t="shared" si="114"/>
        <v>0</v>
      </c>
      <c r="FN140" s="4">
        <f t="shared" si="114"/>
        <v>0</v>
      </c>
      <c r="FO140" s="4">
        <f t="shared" si="114"/>
        <v>0</v>
      </c>
      <c r="FP140" s="4">
        <f t="shared" si="114"/>
        <v>0</v>
      </c>
      <c r="FQ140" s="4">
        <f t="shared" si="114"/>
        <v>0</v>
      </c>
      <c r="FR140" s="4">
        <f t="shared" si="114"/>
        <v>0</v>
      </c>
      <c r="FS140" s="4">
        <f aca="true" t="shared" si="115" ref="FS140:GX140">FS151</f>
        <v>2756.79</v>
      </c>
      <c r="FT140" s="4">
        <f t="shared" si="115"/>
        <v>2756.79</v>
      </c>
      <c r="FU140" s="4">
        <f t="shared" si="115"/>
        <v>0</v>
      </c>
      <c r="FV140" s="4">
        <f t="shared" si="115"/>
        <v>0</v>
      </c>
      <c r="FW140" s="4">
        <f t="shared" si="115"/>
        <v>116.32</v>
      </c>
      <c r="FX140" s="4">
        <f t="shared" si="115"/>
        <v>116.32</v>
      </c>
      <c r="FY140" s="4">
        <f t="shared" si="115"/>
        <v>0</v>
      </c>
      <c r="FZ140" s="4">
        <f t="shared" si="115"/>
        <v>116.32</v>
      </c>
      <c r="GA140" s="4">
        <f t="shared" si="115"/>
        <v>0</v>
      </c>
      <c r="GB140" s="4">
        <f t="shared" si="115"/>
        <v>0</v>
      </c>
      <c r="GC140" s="4">
        <f t="shared" si="115"/>
        <v>0</v>
      </c>
      <c r="GD140" s="4">
        <f t="shared" si="115"/>
        <v>0</v>
      </c>
      <c r="GE140" s="4">
        <f t="shared" si="115"/>
        <v>647.66</v>
      </c>
      <c r="GF140" s="4">
        <f t="shared" si="115"/>
        <v>0</v>
      </c>
      <c r="GG140" s="4">
        <f t="shared" si="115"/>
        <v>0</v>
      </c>
      <c r="GH140" s="4">
        <f t="shared" si="115"/>
        <v>0</v>
      </c>
      <c r="GI140" s="4">
        <f t="shared" si="115"/>
        <v>0</v>
      </c>
      <c r="GJ140" s="4">
        <f t="shared" si="115"/>
        <v>0</v>
      </c>
      <c r="GK140" s="4">
        <f t="shared" si="115"/>
        <v>0</v>
      </c>
      <c r="GL140" s="4">
        <f t="shared" si="115"/>
        <v>0</v>
      </c>
      <c r="GM140" s="4">
        <f t="shared" si="115"/>
        <v>0</v>
      </c>
      <c r="GN140" s="4">
        <f t="shared" si="115"/>
        <v>0</v>
      </c>
      <c r="GO140" s="4">
        <f t="shared" si="115"/>
        <v>0</v>
      </c>
      <c r="GP140" s="4">
        <f t="shared" si="115"/>
        <v>0</v>
      </c>
      <c r="GQ140" s="4">
        <f t="shared" si="115"/>
        <v>0</v>
      </c>
      <c r="GR140" s="4">
        <f t="shared" si="115"/>
        <v>0</v>
      </c>
      <c r="GS140" s="4">
        <f t="shared" si="115"/>
        <v>0</v>
      </c>
      <c r="GT140" s="4">
        <f t="shared" si="115"/>
        <v>0</v>
      </c>
      <c r="GU140" s="4">
        <f t="shared" si="115"/>
        <v>0</v>
      </c>
      <c r="GV140" s="4">
        <f t="shared" si="115"/>
        <v>0</v>
      </c>
      <c r="GW140" s="4">
        <f t="shared" si="115"/>
        <v>0</v>
      </c>
      <c r="GX140" s="4">
        <f t="shared" si="115"/>
        <v>0</v>
      </c>
    </row>
    <row r="142" spans="1:255" ht="12.75">
      <c r="A142" s="2">
        <v>17</v>
      </c>
      <c r="B142" s="2">
        <v>1</v>
      </c>
      <c r="C142" s="2">
        <f>ROW(SmtRes!A96)</f>
        <v>96</v>
      </c>
      <c r="D142" s="2">
        <f>ROW(EtalonRes!A78)</f>
        <v>78</v>
      </c>
      <c r="E142" s="2" t="s">
        <v>181</v>
      </c>
      <c r="F142" s="2" t="s">
        <v>182</v>
      </c>
      <c r="G142" s="2" t="s">
        <v>183</v>
      </c>
      <c r="H142" s="2" t="s">
        <v>184</v>
      </c>
      <c r="I142" s="2">
        <f>ROUND(1.04/100,7)</f>
        <v>0.0104</v>
      </c>
      <c r="J142" s="2">
        <v>0</v>
      </c>
      <c r="K142" s="2">
        <f>ROUND(1.04/100,7)</f>
        <v>0.0104</v>
      </c>
      <c r="L142" s="2"/>
      <c r="M142" s="2"/>
      <c r="N142" s="2"/>
      <c r="O142" s="2">
        <f aca="true" t="shared" si="116" ref="O142:O147">ROUND(CP142,2)</f>
        <v>14.18</v>
      </c>
      <c r="P142" s="2">
        <f aca="true" t="shared" si="117" ref="P142:P147">ROUND(CQ142*I142,2)</f>
        <v>0</v>
      </c>
      <c r="Q142" s="2">
        <f aca="true" t="shared" si="118" ref="Q142:Q147">ROUND(CR142*I142,2)</f>
        <v>0</v>
      </c>
      <c r="R142" s="2">
        <f aca="true" t="shared" si="119" ref="R142:R147">ROUND(CS142*I142,2)</f>
        <v>0</v>
      </c>
      <c r="S142" s="2">
        <f aca="true" t="shared" si="120" ref="S142:S147">ROUND(CT142*I142,2)</f>
        <v>14.18</v>
      </c>
      <c r="T142" s="2">
        <f aca="true" t="shared" si="121" ref="T142:T147">ROUND(CU142*I142,2)</f>
        <v>0</v>
      </c>
      <c r="U142" s="2">
        <f aca="true" t="shared" si="122" ref="U142:U147">CV142*I142</f>
        <v>1.9551999999999998</v>
      </c>
      <c r="V142" s="2">
        <f aca="true" t="shared" si="123" ref="V142:V147">CW142*I142</f>
        <v>0</v>
      </c>
      <c r="W142" s="2">
        <f aca="true" t="shared" si="124" ref="W142:W147">ROUND(CX142*I142,2)</f>
        <v>0</v>
      </c>
      <c r="X142" s="2">
        <f aca="true" t="shared" si="125" ref="X142:Y147">ROUND(CY142,2)</f>
        <v>13.05</v>
      </c>
      <c r="Y142" s="2">
        <f t="shared" si="125"/>
        <v>6.24</v>
      </c>
      <c r="Z142" s="2"/>
      <c r="AA142" s="2">
        <v>55722483</v>
      </c>
      <c r="AB142" s="2">
        <f aca="true" t="shared" si="126" ref="AB142:AB147">ROUND((AC142+AD142+AF142),2)</f>
        <v>1363</v>
      </c>
      <c r="AC142" s="2">
        <f aca="true" t="shared" si="127" ref="AC142:AC147">ROUND((ES142),2)</f>
        <v>0</v>
      </c>
      <c r="AD142" s="2">
        <f aca="true" t="shared" si="128" ref="AD142:AD147">ROUND((((ET142)-(EU142))+AE142),2)</f>
        <v>0</v>
      </c>
      <c r="AE142" s="2">
        <f aca="true" t="shared" si="129" ref="AE142:AF147">ROUND((EU142),2)</f>
        <v>0</v>
      </c>
      <c r="AF142" s="2">
        <f t="shared" si="129"/>
        <v>1363</v>
      </c>
      <c r="AG142" s="2">
        <f aca="true" t="shared" si="130" ref="AG142:AG147">ROUND((AP142),2)</f>
        <v>0</v>
      </c>
      <c r="AH142" s="2">
        <f aca="true" t="shared" si="131" ref="AH142:AI147">(EW142)</f>
        <v>188</v>
      </c>
      <c r="AI142" s="2">
        <f t="shared" si="131"/>
        <v>0</v>
      </c>
      <c r="AJ142" s="2">
        <f aca="true" t="shared" si="132" ref="AJ142:AJ147">(AS142)</f>
        <v>0</v>
      </c>
      <c r="AK142" s="2">
        <v>1363</v>
      </c>
      <c r="AL142" s="2">
        <v>0</v>
      </c>
      <c r="AM142" s="2">
        <v>0</v>
      </c>
      <c r="AN142" s="2">
        <v>0</v>
      </c>
      <c r="AO142" s="2">
        <v>1363</v>
      </c>
      <c r="AP142" s="2">
        <v>0</v>
      </c>
      <c r="AQ142" s="2">
        <v>188</v>
      </c>
      <c r="AR142" s="2">
        <v>0</v>
      </c>
      <c r="AS142" s="2">
        <v>0</v>
      </c>
      <c r="AT142" s="2">
        <v>92</v>
      </c>
      <c r="AU142" s="2">
        <v>44</v>
      </c>
      <c r="AV142" s="2">
        <v>1</v>
      </c>
      <c r="AW142" s="2">
        <v>1</v>
      </c>
      <c r="AX142" s="2"/>
      <c r="AY142" s="2"/>
      <c r="AZ142" s="2">
        <v>1</v>
      </c>
      <c r="BA142" s="2">
        <v>1</v>
      </c>
      <c r="BB142" s="2">
        <v>1</v>
      </c>
      <c r="BC142" s="2">
        <v>1</v>
      </c>
      <c r="BD142" s="2" t="s">
        <v>3</v>
      </c>
      <c r="BE142" s="2" t="s">
        <v>3</v>
      </c>
      <c r="BF142" s="2" t="s">
        <v>3</v>
      </c>
      <c r="BG142" s="2" t="s">
        <v>3</v>
      </c>
      <c r="BH142" s="2">
        <v>0</v>
      </c>
      <c r="BI142" s="2">
        <v>1</v>
      </c>
      <c r="BJ142" s="2" t="s">
        <v>185</v>
      </c>
      <c r="BK142" s="2"/>
      <c r="BL142" s="2"/>
      <c r="BM142" s="2">
        <v>69001</v>
      </c>
      <c r="BN142" s="2">
        <v>0</v>
      </c>
      <c r="BO142" s="2" t="s">
        <v>3</v>
      </c>
      <c r="BP142" s="2">
        <v>0</v>
      </c>
      <c r="BQ142" s="2">
        <v>6</v>
      </c>
      <c r="BR142" s="2">
        <v>0</v>
      </c>
      <c r="BS142" s="2">
        <v>1</v>
      </c>
      <c r="BT142" s="2">
        <v>1</v>
      </c>
      <c r="BU142" s="2">
        <v>1</v>
      </c>
      <c r="BV142" s="2">
        <v>1</v>
      </c>
      <c r="BW142" s="2">
        <v>1</v>
      </c>
      <c r="BX142" s="2">
        <v>1</v>
      </c>
      <c r="BY142" s="2" t="s">
        <v>3</v>
      </c>
      <c r="BZ142" s="2">
        <v>92</v>
      </c>
      <c r="CA142" s="2">
        <v>44</v>
      </c>
      <c r="CB142" s="2" t="s">
        <v>3</v>
      </c>
      <c r="CC142" s="2"/>
      <c r="CD142" s="2"/>
      <c r="CE142" s="2">
        <v>0</v>
      </c>
      <c r="CF142" s="2">
        <v>0</v>
      </c>
      <c r="CG142" s="2">
        <v>0</v>
      </c>
      <c r="CH142" s="2"/>
      <c r="CI142" s="2"/>
      <c r="CJ142" s="2"/>
      <c r="CK142" s="2"/>
      <c r="CL142" s="2"/>
      <c r="CM142" s="2">
        <v>0</v>
      </c>
      <c r="CN142" s="2" t="s">
        <v>3</v>
      </c>
      <c r="CO142" s="2">
        <v>0</v>
      </c>
      <c r="CP142" s="2">
        <f aca="true" t="shared" si="133" ref="CP142:CP147">(P142+Q142+S142)</f>
        <v>14.18</v>
      </c>
      <c r="CQ142" s="2">
        <f aca="true" t="shared" si="134" ref="CQ142:CQ147">AC142*BC142</f>
        <v>0</v>
      </c>
      <c r="CR142" s="2">
        <f aca="true" t="shared" si="135" ref="CR142:CR147">(((ET142)*BB142-(EU142)*BS142)+AE142*BS142)</f>
        <v>0</v>
      </c>
      <c r="CS142" s="2">
        <f aca="true" t="shared" si="136" ref="CS142:CS147">AE142*BS142</f>
        <v>0</v>
      </c>
      <c r="CT142" s="2">
        <f aca="true" t="shared" si="137" ref="CT142:CT147">AF142*BA142</f>
        <v>1363</v>
      </c>
      <c r="CU142" s="2">
        <f aca="true" t="shared" si="138" ref="CU142:CX147">AG142</f>
        <v>0</v>
      </c>
      <c r="CV142" s="2">
        <f t="shared" si="138"/>
        <v>188</v>
      </c>
      <c r="CW142" s="2">
        <f t="shared" si="138"/>
        <v>0</v>
      </c>
      <c r="CX142" s="2">
        <f t="shared" si="138"/>
        <v>0</v>
      </c>
      <c r="CY142" s="2">
        <f aca="true" t="shared" si="139" ref="CY142:CY147">(((S142+R142)*AT142)/100)</f>
        <v>13.0456</v>
      </c>
      <c r="CZ142" s="2">
        <f aca="true" t="shared" si="140" ref="CZ142:CZ147">(((S142+R142)*AU142)/100)</f>
        <v>6.239199999999999</v>
      </c>
      <c r="DA142" s="2"/>
      <c r="DB142" s="2"/>
      <c r="DC142" s="2" t="s">
        <v>3</v>
      </c>
      <c r="DD142" s="2" t="s">
        <v>3</v>
      </c>
      <c r="DE142" s="2" t="s">
        <v>3</v>
      </c>
      <c r="DF142" s="2" t="s">
        <v>3</v>
      </c>
      <c r="DG142" s="2" t="s">
        <v>3</v>
      </c>
      <c r="DH142" s="2" t="s">
        <v>3</v>
      </c>
      <c r="DI142" s="2" t="s">
        <v>3</v>
      </c>
      <c r="DJ142" s="2" t="s">
        <v>3</v>
      </c>
      <c r="DK142" s="2" t="s">
        <v>3</v>
      </c>
      <c r="DL142" s="2" t="s">
        <v>3</v>
      </c>
      <c r="DM142" s="2" t="s">
        <v>3</v>
      </c>
      <c r="DN142" s="2">
        <v>0</v>
      </c>
      <c r="DO142" s="2">
        <v>0</v>
      </c>
      <c r="DP142" s="2">
        <v>1</v>
      </c>
      <c r="DQ142" s="2">
        <v>1</v>
      </c>
      <c r="DR142" s="2"/>
      <c r="DS142" s="2"/>
      <c r="DT142" s="2"/>
      <c r="DU142" s="2">
        <v>1009</v>
      </c>
      <c r="DV142" s="2" t="s">
        <v>184</v>
      </c>
      <c r="DW142" s="2" t="s">
        <v>184</v>
      </c>
      <c r="DX142" s="2">
        <v>100000</v>
      </c>
      <c r="DY142" s="2"/>
      <c r="DZ142" s="2" t="s">
        <v>3</v>
      </c>
      <c r="EA142" s="2" t="s">
        <v>3</v>
      </c>
      <c r="EB142" s="2" t="s">
        <v>3</v>
      </c>
      <c r="EC142" s="2" t="s">
        <v>3</v>
      </c>
      <c r="ED142" s="2"/>
      <c r="EE142" s="2">
        <v>55471848</v>
      </c>
      <c r="EF142" s="2">
        <v>6</v>
      </c>
      <c r="EG142" s="2" t="s">
        <v>26</v>
      </c>
      <c r="EH142" s="2">
        <v>103</v>
      </c>
      <c r="EI142" s="2" t="s">
        <v>186</v>
      </c>
      <c r="EJ142" s="2">
        <v>1</v>
      </c>
      <c r="EK142" s="2">
        <v>69001</v>
      </c>
      <c r="EL142" s="2" t="s">
        <v>186</v>
      </c>
      <c r="EM142" s="2" t="s">
        <v>187</v>
      </c>
      <c r="EN142" s="2"/>
      <c r="EO142" s="2" t="s">
        <v>3</v>
      </c>
      <c r="EP142" s="2"/>
      <c r="EQ142" s="2">
        <v>0</v>
      </c>
      <c r="ER142" s="2">
        <v>1363</v>
      </c>
      <c r="ES142" s="2">
        <v>0</v>
      </c>
      <c r="ET142" s="2">
        <v>0</v>
      </c>
      <c r="EU142" s="2">
        <v>0</v>
      </c>
      <c r="EV142" s="2">
        <v>1363</v>
      </c>
      <c r="EW142" s="2">
        <v>188</v>
      </c>
      <c r="EX142" s="2">
        <v>0</v>
      </c>
      <c r="EY142" s="2">
        <v>0</v>
      </c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>
        <v>0</v>
      </c>
      <c r="FR142" s="2">
        <f aca="true" t="shared" si="141" ref="FR142:FR149">ROUND(IF(AND(BH142=3,BI142=3),P142,0),2)</f>
        <v>0</v>
      </c>
      <c r="FS142" s="2">
        <v>0</v>
      </c>
      <c r="FT142" s="2"/>
      <c r="FU142" s="2"/>
      <c r="FV142" s="2"/>
      <c r="FW142" s="2"/>
      <c r="FX142" s="2">
        <v>92</v>
      </c>
      <c r="FY142" s="2">
        <v>44</v>
      </c>
      <c r="FZ142" s="2"/>
      <c r="GA142" s="2" t="s">
        <v>3</v>
      </c>
      <c r="GB142" s="2"/>
      <c r="GC142" s="2"/>
      <c r="GD142" s="2">
        <v>1</v>
      </c>
      <c r="GE142" s="2"/>
      <c r="GF142" s="2">
        <v>399013033</v>
      </c>
      <c r="GG142" s="2">
        <v>2</v>
      </c>
      <c r="GH142" s="2">
        <v>1</v>
      </c>
      <c r="GI142" s="2">
        <v>-2</v>
      </c>
      <c r="GJ142" s="2">
        <v>0</v>
      </c>
      <c r="GK142" s="2">
        <v>0</v>
      </c>
      <c r="GL142" s="2">
        <f aca="true" t="shared" si="142" ref="GL142:GL149">ROUND(IF(AND(BH142=3,BI142=3,FS142&lt;&gt;0),P142,0),2)</f>
        <v>0</v>
      </c>
      <c r="GM142" s="2">
        <f aca="true" t="shared" si="143" ref="GM142:GM147">ROUND(O142+X142+Y142,2)+GX142</f>
        <v>33.47</v>
      </c>
      <c r="GN142" s="2">
        <f aca="true" t="shared" si="144" ref="GN142:GN147">IF(OR(BI142=0,BI142=1),ROUND(O142+X142+Y142,2),0)</f>
        <v>33.47</v>
      </c>
      <c r="GO142" s="2">
        <f aca="true" t="shared" si="145" ref="GO142:GO147">IF(BI142=2,ROUND(O142+X142+Y142,2),0)</f>
        <v>0</v>
      </c>
      <c r="GP142" s="2">
        <f aca="true" t="shared" si="146" ref="GP142:GP147">IF(BI142=4,ROUND(O142+X142+Y142,2)+GX142,0)</f>
        <v>0</v>
      </c>
      <c r="GQ142" s="2"/>
      <c r="GR142" s="2">
        <v>0</v>
      </c>
      <c r="GS142" s="2">
        <v>3</v>
      </c>
      <c r="GT142" s="2">
        <v>0</v>
      </c>
      <c r="GU142" s="2" t="s">
        <v>3</v>
      </c>
      <c r="GV142" s="2">
        <f aca="true" t="shared" si="147" ref="GV142:GV147">ROUND((GT142),2)</f>
        <v>0</v>
      </c>
      <c r="GW142" s="2">
        <v>1</v>
      </c>
      <c r="GX142" s="2">
        <f aca="true" t="shared" si="148" ref="GX142:GX147">ROUND(HC142*I142,2)</f>
        <v>0</v>
      </c>
      <c r="GY142" s="2"/>
      <c r="GZ142" s="2"/>
      <c r="HA142" s="2">
        <v>0</v>
      </c>
      <c r="HB142" s="2">
        <v>0</v>
      </c>
      <c r="HC142" s="2">
        <f aca="true" t="shared" si="149" ref="HC142:HC147">GV142*GW142</f>
        <v>0</v>
      </c>
      <c r="HD142" s="2"/>
      <c r="HE142" s="2" t="s">
        <v>3</v>
      </c>
      <c r="HF142" s="2" t="s">
        <v>3</v>
      </c>
      <c r="HG142" s="2"/>
      <c r="HH142" s="2"/>
      <c r="HI142" s="2"/>
      <c r="HJ142" s="2"/>
      <c r="HK142" s="2"/>
      <c r="HL142" s="2"/>
      <c r="HM142" s="2" t="s">
        <v>3</v>
      </c>
      <c r="HN142" s="2" t="s">
        <v>188</v>
      </c>
      <c r="HO142" s="2" t="s">
        <v>189</v>
      </c>
      <c r="HP142" s="2" t="s">
        <v>186</v>
      </c>
      <c r="HQ142" s="2" t="s">
        <v>186</v>
      </c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>
        <v>0</v>
      </c>
      <c r="IL142" s="2"/>
      <c r="IM142" s="2"/>
      <c r="IN142" s="2"/>
      <c r="IO142" s="2"/>
      <c r="IP142" s="2"/>
      <c r="IQ142" s="2"/>
      <c r="IR142" s="2"/>
      <c r="IS142" s="2"/>
      <c r="IT142" s="2"/>
      <c r="IU142" s="2"/>
    </row>
    <row r="143" spans="1:245" ht="12.75">
      <c r="A143">
        <v>17</v>
      </c>
      <c r="B143">
        <v>1</v>
      </c>
      <c r="C143">
        <f>ROW(SmtRes!A98)</f>
        <v>98</v>
      </c>
      <c r="D143">
        <f>ROW(EtalonRes!A80)</f>
        <v>80</v>
      </c>
      <c r="E143" t="s">
        <v>181</v>
      </c>
      <c r="F143" t="s">
        <v>182</v>
      </c>
      <c r="G143" t="s">
        <v>183</v>
      </c>
      <c r="H143" t="s">
        <v>184</v>
      </c>
      <c r="I143">
        <f>ROUND(1.04/100,7)</f>
        <v>0.0104</v>
      </c>
      <c r="J143">
        <v>0</v>
      </c>
      <c r="K143">
        <f>ROUND(1.04/100,7)</f>
        <v>0.0104</v>
      </c>
      <c r="O143">
        <f t="shared" si="116"/>
        <v>547.02</v>
      </c>
      <c r="P143">
        <f t="shared" si="117"/>
        <v>0</v>
      </c>
      <c r="Q143">
        <f t="shared" si="118"/>
        <v>0</v>
      </c>
      <c r="R143">
        <f t="shared" si="119"/>
        <v>0</v>
      </c>
      <c r="S143">
        <f t="shared" si="120"/>
        <v>547.02</v>
      </c>
      <c r="T143">
        <f t="shared" si="121"/>
        <v>0</v>
      </c>
      <c r="U143">
        <f t="shared" si="122"/>
        <v>1.9551999999999998</v>
      </c>
      <c r="V143">
        <f t="shared" si="123"/>
        <v>0</v>
      </c>
      <c r="W143">
        <f t="shared" si="124"/>
        <v>0</v>
      </c>
      <c r="X143">
        <f t="shared" si="125"/>
        <v>503.26</v>
      </c>
      <c r="Y143">
        <f t="shared" si="125"/>
        <v>240.69</v>
      </c>
      <c r="AA143">
        <v>55722484</v>
      </c>
      <c r="AB143">
        <f t="shared" si="126"/>
        <v>1363</v>
      </c>
      <c r="AC143">
        <f t="shared" si="127"/>
        <v>0</v>
      </c>
      <c r="AD143">
        <f t="shared" si="128"/>
        <v>0</v>
      </c>
      <c r="AE143">
        <f t="shared" si="129"/>
        <v>0</v>
      </c>
      <c r="AF143">
        <f t="shared" si="129"/>
        <v>1363</v>
      </c>
      <c r="AG143">
        <f t="shared" si="130"/>
        <v>0</v>
      </c>
      <c r="AH143">
        <f t="shared" si="131"/>
        <v>188</v>
      </c>
      <c r="AI143">
        <f t="shared" si="131"/>
        <v>0</v>
      </c>
      <c r="AJ143">
        <f t="shared" si="132"/>
        <v>0</v>
      </c>
      <c r="AK143">
        <v>1363</v>
      </c>
      <c r="AL143">
        <v>0</v>
      </c>
      <c r="AM143">
        <v>0</v>
      </c>
      <c r="AN143">
        <v>0</v>
      </c>
      <c r="AO143">
        <v>1363</v>
      </c>
      <c r="AP143">
        <v>0</v>
      </c>
      <c r="AQ143">
        <v>188</v>
      </c>
      <c r="AR143">
        <v>0</v>
      </c>
      <c r="AS143">
        <v>0</v>
      </c>
      <c r="AT143">
        <v>92</v>
      </c>
      <c r="AU143">
        <v>44</v>
      </c>
      <c r="AV143">
        <v>1</v>
      </c>
      <c r="AW143">
        <v>1</v>
      </c>
      <c r="AZ143">
        <v>1</v>
      </c>
      <c r="BA143">
        <v>38.59</v>
      </c>
      <c r="BB143">
        <v>13.43</v>
      </c>
      <c r="BC143">
        <v>6.82</v>
      </c>
      <c r="BH143">
        <v>0</v>
      </c>
      <c r="BI143">
        <v>1</v>
      </c>
      <c r="BJ143" t="s">
        <v>185</v>
      </c>
      <c r="BM143">
        <v>69001</v>
      </c>
      <c r="BN143">
        <v>0</v>
      </c>
      <c r="BO143" t="s">
        <v>32</v>
      </c>
      <c r="BP143">
        <v>1</v>
      </c>
      <c r="BQ143">
        <v>6</v>
      </c>
      <c r="BR143">
        <v>0</v>
      </c>
      <c r="BS143">
        <v>38.59</v>
      </c>
      <c r="BT143">
        <v>1</v>
      </c>
      <c r="BU143">
        <v>1</v>
      </c>
      <c r="BV143">
        <v>1</v>
      </c>
      <c r="BW143">
        <v>1</v>
      </c>
      <c r="BX143">
        <v>1</v>
      </c>
      <c r="BZ143">
        <v>92</v>
      </c>
      <c r="CA143">
        <v>44</v>
      </c>
      <c r="CE143">
        <v>0</v>
      </c>
      <c r="CF143">
        <v>0</v>
      </c>
      <c r="CG143">
        <v>0</v>
      </c>
      <c r="CM143">
        <v>0</v>
      </c>
      <c r="CO143">
        <v>0</v>
      </c>
      <c r="CP143">
        <f t="shared" si="133"/>
        <v>547.02</v>
      </c>
      <c r="CQ143">
        <f t="shared" si="134"/>
        <v>0</v>
      </c>
      <c r="CR143">
        <f t="shared" si="135"/>
        <v>0</v>
      </c>
      <c r="CS143">
        <f t="shared" si="136"/>
        <v>0</v>
      </c>
      <c r="CT143">
        <f t="shared" si="137"/>
        <v>52598.170000000006</v>
      </c>
      <c r="CU143">
        <f t="shared" si="138"/>
        <v>0</v>
      </c>
      <c r="CV143">
        <f t="shared" si="138"/>
        <v>188</v>
      </c>
      <c r="CW143">
        <f t="shared" si="138"/>
        <v>0</v>
      </c>
      <c r="CX143">
        <f t="shared" si="138"/>
        <v>0</v>
      </c>
      <c r="CY143">
        <f t="shared" si="139"/>
        <v>503.25839999999994</v>
      </c>
      <c r="CZ143">
        <f t="shared" si="140"/>
        <v>240.6888</v>
      </c>
      <c r="DN143">
        <v>0</v>
      </c>
      <c r="DO143">
        <v>0</v>
      </c>
      <c r="DP143">
        <v>1</v>
      </c>
      <c r="DQ143">
        <v>1</v>
      </c>
      <c r="DU143">
        <v>1009</v>
      </c>
      <c r="DV143" t="s">
        <v>184</v>
      </c>
      <c r="DW143" t="s">
        <v>184</v>
      </c>
      <c r="DX143">
        <v>100000</v>
      </c>
      <c r="EE143">
        <v>55471848</v>
      </c>
      <c r="EF143">
        <v>6</v>
      </c>
      <c r="EG143" t="s">
        <v>26</v>
      </c>
      <c r="EH143">
        <v>103</v>
      </c>
      <c r="EI143" t="s">
        <v>186</v>
      </c>
      <c r="EJ143">
        <v>1</v>
      </c>
      <c r="EK143">
        <v>69001</v>
      </c>
      <c r="EL143" t="s">
        <v>186</v>
      </c>
      <c r="EM143" t="s">
        <v>187</v>
      </c>
      <c r="EQ143">
        <v>0</v>
      </c>
      <c r="ER143">
        <v>1363</v>
      </c>
      <c r="ES143">
        <v>0</v>
      </c>
      <c r="ET143">
        <v>0</v>
      </c>
      <c r="EU143">
        <v>0</v>
      </c>
      <c r="EV143">
        <v>1363</v>
      </c>
      <c r="EW143">
        <v>188</v>
      </c>
      <c r="EX143">
        <v>0</v>
      </c>
      <c r="EY143">
        <v>0</v>
      </c>
      <c r="FQ143">
        <v>0</v>
      </c>
      <c r="FR143">
        <f t="shared" si="141"/>
        <v>0</v>
      </c>
      <c r="FS143">
        <v>0</v>
      </c>
      <c r="FX143">
        <v>92</v>
      </c>
      <c r="FY143">
        <v>44</v>
      </c>
      <c r="GD143">
        <v>1</v>
      </c>
      <c r="GF143">
        <v>399013033</v>
      </c>
      <c r="GG143">
        <v>2</v>
      </c>
      <c r="GH143">
        <v>1</v>
      </c>
      <c r="GI143">
        <v>4</v>
      </c>
      <c r="GJ143">
        <v>0</v>
      </c>
      <c r="GK143">
        <v>0</v>
      </c>
      <c r="GL143">
        <f t="shared" si="142"/>
        <v>0</v>
      </c>
      <c r="GM143">
        <f t="shared" si="143"/>
        <v>1290.97</v>
      </c>
      <c r="GN143">
        <f t="shared" si="144"/>
        <v>1290.97</v>
      </c>
      <c r="GO143">
        <f t="shared" si="145"/>
        <v>0</v>
      </c>
      <c r="GP143">
        <f t="shared" si="146"/>
        <v>0</v>
      </c>
      <c r="GR143">
        <v>0</v>
      </c>
      <c r="GS143">
        <v>0</v>
      </c>
      <c r="GT143">
        <v>0</v>
      </c>
      <c r="GV143">
        <f t="shared" si="147"/>
        <v>0</v>
      </c>
      <c r="GW143">
        <v>1</v>
      </c>
      <c r="GX143">
        <f t="shared" si="148"/>
        <v>0</v>
      </c>
      <c r="HA143">
        <v>0</v>
      </c>
      <c r="HB143">
        <v>0</v>
      </c>
      <c r="HC143">
        <f t="shared" si="149"/>
        <v>0</v>
      </c>
      <c r="HN143" t="s">
        <v>188</v>
      </c>
      <c r="HO143" t="s">
        <v>189</v>
      </c>
      <c r="HP143" t="s">
        <v>186</v>
      </c>
      <c r="HQ143" t="s">
        <v>186</v>
      </c>
      <c r="IK143">
        <v>0</v>
      </c>
    </row>
    <row r="144" spans="1:255" ht="12.75">
      <c r="A144" s="2">
        <v>18</v>
      </c>
      <c r="B144" s="2">
        <v>1</v>
      </c>
      <c r="C144" s="2">
        <v>96</v>
      </c>
      <c r="D144" s="2"/>
      <c r="E144" s="2" t="s">
        <v>190</v>
      </c>
      <c r="F144" s="2" t="s">
        <v>89</v>
      </c>
      <c r="G144" s="2" t="s">
        <v>90</v>
      </c>
      <c r="H144" s="2" t="s">
        <v>36</v>
      </c>
      <c r="I144" s="2">
        <f>I142*J144</f>
        <v>1.04</v>
      </c>
      <c r="J144" s="2">
        <v>100.00000000000001</v>
      </c>
      <c r="K144" s="2">
        <v>100</v>
      </c>
      <c r="L144" s="2"/>
      <c r="M144" s="2"/>
      <c r="N144" s="2"/>
      <c r="O144" s="2">
        <f t="shared" si="116"/>
        <v>0</v>
      </c>
      <c r="P144" s="2">
        <f t="shared" si="117"/>
        <v>0</v>
      </c>
      <c r="Q144" s="2">
        <f t="shared" si="118"/>
        <v>0</v>
      </c>
      <c r="R144" s="2">
        <f t="shared" si="119"/>
        <v>0</v>
      </c>
      <c r="S144" s="2">
        <f t="shared" si="120"/>
        <v>0</v>
      </c>
      <c r="T144" s="2">
        <f t="shared" si="121"/>
        <v>0</v>
      </c>
      <c r="U144" s="2">
        <f t="shared" si="122"/>
        <v>0</v>
      </c>
      <c r="V144" s="2">
        <f t="shared" si="123"/>
        <v>0</v>
      </c>
      <c r="W144" s="2">
        <f t="shared" si="124"/>
        <v>0</v>
      </c>
      <c r="X144" s="2">
        <f t="shared" si="125"/>
        <v>0</v>
      </c>
      <c r="Y144" s="2">
        <f t="shared" si="125"/>
        <v>0</v>
      </c>
      <c r="Z144" s="2"/>
      <c r="AA144" s="2">
        <v>55722483</v>
      </c>
      <c r="AB144" s="2">
        <f t="shared" si="126"/>
        <v>0</v>
      </c>
      <c r="AC144" s="2">
        <f t="shared" si="127"/>
        <v>0</v>
      </c>
      <c r="AD144" s="2">
        <f t="shared" si="128"/>
        <v>0</v>
      </c>
      <c r="AE144" s="2">
        <f t="shared" si="129"/>
        <v>0</v>
      </c>
      <c r="AF144" s="2">
        <f t="shared" si="129"/>
        <v>0</v>
      </c>
      <c r="AG144" s="2">
        <f t="shared" si="130"/>
        <v>0</v>
      </c>
      <c r="AH144" s="2">
        <f t="shared" si="131"/>
        <v>0</v>
      </c>
      <c r="AI144" s="2">
        <f t="shared" si="131"/>
        <v>0</v>
      </c>
      <c r="AJ144" s="2">
        <f t="shared" si="132"/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92</v>
      </c>
      <c r="AU144" s="2">
        <v>44</v>
      </c>
      <c r="AV144" s="2">
        <v>1</v>
      </c>
      <c r="AW144" s="2">
        <v>1</v>
      </c>
      <c r="AX144" s="2"/>
      <c r="AY144" s="2"/>
      <c r="AZ144" s="2">
        <v>1</v>
      </c>
      <c r="BA144" s="2">
        <v>1</v>
      </c>
      <c r="BB144" s="2">
        <v>1</v>
      </c>
      <c r="BC144" s="2">
        <v>1</v>
      </c>
      <c r="BD144" s="2" t="s">
        <v>3</v>
      </c>
      <c r="BE144" s="2" t="s">
        <v>3</v>
      </c>
      <c r="BF144" s="2" t="s">
        <v>3</v>
      </c>
      <c r="BG144" s="2" t="s">
        <v>3</v>
      </c>
      <c r="BH144" s="2">
        <v>3</v>
      </c>
      <c r="BI144" s="2">
        <v>1</v>
      </c>
      <c r="BJ144" s="2" t="s">
        <v>3</v>
      </c>
      <c r="BK144" s="2"/>
      <c r="BL144" s="2"/>
      <c r="BM144" s="2">
        <v>69001</v>
      </c>
      <c r="BN144" s="2">
        <v>0</v>
      </c>
      <c r="BO144" s="2" t="s">
        <v>3</v>
      </c>
      <c r="BP144" s="2">
        <v>0</v>
      </c>
      <c r="BQ144" s="2">
        <v>6</v>
      </c>
      <c r="BR144" s="2">
        <v>0</v>
      </c>
      <c r="BS144" s="2">
        <v>1</v>
      </c>
      <c r="BT144" s="2">
        <v>1</v>
      </c>
      <c r="BU144" s="2">
        <v>1</v>
      </c>
      <c r="BV144" s="2">
        <v>1</v>
      </c>
      <c r="BW144" s="2">
        <v>1</v>
      </c>
      <c r="BX144" s="2">
        <v>1</v>
      </c>
      <c r="BY144" s="2" t="s">
        <v>3</v>
      </c>
      <c r="BZ144" s="2">
        <v>92</v>
      </c>
      <c r="CA144" s="2">
        <v>44</v>
      </c>
      <c r="CB144" s="2" t="s">
        <v>3</v>
      </c>
      <c r="CC144" s="2"/>
      <c r="CD144" s="2"/>
      <c r="CE144" s="2">
        <v>0</v>
      </c>
      <c r="CF144" s="2">
        <v>0</v>
      </c>
      <c r="CG144" s="2">
        <v>0</v>
      </c>
      <c r="CH144" s="2"/>
      <c r="CI144" s="2"/>
      <c r="CJ144" s="2"/>
      <c r="CK144" s="2"/>
      <c r="CL144" s="2"/>
      <c r="CM144" s="2">
        <v>0</v>
      </c>
      <c r="CN144" s="2" t="s">
        <v>3</v>
      </c>
      <c r="CO144" s="2">
        <v>0</v>
      </c>
      <c r="CP144" s="2">
        <f t="shared" si="133"/>
        <v>0</v>
      </c>
      <c r="CQ144" s="2">
        <f t="shared" si="134"/>
        <v>0</v>
      </c>
      <c r="CR144" s="2">
        <f t="shared" si="135"/>
        <v>0</v>
      </c>
      <c r="CS144" s="2">
        <f t="shared" si="136"/>
        <v>0</v>
      </c>
      <c r="CT144" s="2">
        <f t="shared" si="137"/>
        <v>0</v>
      </c>
      <c r="CU144" s="2">
        <f t="shared" si="138"/>
        <v>0</v>
      </c>
      <c r="CV144" s="2">
        <f t="shared" si="138"/>
        <v>0</v>
      </c>
      <c r="CW144" s="2">
        <f t="shared" si="138"/>
        <v>0</v>
      </c>
      <c r="CX144" s="2">
        <f t="shared" si="138"/>
        <v>0</v>
      </c>
      <c r="CY144" s="2">
        <f t="shared" si="139"/>
        <v>0</v>
      </c>
      <c r="CZ144" s="2">
        <f t="shared" si="140"/>
        <v>0</v>
      </c>
      <c r="DA144" s="2"/>
      <c r="DB144" s="2"/>
      <c r="DC144" s="2" t="s">
        <v>3</v>
      </c>
      <c r="DD144" s="2" t="s">
        <v>3</v>
      </c>
      <c r="DE144" s="2" t="s">
        <v>3</v>
      </c>
      <c r="DF144" s="2" t="s">
        <v>3</v>
      </c>
      <c r="DG144" s="2" t="s">
        <v>3</v>
      </c>
      <c r="DH144" s="2" t="s">
        <v>3</v>
      </c>
      <c r="DI144" s="2" t="s">
        <v>3</v>
      </c>
      <c r="DJ144" s="2" t="s">
        <v>3</v>
      </c>
      <c r="DK144" s="2" t="s">
        <v>3</v>
      </c>
      <c r="DL144" s="2" t="s">
        <v>3</v>
      </c>
      <c r="DM144" s="2" t="s">
        <v>3</v>
      </c>
      <c r="DN144" s="2">
        <v>0</v>
      </c>
      <c r="DO144" s="2">
        <v>0</v>
      </c>
      <c r="DP144" s="2">
        <v>1</v>
      </c>
      <c r="DQ144" s="2">
        <v>1</v>
      </c>
      <c r="DR144" s="2"/>
      <c r="DS144" s="2"/>
      <c r="DT144" s="2"/>
      <c r="DU144" s="2">
        <v>1009</v>
      </c>
      <c r="DV144" s="2" t="s">
        <v>36</v>
      </c>
      <c r="DW144" s="2" t="s">
        <v>36</v>
      </c>
      <c r="DX144" s="2">
        <v>1000</v>
      </c>
      <c r="DY144" s="2"/>
      <c r="DZ144" s="2" t="s">
        <v>3</v>
      </c>
      <c r="EA144" s="2" t="s">
        <v>3</v>
      </c>
      <c r="EB144" s="2" t="s">
        <v>3</v>
      </c>
      <c r="EC144" s="2" t="s">
        <v>3</v>
      </c>
      <c r="ED144" s="2"/>
      <c r="EE144" s="2">
        <v>55471848</v>
      </c>
      <c r="EF144" s="2">
        <v>6</v>
      </c>
      <c r="EG144" s="2" t="s">
        <v>26</v>
      </c>
      <c r="EH144" s="2">
        <v>103</v>
      </c>
      <c r="EI144" s="2" t="s">
        <v>186</v>
      </c>
      <c r="EJ144" s="2">
        <v>1</v>
      </c>
      <c r="EK144" s="2">
        <v>69001</v>
      </c>
      <c r="EL144" s="2" t="s">
        <v>186</v>
      </c>
      <c r="EM144" s="2" t="s">
        <v>187</v>
      </c>
      <c r="EN144" s="2"/>
      <c r="EO144" s="2" t="s">
        <v>3</v>
      </c>
      <c r="EP144" s="2"/>
      <c r="EQ144" s="2">
        <v>0</v>
      </c>
      <c r="ER144" s="2">
        <v>0</v>
      </c>
      <c r="ES144" s="2">
        <v>0</v>
      </c>
      <c r="ET144" s="2">
        <v>0</v>
      </c>
      <c r="EU144" s="2">
        <v>0</v>
      </c>
      <c r="EV144" s="2">
        <v>0</v>
      </c>
      <c r="EW144" s="2">
        <v>0</v>
      </c>
      <c r="EX144" s="2">
        <v>0</v>
      </c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>
        <v>0</v>
      </c>
      <c r="FR144" s="2">
        <f t="shared" si="141"/>
        <v>0</v>
      </c>
      <c r="FS144" s="2">
        <v>0</v>
      </c>
      <c r="FT144" s="2"/>
      <c r="FU144" s="2"/>
      <c r="FV144" s="2"/>
      <c r="FW144" s="2"/>
      <c r="FX144" s="2">
        <v>92</v>
      </c>
      <c r="FY144" s="2">
        <v>44</v>
      </c>
      <c r="FZ144" s="2"/>
      <c r="GA144" s="2" t="s">
        <v>3</v>
      </c>
      <c r="GB144" s="2"/>
      <c r="GC144" s="2"/>
      <c r="GD144" s="2">
        <v>1</v>
      </c>
      <c r="GE144" s="2"/>
      <c r="GF144" s="2">
        <v>-179832266</v>
      </c>
      <c r="GG144" s="2">
        <v>2</v>
      </c>
      <c r="GH144" s="2">
        <v>1</v>
      </c>
      <c r="GI144" s="2">
        <v>-2</v>
      </c>
      <c r="GJ144" s="2">
        <v>0</v>
      </c>
      <c r="GK144" s="2">
        <v>0</v>
      </c>
      <c r="GL144" s="2">
        <f t="shared" si="142"/>
        <v>0</v>
      </c>
      <c r="GM144" s="2">
        <f t="shared" si="143"/>
        <v>0</v>
      </c>
      <c r="GN144" s="2">
        <f t="shared" si="144"/>
        <v>0</v>
      </c>
      <c r="GO144" s="2">
        <f t="shared" si="145"/>
        <v>0</v>
      </c>
      <c r="GP144" s="2">
        <f t="shared" si="146"/>
        <v>0</v>
      </c>
      <c r="GQ144" s="2"/>
      <c r="GR144" s="2">
        <v>0</v>
      </c>
      <c r="GS144" s="2">
        <v>3</v>
      </c>
      <c r="GT144" s="2">
        <v>0</v>
      </c>
      <c r="GU144" s="2" t="s">
        <v>3</v>
      </c>
      <c r="GV144" s="2">
        <f t="shared" si="147"/>
        <v>0</v>
      </c>
      <c r="GW144" s="2">
        <v>1</v>
      </c>
      <c r="GX144" s="2">
        <f t="shared" si="148"/>
        <v>0</v>
      </c>
      <c r="GY144" s="2"/>
      <c r="GZ144" s="2"/>
      <c r="HA144" s="2">
        <v>0</v>
      </c>
      <c r="HB144" s="2">
        <v>0</v>
      </c>
      <c r="HC144" s="2">
        <f t="shared" si="149"/>
        <v>0</v>
      </c>
      <c r="HD144" s="2"/>
      <c r="HE144" s="2" t="s">
        <v>3</v>
      </c>
      <c r="HF144" s="2" t="s">
        <v>3</v>
      </c>
      <c r="HG144" s="2"/>
      <c r="HH144" s="2"/>
      <c r="HI144" s="2"/>
      <c r="HJ144" s="2"/>
      <c r="HK144" s="2"/>
      <c r="HL144" s="2"/>
      <c r="HM144" s="2" t="s">
        <v>3</v>
      </c>
      <c r="HN144" s="2" t="s">
        <v>188</v>
      </c>
      <c r="HO144" s="2" t="s">
        <v>189</v>
      </c>
      <c r="HP144" s="2" t="s">
        <v>186</v>
      </c>
      <c r="HQ144" s="2" t="s">
        <v>186</v>
      </c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>
        <v>0</v>
      </c>
      <c r="IL144" s="2"/>
      <c r="IM144" s="2"/>
      <c r="IN144" s="2"/>
      <c r="IO144" s="2"/>
      <c r="IP144" s="2"/>
      <c r="IQ144" s="2"/>
      <c r="IR144" s="2"/>
      <c r="IS144" s="2"/>
      <c r="IT144" s="2"/>
      <c r="IU144" s="2"/>
    </row>
    <row r="145" spans="1:245" ht="12.75">
      <c r="A145">
        <v>18</v>
      </c>
      <c r="B145">
        <v>1</v>
      </c>
      <c r="C145">
        <v>98</v>
      </c>
      <c r="E145" t="s">
        <v>190</v>
      </c>
      <c r="F145" t="s">
        <v>89</v>
      </c>
      <c r="G145" t="s">
        <v>90</v>
      </c>
      <c r="H145" t="s">
        <v>36</v>
      </c>
      <c r="I145">
        <f>I143*J145</f>
        <v>1.04</v>
      </c>
      <c r="J145">
        <v>100.00000000000001</v>
      </c>
      <c r="K145">
        <v>100</v>
      </c>
      <c r="O145">
        <f t="shared" si="116"/>
        <v>0</v>
      </c>
      <c r="P145">
        <f t="shared" si="117"/>
        <v>0</v>
      </c>
      <c r="Q145">
        <f t="shared" si="118"/>
        <v>0</v>
      </c>
      <c r="R145">
        <f t="shared" si="119"/>
        <v>0</v>
      </c>
      <c r="S145">
        <f t="shared" si="120"/>
        <v>0</v>
      </c>
      <c r="T145">
        <f t="shared" si="121"/>
        <v>0</v>
      </c>
      <c r="U145">
        <f t="shared" si="122"/>
        <v>0</v>
      </c>
      <c r="V145">
        <f t="shared" si="123"/>
        <v>0</v>
      </c>
      <c r="W145">
        <f t="shared" si="124"/>
        <v>0</v>
      </c>
      <c r="X145">
        <f t="shared" si="125"/>
        <v>0</v>
      </c>
      <c r="Y145">
        <f t="shared" si="125"/>
        <v>0</v>
      </c>
      <c r="AA145">
        <v>55722484</v>
      </c>
      <c r="AB145">
        <f t="shared" si="126"/>
        <v>0</v>
      </c>
      <c r="AC145">
        <f t="shared" si="127"/>
        <v>0</v>
      </c>
      <c r="AD145">
        <f t="shared" si="128"/>
        <v>0</v>
      </c>
      <c r="AE145">
        <f t="shared" si="129"/>
        <v>0</v>
      </c>
      <c r="AF145">
        <f t="shared" si="129"/>
        <v>0</v>
      </c>
      <c r="AG145">
        <f t="shared" si="130"/>
        <v>0</v>
      </c>
      <c r="AH145">
        <f t="shared" si="131"/>
        <v>0</v>
      </c>
      <c r="AI145">
        <f t="shared" si="131"/>
        <v>0</v>
      </c>
      <c r="AJ145">
        <f t="shared" si="132"/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92</v>
      </c>
      <c r="AU145">
        <v>44</v>
      </c>
      <c r="AV145">
        <v>1</v>
      </c>
      <c r="AW145">
        <v>1</v>
      </c>
      <c r="AZ145">
        <v>1</v>
      </c>
      <c r="BA145">
        <v>1</v>
      </c>
      <c r="BB145">
        <v>1</v>
      </c>
      <c r="BC145">
        <v>6.82</v>
      </c>
      <c r="BH145">
        <v>3</v>
      </c>
      <c r="BI145">
        <v>1</v>
      </c>
      <c r="BM145">
        <v>69001</v>
      </c>
      <c r="BN145">
        <v>0</v>
      </c>
      <c r="BO145" t="s">
        <v>32</v>
      </c>
      <c r="BP145">
        <v>1</v>
      </c>
      <c r="BQ145">
        <v>6</v>
      </c>
      <c r="BR145">
        <v>0</v>
      </c>
      <c r="BS145">
        <v>1</v>
      </c>
      <c r="BT145">
        <v>1</v>
      </c>
      <c r="BU145">
        <v>1</v>
      </c>
      <c r="BV145">
        <v>1</v>
      </c>
      <c r="BW145">
        <v>1</v>
      </c>
      <c r="BX145">
        <v>1</v>
      </c>
      <c r="BZ145">
        <v>92</v>
      </c>
      <c r="CA145">
        <v>44</v>
      </c>
      <c r="CE145">
        <v>0</v>
      </c>
      <c r="CF145">
        <v>0</v>
      </c>
      <c r="CG145">
        <v>0</v>
      </c>
      <c r="CM145">
        <v>0</v>
      </c>
      <c r="CO145">
        <v>0</v>
      </c>
      <c r="CP145">
        <f t="shared" si="133"/>
        <v>0</v>
      </c>
      <c r="CQ145">
        <f t="shared" si="134"/>
        <v>0</v>
      </c>
      <c r="CR145">
        <f t="shared" si="135"/>
        <v>0</v>
      </c>
      <c r="CS145">
        <f t="shared" si="136"/>
        <v>0</v>
      </c>
      <c r="CT145">
        <f t="shared" si="137"/>
        <v>0</v>
      </c>
      <c r="CU145">
        <f t="shared" si="138"/>
        <v>0</v>
      </c>
      <c r="CV145">
        <f t="shared" si="138"/>
        <v>0</v>
      </c>
      <c r="CW145">
        <f t="shared" si="138"/>
        <v>0</v>
      </c>
      <c r="CX145">
        <f t="shared" si="138"/>
        <v>0</v>
      </c>
      <c r="CY145">
        <f t="shared" si="139"/>
        <v>0</v>
      </c>
      <c r="CZ145">
        <f t="shared" si="140"/>
        <v>0</v>
      </c>
      <c r="DN145">
        <v>0</v>
      </c>
      <c r="DO145">
        <v>0</v>
      </c>
      <c r="DP145">
        <v>1</v>
      </c>
      <c r="DQ145">
        <v>1</v>
      </c>
      <c r="DU145">
        <v>1009</v>
      </c>
      <c r="DV145" t="s">
        <v>36</v>
      </c>
      <c r="DW145" t="s">
        <v>36</v>
      </c>
      <c r="DX145">
        <v>1000</v>
      </c>
      <c r="EE145">
        <v>55471848</v>
      </c>
      <c r="EF145">
        <v>6</v>
      </c>
      <c r="EG145" t="s">
        <v>26</v>
      </c>
      <c r="EH145">
        <v>103</v>
      </c>
      <c r="EI145" t="s">
        <v>186</v>
      </c>
      <c r="EJ145">
        <v>1</v>
      </c>
      <c r="EK145">
        <v>69001</v>
      </c>
      <c r="EL145" t="s">
        <v>186</v>
      </c>
      <c r="EM145" t="s">
        <v>187</v>
      </c>
      <c r="EQ145">
        <v>0</v>
      </c>
      <c r="ER145">
        <v>0</v>
      </c>
      <c r="ES145">
        <v>0</v>
      </c>
      <c r="ET145">
        <v>0</v>
      </c>
      <c r="EU145">
        <v>0</v>
      </c>
      <c r="EV145">
        <v>0</v>
      </c>
      <c r="EW145">
        <v>0</v>
      </c>
      <c r="EX145">
        <v>0</v>
      </c>
      <c r="FQ145">
        <v>0</v>
      </c>
      <c r="FR145">
        <f t="shared" si="141"/>
        <v>0</v>
      </c>
      <c r="FS145">
        <v>0</v>
      </c>
      <c r="FX145">
        <v>92</v>
      </c>
      <c r="FY145">
        <v>44</v>
      </c>
      <c r="GD145">
        <v>1</v>
      </c>
      <c r="GF145">
        <v>-179832266</v>
      </c>
      <c r="GG145">
        <v>2</v>
      </c>
      <c r="GH145">
        <v>0</v>
      </c>
      <c r="GI145">
        <v>4</v>
      </c>
      <c r="GJ145">
        <v>0</v>
      </c>
      <c r="GK145">
        <v>0</v>
      </c>
      <c r="GL145">
        <f t="shared" si="142"/>
        <v>0</v>
      </c>
      <c r="GM145">
        <f t="shared" si="143"/>
        <v>0</v>
      </c>
      <c r="GN145">
        <f t="shared" si="144"/>
        <v>0</v>
      </c>
      <c r="GO145">
        <f t="shared" si="145"/>
        <v>0</v>
      </c>
      <c r="GP145">
        <f t="shared" si="146"/>
        <v>0</v>
      </c>
      <c r="GR145">
        <v>0</v>
      </c>
      <c r="GS145">
        <v>0</v>
      </c>
      <c r="GT145">
        <v>0</v>
      </c>
      <c r="GV145">
        <f t="shared" si="147"/>
        <v>0</v>
      </c>
      <c r="GW145">
        <v>1</v>
      </c>
      <c r="GX145">
        <f t="shared" si="148"/>
        <v>0</v>
      </c>
      <c r="HA145">
        <v>0</v>
      </c>
      <c r="HB145">
        <v>0</v>
      </c>
      <c r="HC145">
        <f t="shared" si="149"/>
        <v>0</v>
      </c>
      <c r="HN145" t="s">
        <v>188</v>
      </c>
      <c r="HO145" t="s">
        <v>189</v>
      </c>
      <c r="HP145" t="s">
        <v>186</v>
      </c>
      <c r="HQ145" t="s">
        <v>186</v>
      </c>
      <c r="IK145">
        <v>0</v>
      </c>
    </row>
    <row r="146" spans="1:255" ht="12.75">
      <c r="A146" s="2">
        <v>17</v>
      </c>
      <c r="B146" s="2">
        <v>1</v>
      </c>
      <c r="C146" s="2">
        <f>ROW(SmtRes!A99)</f>
        <v>99</v>
      </c>
      <c r="D146" s="2">
        <f>ROW(EtalonRes!A82)</f>
        <v>82</v>
      </c>
      <c r="E146" s="2" t="s">
        <v>191</v>
      </c>
      <c r="F146" s="2" t="s">
        <v>192</v>
      </c>
      <c r="G146" s="2" t="s">
        <v>193</v>
      </c>
      <c r="H146" s="2" t="s">
        <v>36</v>
      </c>
      <c r="I146" s="2">
        <v>1.04</v>
      </c>
      <c r="J146" s="2">
        <v>0</v>
      </c>
      <c r="K146" s="2">
        <v>1.04</v>
      </c>
      <c r="L146" s="2"/>
      <c r="M146" s="2"/>
      <c r="N146" s="2"/>
      <c r="O146" s="2">
        <f t="shared" si="116"/>
        <v>24.77</v>
      </c>
      <c r="P146" s="2">
        <f t="shared" si="117"/>
        <v>17.06</v>
      </c>
      <c r="Q146" s="2">
        <f t="shared" si="118"/>
        <v>0</v>
      </c>
      <c r="R146" s="2">
        <f t="shared" si="119"/>
        <v>0</v>
      </c>
      <c r="S146" s="2">
        <f t="shared" si="120"/>
        <v>7.71</v>
      </c>
      <c r="T146" s="2">
        <f t="shared" si="121"/>
        <v>0</v>
      </c>
      <c r="U146" s="2">
        <f t="shared" si="122"/>
        <v>1.0712000000000002</v>
      </c>
      <c r="V146" s="2">
        <f t="shared" si="123"/>
        <v>0</v>
      </c>
      <c r="W146" s="2">
        <f t="shared" si="124"/>
        <v>0</v>
      </c>
      <c r="X146" s="2">
        <f t="shared" si="125"/>
        <v>7.09</v>
      </c>
      <c r="Y146" s="2">
        <f t="shared" si="125"/>
        <v>3.39</v>
      </c>
      <c r="Z146" s="2"/>
      <c r="AA146" s="2">
        <v>55722483</v>
      </c>
      <c r="AB146" s="2">
        <f t="shared" si="126"/>
        <v>23.81</v>
      </c>
      <c r="AC146" s="2">
        <f t="shared" si="127"/>
        <v>16.4</v>
      </c>
      <c r="AD146" s="2">
        <f t="shared" si="128"/>
        <v>0</v>
      </c>
      <c r="AE146" s="2">
        <f t="shared" si="129"/>
        <v>0</v>
      </c>
      <c r="AF146" s="2">
        <f t="shared" si="129"/>
        <v>7.41</v>
      </c>
      <c r="AG146" s="2">
        <f t="shared" si="130"/>
        <v>0</v>
      </c>
      <c r="AH146" s="2">
        <f t="shared" si="131"/>
        <v>1.03</v>
      </c>
      <c r="AI146" s="2">
        <f t="shared" si="131"/>
        <v>0</v>
      </c>
      <c r="AJ146" s="2">
        <f t="shared" si="132"/>
        <v>0</v>
      </c>
      <c r="AK146" s="2">
        <v>23.81</v>
      </c>
      <c r="AL146" s="2">
        <v>16.4</v>
      </c>
      <c r="AM146" s="2">
        <v>0</v>
      </c>
      <c r="AN146" s="2">
        <v>0</v>
      </c>
      <c r="AO146" s="2">
        <v>7.41</v>
      </c>
      <c r="AP146" s="2">
        <v>0</v>
      </c>
      <c r="AQ146" s="2">
        <v>1.03</v>
      </c>
      <c r="AR146" s="2">
        <v>0</v>
      </c>
      <c r="AS146" s="2">
        <v>0</v>
      </c>
      <c r="AT146" s="2">
        <v>92</v>
      </c>
      <c r="AU146" s="2">
        <v>44</v>
      </c>
      <c r="AV146" s="2">
        <v>1</v>
      </c>
      <c r="AW146" s="2">
        <v>1</v>
      </c>
      <c r="AX146" s="2"/>
      <c r="AY146" s="2"/>
      <c r="AZ146" s="2">
        <v>1</v>
      </c>
      <c r="BA146" s="2">
        <v>1</v>
      </c>
      <c r="BB146" s="2">
        <v>1</v>
      </c>
      <c r="BC146" s="2">
        <v>1</v>
      </c>
      <c r="BD146" s="2" t="s">
        <v>3</v>
      </c>
      <c r="BE146" s="2" t="s">
        <v>3</v>
      </c>
      <c r="BF146" s="2" t="s">
        <v>3</v>
      </c>
      <c r="BG146" s="2" t="s">
        <v>3</v>
      </c>
      <c r="BH146" s="2">
        <v>0</v>
      </c>
      <c r="BI146" s="2">
        <v>1</v>
      </c>
      <c r="BJ146" s="2" t="s">
        <v>194</v>
      </c>
      <c r="BK146" s="2"/>
      <c r="BL146" s="2"/>
      <c r="BM146" s="2">
        <v>69001</v>
      </c>
      <c r="BN146" s="2">
        <v>0</v>
      </c>
      <c r="BO146" s="2" t="s">
        <v>3</v>
      </c>
      <c r="BP146" s="2">
        <v>0</v>
      </c>
      <c r="BQ146" s="2">
        <v>6</v>
      </c>
      <c r="BR146" s="2">
        <v>0</v>
      </c>
      <c r="BS146" s="2">
        <v>1</v>
      </c>
      <c r="BT146" s="2">
        <v>1</v>
      </c>
      <c r="BU146" s="2">
        <v>1</v>
      </c>
      <c r="BV146" s="2">
        <v>1</v>
      </c>
      <c r="BW146" s="2">
        <v>1</v>
      </c>
      <c r="BX146" s="2">
        <v>1</v>
      </c>
      <c r="BY146" s="2" t="s">
        <v>3</v>
      </c>
      <c r="BZ146" s="2">
        <v>92</v>
      </c>
      <c r="CA146" s="2">
        <v>44</v>
      </c>
      <c r="CB146" s="2" t="s">
        <v>3</v>
      </c>
      <c r="CC146" s="2"/>
      <c r="CD146" s="2"/>
      <c r="CE146" s="2">
        <v>0</v>
      </c>
      <c r="CF146" s="2">
        <v>0</v>
      </c>
      <c r="CG146" s="2">
        <v>0</v>
      </c>
      <c r="CH146" s="2"/>
      <c r="CI146" s="2"/>
      <c r="CJ146" s="2"/>
      <c r="CK146" s="2"/>
      <c r="CL146" s="2"/>
      <c r="CM146" s="2">
        <v>0</v>
      </c>
      <c r="CN146" s="2" t="s">
        <v>3</v>
      </c>
      <c r="CO146" s="2">
        <v>0</v>
      </c>
      <c r="CP146" s="2">
        <f t="shared" si="133"/>
        <v>24.77</v>
      </c>
      <c r="CQ146" s="2">
        <f t="shared" si="134"/>
        <v>16.4</v>
      </c>
      <c r="CR146" s="2">
        <f t="shared" si="135"/>
        <v>0</v>
      </c>
      <c r="CS146" s="2">
        <f t="shared" si="136"/>
        <v>0</v>
      </c>
      <c r="CT146" s="2">
        <f t="shared" si="137"/>
        <v>7.41</v>
      </c>
      <c r="CU146" s="2">
        <f t="shared" si="138"/>
        <v>0</v>
      </c>
      <c r="CV146" s="2">
        <f t="shared" si="138"/>
        <v>1.03</v>
      </c>
      <c r="CW146" s="2">
        <f t="shared" si="138"/>
        <v>0</v>
      </c>
      <c r="CX146" s="2">
        <f t="shared" si="138"/>
        <v>0</v>
      </c>
      <c r="CY146" s="2">
        <f t="shared" si="139"/>
        <v>7.0932</v>
      </c>
      <c r="CZ146" s="2">
        <f t="shared" si="140"/>
        <v>3.3924000000000003</v>
      </c>
      <c r="DA146" s="2"/>
      <c r="DB146" s="2"/>
      <c r="DC146" s="2" t="s">
        <v>3</v>
      </c>
      <c r="DD146" s="2" t="s">
        <v>3</v>
      </c>
      <c r="DE146" s="2" t="s">
        <v>3</v>
      </c>
      <c r="DF146" s="2" t="s">
        <v>3</v>
      </c>
      <c r="DG146" s="2" t="s">
        <v>3</v>
      </c>
      <c r="DH146" s="2" t="s">
        <v>3</v>
      </c>
      <c r="DI146" s="2" t="s">
        <v>3</v>
      </c>
      <c r="DJ146" s="2" t="s">
        <v>3</v>
      </c>
      <c r="DK146" s="2" t="s">
        <v>3</v>
      </c>
      <c r="DL146" s="2" t="s">
        <v>3</v>
      </c>
      <c r="DM146" s="2" t="s">
        <v>3</v>
      </c>
      <c r="DN146" s="2">
        <v>0</v>
      </c>
      <c r="DO146" s="2">
        <v>0</v>
      </c>
      <c r="DP146" s="2">
        <v>1</v>
      </c>
      <c r="DQ146" s="2">
        <v>1</v>
      </c>
      <c r="DR146" s="2"/>
      <c r="DS146" s="2"/>
      <c r="DT146" s="2"/>
      <c r="DU146" s="2">
        <v>1009</v>
      </c>
      <c r="DV146" s="2" t="s">
        <v>36</v>
      </c>
      <c r="DW146" s="2" t="s">
        <v>36</v>
      </c>
      <c r="DX146" s="2">
        <v>1000</v>
      </c>
      <c r="DY146" s="2"/>
      <c r="DZ146" s="2" t="s">
        <v>3</v>
      </c>
      <c r="EA146" s="2" t="s">
        <v>3</v>
      </c>
      <c r="EB146" s="2" t="s">
        <v>3</v>
      </c>
      <c r="EC146" s="2" t="s">
        <v>3</v>
      </c>
      <c r="ED146" s="2"/>
      <c r="EE146" s="2">
        <v>55471848</v>
      </c>
      <c r="EF146" s="2">
        <v>6</v>
      </c>
      <c r="EG146" s="2" t="s">
        <v>26</v>
      </c>
      <c r="EH146" s="2">
        <v>103</v>
      </c>
      <c r="EI146" s="2" t="s">
        <v>186</v>
      </c>
      <c r="EJ146" s="2">
        <v>1</v>
      </c>
      <c r="EK146" s="2">
        <v>69001</v>
      </c>
      <c r="EL146" s="2" t="s">
        <v>186</v>
      </c>
      <c r="EM146" s="2" t="s">
        <v>187</v>
      </c>
      <c r="EN146" s="2"/>
      <c r="EO146" s="2" t="s">
        <v>3</v>
      </c>
      <c r="EP146" s="2"/>
      <c r="EQ146" s="2">
        <v>0</v>
      </c>
      <c r="ER146" s="2">
        <v>23.81</v>
      </c>
      <c r="ES146" s="2">
        <v>16.4</v>
      </c>
      <c r="ET146" s="2">
        <v>0</v>
      </c>
      <c r="EU146" s="2">
        <v>0</v>
      </c>
      <c r="EV146" s="2">
        <v>7.41</v>
      </c>
      <c r="EW146" s="2">
        <v>1.03</v>
      </c>
      <c r="EX146" s="2">
        <v>0</v>
      </c>
      <c r="EY146" s="2">
        <v>0</v>
      </c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>
        <v>0</v>
      </c>
      <c r="FR146" s="2">
        <f t="shared" si="141"/>
        <v>0</v>
      </c>
      <c r="FS146" s="2">
        <v>0</v>
      </c>
      <c r="FT146" s="2"/>
      <c r="FU146" s="2"/>
      <c r="FV146" s="2"/>
      <c r="FW146" s="2"/>
      <c r="FX146" s="2">
        <v>92</v>
      </c>
      <c r="FY146" s="2">
        <v>44</v>
      </c>
      <c r="FZ146" s="2"/>
      <c r="GA146" s="2" t="s">
        <v>3</v>
      </c>
      <c r="GB146" s="2"/>
      <c r="GC146" s="2"/>
      <c r="GD146" s="2">
        <v>1</v>
      </c>
      <c r="GE146" s="2"/>
      <c r="GF146" s="2">
        <v>-1160313074</v>
      </c>
      <c r="GG146" s="2">
        <v>2</v>
      </c>
      <c r="GH146" s="2">
        <v>1</v>
      </c>
      <c r="GI146" s="2">
        <v>-2</v>
      </c>
      <c r="GJ146" s="2">
        <v>0</v>
      </c>
      <c r="GK146" s="2">
        <v>0</v>
      </c>
      <c r="GL146" s="2">
        <f t="shared" si="142"/>
        <v>0</v>
      </c>
      <c r="GM146" s="2">
        <f t="shared" si="143"/>
        <v>35.25</v>
      </c>
      <c r="GN146" s="2">
        <f t="shared" si="144"/>
        <v>35.25</v>
      </c>
      <c r="GO146" s="2">
        <f t="shared" si="145"/>
        <v>0</v>
      </c>
      <c r="GP146" s="2">
        <f t="shared" si="146"/>
        <v>0</v>
      </c>
      <c r="GQ146" s="2"/>
      <c r="GR146" s="2">
        <v>0</v>
      </c>
      <c r="GS146" s="2">
        <v>3</v>
      </c>
      <c r="GT146" s="2">
        <v>0</v>
      </c>
      <c r="GU146" s="2" t="s">
        <v>3</v>
      </c>
      <c r="GV146" s="2">
        <f t="shared" si="147"/>
        <v>0</v>
      </c>
      <c r="GW146" s="2">
        <v>1</v>
      </c>
      <c r="GX146" s="2">
        <f t="shared" si="148"/>
        <v>0</v>
      </c>
      <c r="GY146" s="2"/>
      <c r="GZ146" s="2"/>
      <c r="HA146" s="2">
        <v>0</v>
      </c>
      <c r="HB146" s="2">
        <v>0</v>
      </c>
      <c r="HC146" s="2">
        <f t="shared" si="149"/>
        <v>0</v>
      </c>
      <c r="HD146" s="2"/>
      <c r="HE146" s="2" t="s">
        <v>3</v>
      </c>
      <c r="HF146" s="2" t="s">
        <v>3</v>
      </c>
      <c r="HG146" s="2"/>
      <c r="HH146" s="2"/>
      <c r="HI146" s="2"/>
      <c r="HJ146" s="2"/>
      <c r="HK146" s="2"/>
      <c r="HL146" s="2"/>
      <c r="HM146" s="2" t="s">
        <v>3</v>
      </c>
      <c r="HN146" s="2" t="s">
        <v>188</v>
      </c>
      <c r="HO146" s="2" t="s">
        <v>189</v>
      </c>
      <c r="HP146" s="2" t="s">
        <v>186</v>
      </c>
      <c r="HQ146" s="2" t="s">
        <v>186</v>
      </c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>
        <v>0</v>
      </c>
      <c r="IL146" s="2"/>
      <c r="IM146" s="2"/>
      <c r="IN146" s="2"/>
      <c r="IO146" s="2"/>
      <c r="IP146" s="2"/>
      <c r="IQ146" s="2"/>
      <c r="IR146" s="2"/>
      <c r="IS146" s="2"/>
      <c r="IT146" s="2"/>
      <c r="IU146" s="2"/>
    </row>
    <row r="147" spans="1:245" ht="12.75">
      <c r="A147">
        <v>17</v>
      </c>
      <c r="B147">
        <v>1</v>
      </c>
      <c r="C147">
        <f>ROW(SmtRes!A100)</f>
        <v>100</v>
      </c>
      <c r="D147">
        <f>ROW(EtalonRes!A84)</f>
        <v>84</v>
      </c>
      <c r="E147" t="s">
        <v>191</v>
      </c>
      <c r="F147" t="s">
        <v>192</v>
      </c>
      <c r="G147" t="s">
        <v>193</v>
      </c>
      <c r="H147" t="s">
        <v>36</v>
      </c>
      <c r="I147">
        <v>1.04</v>
      </c>
      <c r="J147">
        <v>0</v>
      </c>
      <c r="K147">
        <v>1.04</v>
      </c>
      <c r="O147">
        <f t="shared" si="116"/>
        <v>413.71</v>
      </c>
      <c r="P147">
        <f t="shared" si="117"/>
        <v>116.32</v>
      </c>
      <c r="Q147">
        <f t="shared" si="118"/>
        <v>0</v>
      </c>
      <c r="R147">
        <f t="shared" si="119"/>
        <v>0</v>
      </c>
      <c r="S147">
        <f t="shared" si="120"/>
        <v>297.39</v>
      </c>
      <c r="T147">
        <f t="shared" si="121"/>
        <v>0</v>
      </c>
      <c r="U147">
        <f t="shared" si="122"/>
        <v>1.0712000000000002</v>
      </c>
      <c r="V147">
        <f t="shared" si="123"/>
        <v>0</v>
      </c>
      <c r="W147">
        <f t="shared" si="124"/>
        <v>0</v>
      </c>
      <c r="X147">
        <f t="shared" si="125"/>
        <v>273.6</v>
      </c>
      <c r="Y147">
        <f t="shared" si="125"/>
        <v>130.85</v>
      </c>
      <c r="AA147">
        <v>55722484</v>
      </c>
      <c r="AB147">
        <f t="shared" si="126"/>
        <v>23.81</v>
      </c>
      <c r="AC147">
        <f t="shared" si="127"/>
        <v>16.4</v>
      </c>
      <c r="AD147">
        <f t="shared" si="128"/>
        <v>0</v>
      </c>
      <c r="AE147">
        <f t="shared" si="129"/>
        <v>0</v>
      </c>
      <c r="AF147">
        <f t="shared" si="129"/>
        <v>7.41</v>
      </c>
      <c r="AG147">
        <f t="shared" si="130"/>
        <v>0</v>
      </c>
      <c r="AH147">
        <f t="shared" si="131"/>
        <v>1.03</v>
      </c>
      <c r="AI147">
        <f t="shared" si="131"/>
        <v>0</v>
      </c>
      <c r="AJ147">
        <f t="shared" si="132"/>
        <v>0</v>
      </c>
      <c r="AK147">
        <v>23.81</v>
      </c>
      <c r="AL147">
        <v>16.4</v>
      </c>
      <c r="AM147">
        <v>0</v>
      </c>
      <c r="AN147">
        <v>0</v>
      </c>
      <c r="AO147">
        <v>7.41</v>
      </c>
      <c r="AP147">
        <v>0</v>
      </c>
      <c r="AQ147">
        <v>1.03</v>
      </c>
      <c r="AR147">
        <v>0</v>
      </c>
      <c r="AS147">
        <v>0</v>
      </c>
      <c r="AT147">
        <v>92</v>
      </c>
      <c r="AU147">
        <v>44</v>
      </c>
      <c r="AV147">
        <v>1</v>
      </c>
      <c r="AW147">
        <v>1</v>
      </c>
      <c r="AZ147">
        <v>1</v>
      </c>
      <c r="BA147">
        <v>38.59</v>
      </c>
      <c r="BB147">
        <v>13.43</v>
      </c>
      <c r="BC147">
        <v>6.82</v>
      </c>
      <c r="BH147">
        <v>0</v>
      </c>
      <c r="BI147">
        <v>1</v>
      </c>
      <c r="BJ147" t="s">
        <v>194</v>
      </c>
      <c r="BM147">
        <v>69001</v>
      </c>
      <c r="BN147">
        <v>0</v>
      </c>
      <c r="BO147" t="s">
        <v>32</v>
      </c>
      <c r="BP147">
        <v>1</v>
      </c>
      <c r="BQ147">
        <v>6</v>
      </c>
      <c r="BR147">
        <v>0</v>
      </c>
      <c r="BS147">
        <v>38.59</v>
      </c>
      <c r="BT147">
        <v>1</v>
      </c>
      <c r="BU147">
        <v>1</v>
      </c>
      <c r="BV147">
        <v>1</v>
      </c>
      <c r="BW147">
        <v>1</v>
      </c>
      <c r="BX147">
        <v>1</v>
      </c>
      <c r="BZ147">
        <v>92</v>
      </c>
      <c r="CA147">
        <v>44</v>
      </c>
      <c r="CE147">
        <v>0</v>
      </c>
      <c r="CF147">
        <v>0</v>
      </c>
      <c r="CG147">
        <v>0</v>
      </c>
      <c r="CM147">
        <v>0</v>
      </c>
      <c r="CO147">
        <v>0</v>
      </c>
      <c r="CP147">
        <f t="shared" si="133"/>
        <v>413.71</v>
      </c>
      <c r="CQ147">
        <f t="shared" si="134"/>
        <v>111.848</v>
      </c>
      <c r="CR147">
        <f t="shared" si="135"/>
        <v>0</v>
      </c>
      <c r="CS147">
        <f t="shared" si="136"/>
        <v>0</v>
      </c>
      <c r="CT147">
        <f t="shared" si="137"/>
        <v>285.9519</v>
      </c>
      <c r="CU147">
        <f t="shared" si="138"/>
        <v>0</v>
      </c>
      <c r="CV147">
        <f t="shared" si="138"/>
        <v>1.03</v>
      </c>
      <c r="CW147">
        <f t="shared" si="138"/>
        <v>0</v>
      </c>
      <c r="CX147">
        <f t="shared" si="138"/>
        <v>0</v>
      </c>
      <c r="CY147">
        <f t="shared" si="139"/>
        <v>273.5988</v>
      </c>
      <c r="CZ147">
        <f t="shared" si="140"/>
        <v>130.8516</v>
      </c>
      <c r="DN147">
        <v>0</v>
      </c>
      <c r="DO147">
        <v>0</v>
      </c>
      <c r="DP147">
        <v>1</v>
      </c>
      <c r="DQ147">
        <v>1</v>
      </c>
      <c r="DU147">
        <v>1009</v>
      </c>
      <c r="DV147" t="s">
        <v>36</v>
      </c>
      <c r="DW147" t="s">
        <v>36</v>
      </c>
      <c r="DX147">
        <v>1000</v>
      </c>
      <c r="EE147">
        <v>55471848</v>
      </c>
      <c r="EF147">
        <v>6</v>
      </c>
      <c r="EG147" t="s">
        <v>26</v>
      </c>
      <c r="EH147">
        <v>103</v>
      </c>
      <c r="EI147" t="s">
        <v>186</v>
      </c>
      <c r="EJ147">
        <v>1</v>
      </c>
      <c r="EK147">
        <v>69001</v>
      </c>
      <c r="EL147" t="s">
        <v>186</v>
      </c>
      <c r="EM147" t="s">
        <v>187</v>
      </c>
      <c r="EQ147">
        <v>0</v>
      </c>
      <c r="ER147">
        <v>23.81</v>
      </c>
      <c r="ES147">
        <v>16.4</v>
      </c>
      <c r="ET147">
        <v>0</v>
      </c>
      <c r="EU147">
        <v>0</v>
      </c>
      <c r="EV147">
        <v>7.41</v>
      </c>
      <c r="EW147">
        <v>1.03</v>
      </c>
      <c r="EX147">
        <v>0</v>
      </c>
      <c r="EY147">
        <v>0</v>
      </c>
      <c r="FQ147">
        <v>0</v>
      </c>
      <c r="FR147">
        <f t="shared" si="141"/>
        <v>0</v>
      </c>
      <c r="FS147">
        <v>0</v>
      </c>
      <c r="FX147">
        <v>92</v>
      </c>
      <c r="FY147">
        <v>44</v>
      </c>
      <c r="GD147">
        <v>1</v>
      </c>
      <c r="GF147">
        <v>-1160313074</v>
      </c>
      <c r="GG147">
        <v>2</v>
      </c>
      <c r="GH147">
        <v>1</v>
      </c>
      <c r="GI147">
        <v>4</v>
      </c>
      <c r="GJ147">
        <v>0</v>
      </c>
      <c r="GK147">
        <v>0</v>
      </c>
      <c r="GL147">
        <f t="shared" si="142"/>
        <v>0</v>
      </c>
      <c r="GM147">
        <f t="shared" si="143"/>
        <v>818.16</v>
      </c>
      <c r="GN147">
        <f t="shared" si="144"/>
        <v>818.16</v>
      </c>
      <c r="GO147">
        <f t="shared" si="145"/>
        <v>0</v>
      </c>
      <c r="GP147">
        <f t="shared" si="146"/>
        <v>0</v>
      </c>
      <c r="GR147">
        <v>0</v>
      </c>
      <c r="GS147">
        <v>0</v>
      </c>
      <c r="GT147">
        <v>0</v>
      </c>
      <c r="GV147">
        <f t="shared" si="147"/>
        <v>0</v>
      </c>
      <c r="GW147">
        <v>1</v>
      </c>
      <c r="GX147">
        <f t="shared" si="148"/>
        <v>0</v>
      </c>
      <c r="HA147">
        <v>0</v>
      </c>
      <c r="HB147">
        <v>0</v>
      </c>
      <c r="HC147">
        <f t="shared" si="149"/>
        <v>0</v>
      </c>
      <c r="HN147" t="s">
        <v>188</v>
      </c>
      <c r="HO147" t="s">
        <v>189</v>
      </c>
      <c r="HP147" t="s">
        <v>186</v>
      </c>
      <c r="HQ147" t="s">
        <v>186</v>
      </c>
      <c r="IK147">
        <v>0</v>
      </c>
    </row>
    <row r="148" spans="1:255" ht="12.75">
      <c r="A148" s="2">
        <v>17</v>
      </c>
      <c r="B148" s="2">
        <v>1</v>
      </c>
      <c r="C148" s="2"/>
      <c r="D148" s="2"/>
      <c r="E148" s="2" t="s">
        <v>195</v>
      </c>
      <c r="F148" s="2" t="s">
        <v>196</v>
      </c>
      <c r="G148" s="2" t="s">
        <v>197</v>
      </c>
      <c r="H148" s="2" t="s">
        <v>198</v>
      </c>
      <c r="I148" s="2">
        <v>1.04</v>
      </c>
      <c r="J148" s="2">
        <v>0</v>
      </c>
      <c r="K148" s="2">
        <v>1.04</v>
      </c>
      <c r="L148" s="2"/>
      <c r="M148" s="2"/>
      <c r="N148" s="2"/>
      <c r="O148" s="2">
        <f>0</f>
        <v>0</v>
      </c>
      <c r="P148" s="2">
        <f>0</f>
        <v>0</v>
      </c>
      <c r="Q148" s="2">
        <f>0</f>
        <v>0</v>
      </c>
      <c r="R148" s="2">
        <f>0</f>
        <v>0</v>
      </c>
      <c r="S148" s="2">
        <f>0</f>
        <v>0</v>
      </c>
      <c r="T148" s="2">
        <f>0</f>
        <v>0</v>
      </c>
      <c r="U148" s="2">
        <f>0</f>
        <v>0</v>
      </c>
      <c r="V148" s="2">
        <f>0</f>
        <v>0</v>
      </c>
      <c r="W148" s="2">
        <f>0</f>
        <v>0</v>
      </c>
      <c r="X148" s="2">
        <f>0</f>
        <v>0</v>
      </c>
      <c r="Y148" s="2">
        <f>0</f>
        <v>0</v>
      </c>
      <c r="Z148" s="2"/>
      <c r="AA148" s="2">
        <v>55722483</v>
      </c>
      <c r="AB148" s="2">
        <f>ROUND((AK148),2)</f>
        <v>46.37</v>
      </c>
      <c r="AC148" s="2">
        <f>0</f>
        <v>0</v>
      </c>
      <c r="AD148" s="2">
        <f>0</f>
        <v>0</v>
      </c>
      <c r="AE148" s="2">
        <f>0</f>
        <v>0</v>
      </c>
      <c r="AF148" s="2">
        <f>0</f>
        <v>0</v>
      </c>
      <c r="AG148" s="2">
        <f>0</f>
        <v>0</v>
      </c>
      <c r="AH148" s="2">
        <f>0</f>
        <v>0</v>
      </c>
      <c r="AI148" s="2">
        <f>0</f>
        <v>0</v>
      </c>
      <c r="AJ148" s="2">
        <f>0</f>
        <v>0</v>
      </c>
      <c r="AK148" s="2">
        <v>46.37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1</v>
      </c>
      <c r="AW148" s="2">
        <v>1</v>
      </c>
      <c r="AX148" s="2"/>
      <c r="AY148" s="2"/>
      <c r="AZ148" s="2">
        <v>1</v>
      </c>
      <c r="BA148" s="2">
        <v>1</v>
      </c>
      <c r="BB148" s="2">
        <v>1</v>
      </c>
      <c r="BC148" s="2">
        <v>1</v>
      </c>
      <c r="BD148" s="2" t="s">
        <v>3</v>
      </c>
      <c r="BE148" s="2" t="s">
        <v>3</v>
      </c>
      <c r="BF148" s="2" t="s">
        <v>3</v>
      </c>
      <c r="BG148" s="2" t="s">
        <v>3</v>
      </c>
      <c r="BH148" s="2">
        <v>0</v>
      </c>
      <c r="BI148" s="2">
        <v>1</v>
      </c>
      <c r="BJ148" s="2" t="s">
        <v>199</v>
      </c>
      <c r="BK148" s="2"/>
      <c r="BL148" s="2"/>
      <c r="BM148" s="2">
        <v>700005</v>
      </c>
      <c r="BN148" s="2">
        <v>0</v>
      </c>
      <c r="BO148" s="2" t="s">
        <v>3</v>
      </c>
      <c r="BP148" s="2">
        <v>0</v>
      </c>
      <c r="BQ148" s="2">
        <v>10</v>
      </c>
      <c r="BR148" s="2">
        <v>0</v>
      </c>
      <c r="BS148" s="2">
        <v>1</v>
      </c>
      <c r="BT148" s="2">
        <v>1</v>
      </c>
      <c r="BU148" s="2">
        <v>1</v>
      </c>
      <c r="BV148" s="2">
        <v>1</v>
      </c>
      <c r="BW148" s="2">
        <v>1</v>
      </c>
      <c r="BX148" s="2">
        <v>1</v>
      </c>
      <c r="BY148" s="2" t="s">
        <v>3</v>
      </c>
      <c r="BZ148" s="2">
        <v>0</v>
      </c>
      <c r="CA148" s="2">
        <v>0</v>
      </c>
      <c r="CB148" s="2" t="s">
        <v>3</v>
      </c>
      <c r="CC148" s="2"/>
      <c r="CD148" s="2"/>
      <c r="CE148" s="2">
        <v>0</v>
      </c>
      <c r="CF148" s="2">
        <v>0</v>
      </c>
      <c r="CG148" s="2">
        <v>0</v>
      </c>
      <c r="CH148" s="2"/>
      <c r="CI148" s="2"/>
      <c r="CJ148" s="2"/>
      <c r="CK148" s="2"/>
      <c r="CL148" s="2"/>
      <c r="CM148" s="2">
        <v>0</v>
      </c>
      <c r="CN148" s="2" t="s">
        <v>3</v>
      </c>
      <c r="CO148" s="2">
        <v>0</v>
      </c>
      <c r="CP148" s="2">
        <f>AB148*AZ148</f>
        <v>46.37</v>
      </c>
      <c r="CQ148" s="2">
        <v>0</v>
      </c>
      <c r="CR148" s="2">
        <v>0</v>
      </c>
      <c r="CS148" s="2">
        <v>0</v>
      </c>
      <c r="CT148" s="2">
        <v>0</v>
      </c>
      <c r="CU148" s="2">
        <v>0</v>
      </c>
      <c r="CV148" s="2">
        <v>0</v>
      </c>
      <c r="CW148" s="2">
        <v>0</v>
      </c>
      <c r="CX148" s="2">
        <v>0</v>
      </c>
      <c r="CY148" s="2">
        <v>0</v>
      </c>
      <c r="CZ148" s="2">
        <v>0</v>
      </c>
      <c r="DA148" s="2"/>
      <c r="DB148" s="2"/>
      <c r="DC148" s="2" t="s">
        <v>3</v>
      </c>
      <c r="DD148" s="2" t="s">
        <v>3</v>
      </c>
      <c r="DE148" s="2" t="s">
        <v>3</v>
      </c>
      <c r="DF148" s="2" t="s">
        <v>3</v>
      </c>
      <c r="DG148" s="2" t="s">
        <v>3</v>
      </c>
      <c r="DH148" s="2" t="s">
        <v>3</v>
      </c>
      <c r="DI148" s="2" t="s">
        <v>3</v>
      </c>
      <c r="DJ148" s="2" t="s">
        <v>3</v>
      </c>
      <c r="DK148" s="2" t="s">
        <v>3</v>
      </c>
      <c r="DL148" s="2" t="s">
        <v>3</v>
      </c>
      <c r="DM148" s="2" t="s">
        <v>3</v>
      </c>
      <c r="DN148" s="2">
        <v>0</v>
      </c>
      <c r="DO148" s="2">
        <v>0</v>
      </c>
      <c r="DP148" s="2">
        <v>1</v>
      </c>
      <c r="DQ148" s="2">
        <v>1</v>
      </c>
      <c r="DR148" s="2"/>
      <c r="DS148" s="2"/>
      <c r="DT148" s="2"/>
      <c r="DU148" s="2">
        <v>1013</v>
      </c>
      <c r="DV148" s="2" t="s">
        <v>198</v>
      </c>
      <c r="DW148" s="2" t="s">
        <v>198</v>
      </c>
      <c r="DX148" s="2">
        <v>1</v>
      </c>
      <c r="DY148" s="2"/>
      <c r="DZ148" s="2" t="s">
        <v>3</v>
      </c>
      <c r="EA148" s="2" t="s">
        <v>3</v>
      </c>
      <c r="EB148" s="2" t="s">
        <v>3</v>
      </c>
      <c r="EC148" s="2" t="s">
        <v>3</v>
      </c>
      <c r="ED148" s="2"/>
      <c r="EE148" s="2">
        <v>55471919</v>
      </c>
      <c r="EF148" s="2">
        <v>10</v>
      </c>
      <c r="EG148" s="2" t="s">
        <v>200</v>
      </c>
      <c r="EH148" s="2">
        <v>107</v>
      </c>
      <c r="EI148" s="2" t="s">
        <v>201</v>
      </c>
      <c r="EJ148" s="2">
        <v>1</v>
      </c>
      <c r="EK148" s="2">
        <v>700005</v>
      </c>
      <c r="EL148" s="2" t="s">
        <v>201</v>
      </c>
      <c r="EM148" s="2" t="s">
        <v>202</v>
      </c>
      <c r="EN148" s="2"/>
      <c r="EO148" s="2" t="s">
        <v>3</v>
      </c>
      <c r="EP148" s="2"/>
      <c r="EQ148" s="2">
        <v>0</v>
      </c>
      <c r="ER148" s="2">
        <v>0</v>
      </c>
      <c r="ES148" s="2">
        <v>0</v>
      </c>
      <c r="ET148" s="2">
        <v>0</v>
      </c>
      <c r="EU148" s="2">
        <v>0</v>
      </c>
      <c r="EV148" s="2">
        <v>0</v>
      </c>
      <c r="EW148" s="2">
        <v>0</v>
      </c>
      <c r="EX148" s="2">
        <v>0</v>
      </c>
      <c r="EY148" s="2">
        <v>0</v>
      </c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>
        <v>0</v>
      </c>
      <c r="FR148" s="2">
        <f t="shared" si="141"/>
        <v>0</v>
      </c>
      <c r="FS148" s="2">
        <v>0</v>
      </c>
      <c r="FT148" s="2"/>
      <c r="FU148" s="2"/>
      <c r="FV148" s="2"/>
      <c r="FW148" s="2"/>
      <c r="FX148" s="2">
        <v>0</v>
      </c>
      <c r="FY148" s="2">
        <v>0</v>
      </c>
      <c r="FZ148" s="2"/>
      <c r="GA148" s="2" t="s">
        <v>3</v>
      </c>
      <c r="GB148" s="2"/>
      <c r="GC148" s="2"/>
      <c r="GD148" s="2">
        <v>1</v>
      </c>
      <c r="GE148" s="2"/>
      <c r="GF148" s="2">
        <v>343111974</v>
      </c>
      <c r="GG148" s="2">
        <v>2</v>
      </c>
      <c r="GH148" s="2">
        <v>1</v>
      </c>
      <c r="GI148" s="2">
        <v>-2</v>
      </c>
      <c r="GJ148" s="2">
        <v>2</v>
      </c>
      <c r="GK148" s="2">
        <v>0</v>
      </c>
      <c r="GL148" s="2">
        <f t="shared" si="142"/>
        <v>0</v>
      </c>
      <c r="GM148" s="2">
        <f>ROUND(CP148*I148,2)</f>
        <v>48.22</v>
      </c>
      <c r="GN148" s="2">
        <f>IF(OR(BI148=0,BI148=1),ROUND(CP148*I148,2),0)</f>
        <v>48.22</v>
      </c>
      <c r="GO148" s="2">
        <f>IF(BI148=2,ROUND(CP148*I148,2),0)</f>
        <v>0</v>
      </c>
      <c r="GP148" s="2">
        <f>IF(BI148=4,ROUND(CP148*I148,2)+GX148,0)</f>
        <v>0</v>
      </c>
      <c r="GQ148" s="2"/>
      <c r="GR148" s="2">
        <v>0</v>
      </c>
      <c r="GS148" s="2">
        <v>3</v>
      </c>
      <c r="GT148" s="2">
        <v>0</v>
      </c>
      <c r="GU148" s="2" t="s">
        <v>3</v>
      </c>
      <c r="GV148" s="2">
        <f>0</f>
        <v>0</v>
      </c>
      <c r="GW148" s="2">
        <v>1</v>
      </c>
      <c r="GX148" s="2">
        <f>0</f>
        <v>0</v>
      </c>
      <c r="GY148" s="2"/>
      <c r="GZ148" s="2"/>
      <c r="HA148" s="2">
        <v>0</v>
      </c>
      <c r="HB148" s="2">
        <v>0</v>
      </c>
      <c r="HC148" s="2">
        <v>0</v>
      </c>
      <c r="HD148" s="2">
        <f>GM148</f>
        <v>48.22</v>
      </c>
      <c r="HE148" s="2" t="s">
        <v>3</v>
      </c>
      <c r="HF148" s="2" t="s">
        <v>3</v>
      </c>
      <c r="HG148" s="2"/>
      <c r="HH148" s="2"/>
      <c r="HI148" s="2"/>
      <c r="HJ148" s="2"/>
      <c r="HK148" s="2"/>
      <c r="HL148" s="2"/>
      <c r="HM148" s="2" t="s">
        <v>3</v>
      </c>
      <c r="HN148" s="2" t="s">
        <v>3</v>
      </c>
      <c r="HO148" s="2" t="s">
        <v>3</v>
      </c>
      <c r="HP148" s="2" t="s">
        <v>3</v>
      </c>
      <c r="HQ148" s="2" t="s">
        <v>3</v>
      </c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>
        <v>0</v>
      </c>
      <c r="IL148" s="2"/>
      <c r="IM148" s="2"/>
      <c r="IN148" s="2"/>
      <c r="IO148" s="2"/>
      <c r="IP148" s="2"/>
      <c r="IQ148" s="2"/>
      <c r="IR148" s="2"/>
      <c r="IS148" s="2"/>
      <c r="IT148" s="2"/>
      <c r="IU148" s="2"/>
    </row>
    <row r="149" spans="1:245" ht="12.75">
      <c r="A149">
        <v>17</v>
      </c>
      <c r="B149">
        <v>1</v>
      </c>
      <c r="E149" t="s">
        <v>195</v>
      </c>
      <c r="F149" t="s">
        <v>196</v>
      </c>
      <c r="G149" t="s">
        <v>197</v>
      </c>
      <c r="H149" t="s">
        <v>198</v>
      </c>
      <c r="I149">
        <v>1.04</v>
      </c>
      <c r="J149">
        <v>0</v>
      </c>
      <c r="K149">
        <v>1.04</v>
      </c>
      <c r="O149">
        <f>0</f>
        <v>0</v>
      </c>
      <c r="P149">
        <f>0</f>
        <v>0</v>
      </c>
      <c r="Q149">
        <f>0</f>
        <v>0</v>
      </c>
      <c r="R149">
        <f>0</f>
        <v>0</v>
      </c>
      <c r="S149">
        <f>0</f>
        <v>0</v>
      </c>
      <c r="T149">
        <f>0</f>
        <v>0</v>
      </c>
      <c r="U149">
        <f>0</f>
        <v>0</v>
      </c>
      <c r="V149">
        <f>0</f>
        <v>0</v>
      </c>
      <c r="W149">
        <f>0</f>
        <v>0</v>
      </c>
      <c r="X149">
        <f>0</f>
        <v>0</v>
      </c>
      <c r="Y149">
        <f>0</f>
        <v>0</v>
      </c>
      <c r="AA149">
        <v>55722484</v>
      </c>
      <c r="AB149">
        <f>ROUND((AK149),2)</f>
        <v>46.37</v>
      </c>
      <c r="AC149">
        <f>0</f>
        <v>0</v>
      </c>
      <c r="AD149">
        <f>0</f>
        <v>0</v>
      </c>
      <c r="AE149">
        <f>0</f>
        <v>0</v>
      </c>
      <c r="AF149">
        <f>0</f>
        <v>0</v>
      </c>
      <c r="AG149">
        <f>0</f>
        <v>0</v>
      </c>
      <c r="AH149">
        <f>0</f>
        <v>0</v>
      </c>
      <c r="AI149">
        <f>0</f>
        <v>0</v>
      </c>
      <c r="AJ149">
        <f>0</f>
        <v>0</v>
      </c>
      <c r="AK149">
        <v>46.37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1</v>
      </c>
      <c r="AW149">
        <v>1</v>
      </c>
      <c r="AZ149">
        <v>13.43</v>
      </c>
      <c r="BA149">
        <v>1</v>
      </c>
      <c r="BB149">
        <v>1</v>
      </c>
      <c r="BC149">
        <v>1</v>
      </c>
      <c r="BH149">
        <v>0</v>
      </c>
      <c r="BI149">
        <v>1</v>
      </c>
      <c r="BJ149" t="s">
        <v>199</v>
      </c>
      <c r="BM149">
        <v>700005</v>
      </c>
      <c r="BN149">
        <v>0</v>
      </c>
      <c r="BO149" t="s">
        <v>32</v>
      </c>
      <c r="BP149">
        <v>1</v>
      </c>
      <c r="BQ149">
        <v>10</v>
      </c>
      <c r="BR149">
        <v>0</v>
      </c>
      <c r="BS149">
        <v>1</v>
      </c>
      <c r="BT149">
        <v>1</v>
      </c>
      <c r="BU149">
        <v>1</v>
      </c>
      <c r="BV149">
        <v>1</v>
      </c>
      <c r="BW149">
        <v>1</v>
      </c>
      <c r="BX149">
        <v>1</v>
      </c>
      <c r="BZ149">
        <v>0</v>
      </c>
      <c r="CA149">
        <v>0</v>
      </c>
      <c r="CE149">
        <v>0</v>
      </c>
      <c r="CF149">
        <v>0</v>
      </c>
      <c r="CG149">
        <v>0</v>
      </c>
      <c r="CM149">
        <v>0</v>
      </c>
      <c r="CO149">
        <v>0</v>
      </c>
      <c r="CP149">
        <f>AB149*AZ149</f>
        <v>622.7491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N149">
        <v>0</v>
      </c>
      <c r="DO149">
        <v>0</v>
      </c>
      <c r="DP149">
        <v>1</v>
      </c>
      <c r="DQ149">
        <v>1</v>
      </c>
      <c r="DU149">
        <v>1013</v>
      </c>
      <c r="DV149" t="s">
        <v>198</v>
      </c>
      <c r="DW149" t="s">
        <v>198</v>
      </c>
      <c r="DX149">
        <v>1</v>
      </c>
      <c r="EE149">
        <v>55471919</v>
      </c>
      <c r="EF149">
        <v>10</v>
      </c>
      <c r="EG149" t="s">
        <v>200</v>
      </c>
      <c r="EH149">
        <v>107</v>
      </c>
      <c r="EI149" t="s">
        <v>201</v>
      </c>
      <c r="EJ149">
        <v>1</v>
      </c>
      <c r="EK149">
        <v>700005</v>
      </c>
      <c r="EL149" t="s">
        <v>201</v>
      </c>
      <c r="EM149" t="s">
        <v>202</v>
      </c>
      <c r="EQ149">
        <v>0</v>
      </c>
      <c r="ER149">
        <v>0</v>
      </c>
      <c r="ES149">
        <v>0</v>
      </c>
      <c r="ET149">
        <v>0</v>
      </c>
      <c r="EU149">
        <v>0</v>
      </c>
      <c r="EV149">
        <v>0</v>
      </c>
      <c r="EW149">
        <v>0</v>
      </c>
      <c r="EX149">
        <v>0</v>
      </c>
      <c r="EY149">
        <v>0</v>
      </c>
      <c r="FQ149">
        <v>0</v>
      </c>
      <c r="FR149">
        <f t="shared" si="141"/>
        <v>0</v>
      </c>
      <c r="FS149">
        <v>0</v>
      </c>
      <c r="FX149">
        <v>0</v>
      </c>
      <c r="FY149">
        <v>0</v>
      </c>
      <c r="GD149">
        <v>1</v>
      </c>
      <c r="GF149">
        <v>343111974</v>
      </c>
      <c r="GG149">
        <v>2</v>
      </c>
      <c r="GH149">
        <v>1</v>
      </c>
      <c r="GI149">
        <v>4</v>
      </c>
      <c r="GJ149">
        <v>2</v>
      </c>
      <c r="GK149">
        <v>0</v>
      </c>
      <c r="GL149">
        <f t="shared" si="142"/>
        <v>0</v>
      </c>
      <c r="GM149">
        <f>ROUND(CP149*I149,2)</f>
        <v>647.66</v>
      </c>
      <c r="GN149">
        <f>IF(OR(BI149=0,BI149=1),ROUND(CP149*I149,2),0)</f>
        <v>647.66</v>
      </c>
      <c r="GO149">
        <f>IF(BI149=2,ROUND(CP149*I149,2),0)</f>
        <v>0</v>
      </c>
      <c r="GP149">
        <f>IF(BI149=4,ROUND(CP149*I149,2)+GX149,0)</f>
        <v>0</v>
      </c>
      <c r="GR149">
        <v>0</v>
      </c>
      <c r="GS149">
        <v>3</v>
      </c>
      <c r="GT149">
        <v>0</v>
      </c>
      <c r="GV149">
        <f>0</f>
        <v>0</v>
      </c>
      <c r="GW149">
        <v>1</v>
      </c>
      <c r="GX149">
        <f>0</f>
        <v>0</v>
      </c>
      <c r="HA149">
        <v>0</v>
      </c>
      <c r="HB149">
        <v>0</v>
      </c>
      <c r="HC149">
        <v>0</v>
      </c>
      <c r="HD149">
        <f>GM149</f>
        <v>647.66</v>
      </c>
      <c r="IK149">
        <v>0</v>
      </c>
    </row>
    <row r="151" spans="1:206" ht="12.75">
      <c r="A151" s="3">
        <v>51</v>
      </c>
      <c r="B151" s="3">
        <f>B138</f>
        <v>1</v>
      </c>
      <c r="C151" s="3">
        <f>A138</f>
        <v>4</v>
      </c>
      <c r="D151" s="3">
        <f>ROW(A138)</f>
        <v>138</v>
      </c>
      <c r="E151" s="3"/>
      <c r="F151" s="3" t="str">
        <f>IF(F138&lt;&gt;"",F138,"")</f>
        <v>Новый раздел</v>
      </c>
      <c r="G151" s="3" t="str">
        <f>IF(G138&lt;&gt;"",G138,"")</f>
        <v>Разные работы</v>
      </c>
      <c r="H151" s="3">
        <v>0</v>
      </c>
      <c r="I151" s="3"/>
      <c r="J151" s="3"/>
      <c r="K151" s="3"/>
      <c r="L151" s="3"/>
      <c r="M151" s="3"/>
      <c r="N151" s="3"/>
      <c r="O151" s="3">
        <f aca="true" t="shared" si="150" ref="O151:T151">ROUND(AB151,2)</f>
        <v>38.95</v>
      </c>
      <c r="P151" s="3">
        <f t="shared" si="150"/>
        <v>17.06</v>
      </c>
      <c r="Q151" s="3">
        <f t="shared" si="150"/>
        <v>0</v>
      </c>
      <c r="R151" s="3">
        <f t="shared" si="150"/>
        <v>0</v>
      </c>
      <c r="S151" s="3">
        <f t="shared" si="150"/>
        <v>21.89</v>
      </c>
      <c r="T151" s="3">
        <f t="shared" si="150"/>
        <v>0</v>
      </c>
      <c r="U151" s="3">
        <f>AH151</f>
        <v>3.0263999999999998</v>
      </c>
      <c r="V151" s="3">
        <f>AI151</f>
        <v>0</v>
      </c>
      <c r="W151" s="3">
        <f>ROUND(AJ151,2)</f>
        <v>0</v>
      </c>
      <c r="X151" s="3">
        <f>ROUND(AK151,2)</f>
        <v>20.14</v>
      </c>
      <c r="Y151" s="3">
        <f>ROUND(AL151,2)</f>
        <v>9.63</v>
      </c>
      <c r="Z151" s="3"/>
      <c r="AA151" s="3"/>
      <c r="AB151" s="3">
        <f>ROUND(SUMIF(AA142:AA149,"=55722483",O142:O149),2)</f>
        <v>38.95</v>
      </c>
      <c r="AC151" s="3">
        <f>ROUND(SUMIF(AA142:AA149,"=55722483",P142:P149),2)</f>
        <v>17.06</v>
      </c>
      <c r="AD151" s="3">
        <f>ROUND(SUMIF(AA142:AA149,"=55722483",Q142:Q149),2)</f>
        <v>0</v>
      </c>
      <c r="AE151" s="3">
        <f>ROUND(SUMIF(AA142:AA149,"=55722483",R142:R149),2)</f>
        <v>0</v>
      </c>
      <c r="AF151" s="3">
        <f>ROUND(SUMIF(AA142:AA149,"=55722483",S142:S149),2)</f>
        <v>21.89</v>
      </c>
      <c r="AG151" s="3">
        <f>ROUND(SUMIF(AA142:AA149,"=55722483",T142:T149),2)</f>
        <v>0</v>
      </c>
      <c r="AH151" s="3">
        <f>SUMIF(AA142:AA149,"=55722483",U142:U149)</f>
        <v>3.0263999999999998</v>
      </c>
      <c r="AI151" s="3">
        <f>SUMIF(AA142:AA149,"=55722483",V142:V149)</f>
        <v>0</v>
      </c>
      <c r="AJ151" s="3">
        <f>ROUND(SUMIF(AA142:AA149,"=55722483",W142:W149),2)</f>
        <v>0</v>
      </c>
      <c r="AK151" s="3">
        <f>ROUND(SUMIF(AA142:AA149,"=55722483",X142:X149),2)</f>
        <v>20.14</v>
      </c>
      <c r="AL151" s="3">
        <f>ROUND(SUMIF(AA142:AA149,"=55722483",Y142:Y149),2)</f>
        <v>9.63</v>
      </c>
      <c r="AM151" s="3"/>
      <c r="AN151" s="3"/>
      <c r="AO151" s="3">
        <f aca="true" t="shared" si="151" ref="AO151:BD151">ROUND(BX151,2)</f>
        <v>0</v>
      </c>
      <c r="AP151" s="3">
        <f t="shared" si="151"/>
        <v>0</v>
      </c>
      <c r="AQ151" s="3">
        <f t="shared" si="151"/>
        <v>0</v>
      </c>
      <c r="AR151" s="3">
        <f t="shared" si="151"/>
        <v>116.94</v>
      </c>
      <c r="AS151" s="3">
        <f t="shared" si="151"/>
        <v>116.94</v>
      </c>
      <c r="AT151" s="3">
        <f t="shared" si="151"/>
        <v>0</v>
      </c>
      <c r="AU151" s="3">
        <f t="shared" si="151"/>
        <v>0</v>
      </c>
      <c r="AV151" s="3">
        <f t="shared" si="151"/>
        <v>17.06</v>
      </c>
      <c r="AW151" s="3">
        <f t="shared" si="151"/>
        <v>17.06</v>
      </c>
      <c r="AX151" s="3">
        <f t="shared" si="151"/>
        <v>0</v>
      </c>
      <c r="AY151" s="3">
        <f t="shared" si="151"/>
        <v>17.06</v>
      </c>
      <c r="AZ151" s="3">
        <f t="shared" si="151"/>
        <v>0</v>
      </c>
      <c r="BA151" s="3">
        <f t="shared" si="151"/>
        <v>0</v>
      </c>
      <c r="BB151" s="3">
        <f t="shared" si="151"/>
        <v>0</v>
      </c>
      <c r="BC151" s="3">
        <f t="shared" si="151"/>
        <v>0</v>
      </c>
      <c r="BD151" s="3">
        <f t="shared" si="151"/>
        <v>48.22</v>
      </c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>
        <f>ROUND(SUMIF(AA142:AA149,"=55722483",FQ142:FQ149),2)</f>
        <v>0</v>
      </c>
      <c r="BY151" s="3">
        <f>ROUND(SUMIF(AA142:AA149,"=55722483",FR142:FR149),2)</f>
        <v>0</v>
      </c>
      <c r="BZ151" s="3">
        <f>ROUND(SUMIF(AA142:AA149,"=55722483",GL142:GL149),2)</f>
        <v>0</v>
      </c>
      <c r="CA151" s="3">
        <f>ROUND(SUMIF(AA142:AA149,"=55722483",GM142:GM149),2)</f>
        <v>116.94</v>
      </c>
      <c r="CB151" s="3">
        <f>ROUND(SUMIF(AA142:AA149,"=55722483",GN142:GN149),2)</f>
        <v>116.94</v>
      </c>
      <c r="CC151" s="3">
        <f>ROUND(SUMIF(AA142:AA149,"=55722483",GO142:GO149),2)</f>
        <v>0</v>
      </c>
      <c r="CD151" s="3">
        <f>ROUND(SUMIF(AA142:AA149,"=55722483",GP142:GP149),2)</f>
        <v>0</v>
      </c>
      <c r="CE151" s="3">
        <f>AC151-BX151</f>
        <v>17.06</v>
      </c>
      <c r="CF151" s="3">
        <f>AC151-BY151</f>
        <v>17.06</v>
      </c>
      <c r="CG151" s="3">
        <f>BX151-BZ151</f>
        <v>0</v>
      </c>
      <c r="CH151" s="3">
        <f>AC151-BX151-BY151+BZ151</f>
        <v>17.06</v>
      </c>
      <c r="CI151" s="3">
        <f>BY151-BZ151</f>
        <v>0</v>
      </c>
      <c r="CJ151" s="3">
        <f>ROUND(SUMIF(AA142:AA149,"=55722483",GX142:GX149),2)</f>
        <v>0</v>
      </c>
      <c r="CK151" s="3">
        <f>ROUND(SUMIF(AA142:AA149,"=55722483",GY142:GY149),2)</f>
        <v>0</v>
      </c>
      <c r="CL151" s="3">
        <f>ROUND(SUMIF(AA142:AA149,"=55722483",GZ142:GZ149),2)</f>
        <v>0</v>
      </c>
      <c r="CM151" s="3">
        <f>ROUND(SUMIF(AA142:AA149,"=55722483",HD142:HD149),2)</f>
        <v>48.22</v>
      </c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4">
        <f aca="true" t="shared" si="152" ref="DG151:DL151">ROUND(DT151,2)</f>
        <v>960.73</v>
      </c>
      <c r="DH151" s="4">
        <f t="shared" si="152"/>
        <v>116.32</v>
      </c>
      <c r="DI151" s="4">
        <f t="shared" si="152"/>
        <v>0</v>
      </c>
      <c r="DJ151" s="4">
        <f t="shared" si="152"/>
        <v>0</v>
      </c>
      <c r="DK151" s="4">
        <f t="shared" si="152"/>
        <v>844.41</v>
      </c>
      <c r="DL151" s="4">
        <f t="shared" si="152"/>
        <v>0</v>
      </c>
      <c r="DM151" s="4">
        <f>DZ151</f>
        <v>3.0263999999999998</v>
      </c>
      <c r="DN151" s="4">
        <f>EA151</f>
        <v>0</v>
      </c>
      <c r="DO151" s="4">
        <f>ROUND(EB151,2)</f>
        <v>0</v>
      </c>
      <c r="DP151" s="4">
        <f>ROUND(EC151,2)</f>
        <v>776.86</v>
      </c>
      <c r="DQ151" s="4">
        <f>ROUND(ED151,2)</f>
        <v>371.54</v>
      </c>
      <c r="DR151" s="4"/>
      <c r="DS151" s="4"/>
      <c r="DT151" s="4">
        <f>ROUND(SUMIF(AA142:AA149,"=55722484",O142:O149),2)</f>
        <v>960.73</v>
      </c>
      <c r="DU151" s="4">
        <f>ROUND(SUMIF(AA142:AA149,"=55722484",P142:P149),2)</f>
        <v>116.32</v>
      </c>
      <c r="DV151" s="4">
        <f>ROUND(SUMIF(AA142:AA149,"=55722484",Q142:Q149),2)</f>
        <v>0</v>
      </c>
      <c r="DW151" s="4">
        <f>ROUND(SUMIF(AA142:AA149,"=55722484",R142:R149),2)</f>
        <v>0</v>
      </c>
      <c r="DX151" s="4">
        <f>ROUND(SUMIF(AA142:AA149,"=55722484",S142:S149),2)</f>
        <v>844.41</v>
      </c>
      <c r="DY151" s="4">
        <f>ROUND(SUMIF(AA142:AA149,"=55722484",T142:T149),2)</f>
        <v>0</v>
      </c>
      <c r="DZ151" s="4">
        <f>SUMIF(AA142:AA149,"=55722484",U142:U149)</f>
        <v>3.0263999999999998</v>
      </c>
      <c r="EA151" s="4">
        <f>SUMIF(AA142:AA149,"=55722484",V142:V149)</f>
        <v>0</v>
      </c>
      <c r="EB151" s="4">
        <f>ROUND(SUMIF(AA142:AA149,"=55722484",W142:W149),2)</f>
        <v>0</v>
      </c>
      <c r="EC151" s="4">
        <f>ROUND(SUMIF(AA142:AA149,"=55722484",X142:X149),2)</f>
        <v>776.86</v>
      </c>
      <c r="ED151" s="4">
        <f>ROUND(SUMIF(AA142:AA149,"=55722484",Y142:Y149),2)</f>
        <v>371.54</v>
      </c>
      <c r="EE151" s="4"/>
      <c r="EF151" s="4"/>
      <c r="EG151" s="4">
        <f aca="true" t="shared" si="153" ref="EG151:EV151">ROUND(FP151,2)</f>
        <v>0</v>
      </c>
      <c r="EH151" s="4">
        <f t="shared" si="153"/>
        <v>0</v>
      </c>
      <c r="EI151" s="4">
        <f t="shared" si="153"/>
        <v>0</v>
      </c>
      <c r="EJ151" s="4">
        <f t="shared" si="153"/>
        <v>2756.79</v>
      </c>
      <c r="EK151" s="4">
        <f t="shared" si="153"/>
        <v>2756.79</v>
      </c>
      <c r="EL151" s="4">
        <f t="shared" si="153"/>
        <v>0</v>
      </c>
      <c r="EM151" s="4">
        <f t="shared" si="153"/>
        <v>0</v>
      </c>
      <c r="EN151" s="4">
        <f t="shared" si="153"/>
        <v>116.32</v>
      </c>
      <c r="EO151" s="4">
        <f t="shared" si="153"/>
        <v>116.32</v>
      </c>
      <c r="EP151" s="4">
        <f t="shared" si="153"/>
        <v>0</v>
      </c>
      <c r="EQ151" s="4">
        <f t="shared" si="153"/>
        <v>116.32</v>
      </c>
      <c r="ER151" s="4">
        <f t="shared" si="153"/>
        <v>0</v>
      </c>
      <c r="ES151" s="4">
        <f t="shared" si="153"/>
        <v>0</v>
      </c>
      <c r="ET151" s="4">
        <f t="shared" si="153"/>
        <v>0</v>
      </c>
      <c r="EU151" s="4">
        <f t="shared" si="153"/>
        <v>0</v>
      </c>
      <c r="EV151" s="4">
        <f t="shared" si="153"/>
        <v>647.66</v>
      </c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>
        <f>ROUND(SUMIF(AA142:AA149,"=55722484",FQ142:FQ149),2)</f>
        <v>0</v>
      </c>
      <c r="FQ151" s="4">
        <f>ROUND(SUMIF(AA142:AA149,"=55722484",FR142:FR149),2)</f>
        <v>0</v>
      </c>
      <c r="FR151" s="4">
        <f>ROUND(SUMIF(AA142:AA149,"=55722484",GL142:GL149),2)</f>
        <v>0</v>
      </c>
      <c r="FS151" s="4">
        <f>ROUND(SUMIF(AA142:AA149,"=55722484",GM142:GM149),2)</f>
        <v>2756.79</v>
      </c>
      <c r="FT151" s="4">
        <f>ROUND(SUMIF(AA142:AA149,"=55722484",GN142:GN149),2)</f>
        <v>2756.79</v>
      </c>
      <c r="FU151" s="4">
        <f>ROUND(SUMIF(AA142:AA149,"=55722484",GO142:GO149),2)</f>
        <v>0</v>
      </c>
      <c r="FV151" s="4">
        <f>ROUND(SUMIF(AA142:AA149,"=55722484",GP142:GP149),2)</f>
        <v>0</v>
      </c>
      <c r="FW151" s="4">
        <f>DU151-FP151</f>
        <v>116.32</v>
      </c>
      <c r="FX151" s="4">
        <f>DU151-FQ151</f>
        <v>116.32</v>
      </c>
      <c r="FY151" s="4">
        <f>FP151-FR151</f>
        <v>0</v>
      </c>
      <c r="FZ151" s="4">
        <f>DU151-FP151-FQ151+FR151</f>
        <v>116.32</v>
      </c>
      <c r="GA151" s="4">
        <f>FQ151-FR151</f>
        <v>0</v>
      </c>
      <c r="GB151" s="4">
        <f>ROUND(SUMIF(AA142:AA149,"=55722484",GX142:GX149),2)</f>
        <v>0</v>
      </c>
      <c r="GC151" s="4">
        <f>ROUND(SUMIF(AA142:AA149,"=55722484",GY142:GY149),2)</f>
        <v>0</v>
      </c>
      <c r="GD151" s="4">
        <f>ROUND(SUMIF(AA142:AA149,"=55722484",GZ142:GZ149),2)</f>
        <v>0</v>
      </c>
      <c r="GE151" s="4">
        <f>ROUND(SUMIF(AA142:AA149,"=55722484",HD142:HD149),2)</f>
        <v>647.66</v>
      </c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>
        <v>0</v>
      </c>
    </row>
    <row r="153" spans="1:28" ht="12.75">
      <c r="A153" s="5">
        <v>50</v>
      </c>
      <c r="B153" s="5">
        <v>0</v>
      </c>
      <c r="C153" s="5">
        <v>0</v>
      </c>
      <c r="D153" s="5">
        <v>1</v>
      </c>
      <c r="E153" s="5">
        <v>201</v>
      </c>
      <c r="F153" s="5">
        <f>ROUND(Source!O151,O153)</f>
        <v>38.95</v>
      </c>
      <c r="G153" s="5" t="s">
        <v>101</v>
      </c>
      <c r="H153" s="5" t="s">
        <v>102</v>
      </c>
      <c r="I153" s="5"/>
      <c r="J153" s="5"/>
      <c r="K153" s="5">
        <v>201</v>
      </c>
      <c r="L153" s="5">
        <v>1</v>
      </c>
      <c r="M153" s="5">
        <v>3</v>
      </c>
      <c r="N153" s="5" t="s">
        <v>3</v>
      </c>
      <c r="O153" s="5">
        <v>2</v>
      </c>
      <c r="P153" s="5">
        <f>ROUND(Source!DG151,O153)</f>
        <v>960.73</v>
      </c>
      <c r="Q153" s="5"/>
      <c r="R153" s="5"/>
      <c r="S153" s="5"/>
      <c r="T153" s="5"/>
      <c r="U153" s="5"/>
      <c r="V153" s="5"/>
      <c r="W153" s="5">
        <v>87.17</v>
      </c>
      <c r="X153" s="5">
        <v>1</v>
      </c>
      <c r="Y153" s="5">
        <v>87.17</v>
      </c>
      <c r="Z153" s="5">
        <v>1608.3899999999999</v>
      </c>
      <c r="AA153" s="5">
        <v>1</v>
      </c>
      <c r="AB153" s="5">
        <v>1608.3899999999999</v>
      </c>
    </row>
    <row r="154" spans="1:28" ht="12.75">
      <c r="A154" s="5">
        <v>50</v>
      </c>
      <c r="B154" s="5">
        <v>0</v>
      </c>
      <c r="C154" s="5">
        <v>0</v>
      </c>
      <c r="D154" s="5">
        <v>1</v>
      </c>
      <c r="E154" s="5">
        <v>202</v>
      </c>
      <c r="F154" s="5">
        <f>ROUND(Source!P151,O154)</f>
        <v>17.06</v>
      </c>
      <c r="G154" s="5" t="s">
        <v>103</v>
      </c>
      <c r="H154" s="5" t="s">
        <v>104</v>
      </c>
      <c r="I154" s="5"/>
      <c r="J154" s="5"/>
      <c r="K154" s="5">
        <v>202</v>
      </c>
      <c r="L154" s="5">
        <v>2</v>
      </c>
      <c r="M154" s="5">
        <v>3</v>
      </c>
      <c r="N154" s="5" t="s">
        <v>3</v>
      </c>
      <c r="O154" s="5">
        <v>2</v>
      </c>
      <c r="P154" s="5">
        <f>ROUND(Source!DH151,O154)</f>
        <v>116.32</v>
      </c>
      <c r="Q154" s="5"/>
      <c r="R154" s="5"/>
      <c r="S154" s="5"/>
      <c r="T154" s="5"/>
      <c r="U154" s="5"/>
      <c r="V154" s="5"/>
      <c r="W154" s="5">
        <v>17.06</v>
      </c>
      <c r="X154" s="5">
        <v>1</v>
      </c>
      <c r="Y154" s="5">
        <v>17.06</v>
      </c>
      <c r="Z154" s="5">
        <v>116.32</v>
      </c>
      <c r="AA154" s="5">
        <v>1</v>
      </c>
      <c r="AB154" s="5">
        <v>116.32</v>
      </c>
    </row>
    <row r="155" spans="1:28" ht="12.75">
      <c r="A155" s="5">
        <v>50</v>
      </c>
      <c r="B155" s="5">
        <v>0</v>
      </c>
      <c r="C155" s="5">
        <v>0</v>
      </c>
      <c r="D155" s="5">
        <v>1</v>
      </c>
      <c r="E155" s="5">
        <v>222</v>
      </c>
      <c r="F155" s="5">
        <f>ROUND(Source!AO151,O155)</f>
        <v>0</v>
      </c>
      <c r="G155" s="5" t="s">
        <v>105</v>
      </c>
      <c r="H155" s="5" t="s">
        <v>106</v>
      </c>
      <c r="I155" s="5"/>
      <c r="J155" s="5"/>
      <c r="K155" s="5">
        <v>222</v>
      </c>
      <c r="L155" s="5">
        <v>3</v>
      </c>
      <c r="M155" s="5">
        <v>3</v>
      </c>
      <c r="N155" s="5" t="s">
        <v>3</v>
      </c>
      <c r="O155" s="5">
        <v>2</v>
      </c>
      <c r="P155" s="5">
        <f>ROUND(Source!EG151,O155)</f>
        <v>0</v>
      </c>
      <c r="Q155" s="5"/>
      <c r="R155" s="5"/>
      <c r="S155" s="5"/>
      <c r="T155" s="5"/>
      <c r="U155" s="5"/>
      <c r="V155" s="5"/>
      <c r="W155" s="5">
        <v>0</v>
      </c>
      <c r="X155" s="5">
        <v>1</v>
      </c>
      <c r="Y155" s="5">
        <v>0</v>
      </c>
      <c r="Z155" s="5">
        <v>0</v>
      </c>
      <c r="AA155" s="5">
        <v>1</v>
      </c>
      <c r="AB155" s="5">
        <v>0</v>
      </c>
    </row>
    <row r="156" spans="1:28" ht="12.75">
      <c r="A156" s="5">
        <v>50</v>
      </c>
      <c r="B156" s="5">
        <v>0</v>
      </c>
      <c r="C156" s="5">
        <v>0</v>
      </c>
      <c r="D156" s="5">
        <v>1</v>
      </c>
      <c r="E156" s="5">
        <v>225</v>
      </c>
      <c r="F156" s="5">
        <f>ROUND(Source!AV151,O156)</f>
        <v>17.06</v>
      </c>
      <c r="G156" s="5" t="s">
        <v>107</v>
      </c>
      <c r="H156" s="5" t="s">
        <v>108</v>
      </c>
      <c r="I156" s="5"/>
      <c r="J156" s="5"/>
      <c r="K156" s="5">
        <v>225</v>
      </c>
      <c r="L156" s="5">
        <v>4</v>
      </c>
      <c r="M156" s="5">
        <v>3</v>
      </c>
      <c r="N156" s="5" t="s">
        <v>3</v>
      </c>
      <c r="O156" s="5">
        <v>2</v>
      </c>
      <c r="P156" s="5">
        <f>ROUND(Source!EN151,O156)</f>
        <v>116.32</v>
      </c>
      <c r="Q156" s="5"/>
      <c r="R156" s="5"/>
      <c r="S156" s="5"/>
      <c r="T156" s="5"/>
      <c r="U156" s="5"/>
      <c r="V156" s="5"/>
      <c r="W156" s="5">
        <v>17.06</v>
      </c>
      <c r="X156" s="5">
        <v>1</v>
      </c>
      <c r="Y156" s="5">
        <v>17.06</v>
      </c>
      <c r="Z156" s="5">
        <v>116.32</v>
      </c>
      <c r="AA156" s="5">
        <v>1</v>
      </c>
      <c r="AB156" s="5">
        <v>116.32</v>
      </c>
    </row>
    <row r="157" spans="1:28" ht="12.75">
      <c r="A157" s="5">
        <v>50</v>
      </c>
      <c r="B157" s="5">
        <v>0</v>
      </c>
      <c r="C157" s="5">
        <v>0</v>
      </c>
      <c r="D157" s="5">
        <v>1</v>
      </c>
      <c r="E157" s="5">
        <v>226</v>
      </c>
      <c r="F157" s="5">
        <f>ROUND(Source!AW151,O157)</f>
        <v>17.06</v>
      </c>
      <c r="G157" s="5" t="s">
        <v>109</v>
      </c>
      <c r="H157" s="5" t="s">
        <v>110</v>
      </c>
      <c r="I157" s="5"/>
      <c r="J157" s="5"/>
      <c r="K157" s="5">
        <v>226</v>
      </c>
      <c r="L157" s="5">
        <v>5</v>
      </c>
      <c r="M157" s="5">
        <v>3</v>
      </c>
      <c r="N157" s="5" t="s">
        <v>3</v>
      </c>
      <c r="O157" s="5">
        <v>2</v>
      </c>
      <c r="P157" s="5">
        <f>ROUND(Source!EO151,O157)</f>
        <v>116.32</v>
      </c>
      <c r="Q157" s="5"/>
      <c r="R157" s="5"/>
      <c r="S157" s="5"/>
      <c r="T157" s="5"/>
      <c r="U157" s="5"/>
      <c r="V157" s="5"/>
      <c r="W157" s="5">
        <v>17.06</v>
      </c>
      <c r="X157" s="5">
        <v>1</v>
      </c>
      <c r="Y157" s="5">
        <v>17.06</v>
      </c>
      <c r="Z157" s="5">
        <v>116.32</v>
      </c>
      <c r="AA157" s="5">
        <v>1</v>
      </c>
      <c r="AB157" s="5">
        <v>116.32</v>
      </c>
    </row>
    <row r="158" spans="1:28" ht="12.75">
      <c r="A158" s="5">
        <v>50</v>
      </c>
      <c r="B158" s="5">
        <v>0</v>
      </c>
      <c r="C158" s="5">
        <v>0</v>
      </c>
      <c r="D158" s="5">
        <v>1</v>
      </c>
      <c r="E158" s="5">
        <v>227</v>
      </c>
      <c r="F158" s="5">
        <f>ROUND(Source!AX151,O158)</f>
        <v>0</v>
      </c>
      <c r="G158" s="5" t="s">
        <v>111</v>
      </c>
      <c r="H158" s="5" t="s">
        <v>112</v>
      </c>
      <c r="I158" s="5"/>
      <c r="J158" s="5"/>
      <c r="K158" s="5">
        <v>227</v>
      </c>
      <c r="L158" s="5">
        <v>6</v>
      </c>
      <c r="M158" s="5">
        <v>3</v>
      </c>
      <c r="N158" s="5" t="s">
        <v>3</v>
      </c>
      <c r="O158" s="5">
        <v>2</v>
      </c>
      <c r="P158" s="5">
        <f>ROUND(Source!EP151,O158)</f>
        <v>0</v>
      </c>
      <c r="Q158" s="5"/>
      <c r="R158" s="5"/>
      <c r="S158" s="5"/>
      <c r="T158" s="5"/>
      <c r="U158" s="5"/>
      <c r="V158" s="5"/>
      <c r="W158" s="5">
        <v>0</v>
      </c>
      <c r="X158" s="5">
        <v>1</v>
      </c>
      <c r="Y158" s="5">
        <v>0</v>
      </c>
      <c r="Z158" s="5">
        <v>0</v>
      </c>
      <c r="AA158" s="5">
        <v>1</v>
      </c>
      <c r="AB158" s="5">
        <v>0</v>
      </c>
    </row>
    <row r="159" spans="1:28" ht="12.75">
      <c r="A159" s="5">
        <v>50</v>
      </c>
      <c r="B159" s="5">
        <v>0</v>
      </c>
      <c r="C159" s="5">
        <v>0</v>
      </c>
      <c r="D159" s="5">
        <v>1</v>
      </c>
      <c r="E159" s="5">
        <v>228</v>
      </c>
      <c r="F159" s="5">
        <f>ROUND(Source!AY151,O159)</f>
        <v>17.06</v>
      </c>
      <c r="G159" s="5" t="s">
        <v>113</v>
      </c>
      <c r="H159" s="5" t="s">
        <v>114</v>
      </c>
      <c r="I159" s="5"/>
      <c r="J159" s="5"/>
      <c r="K159" s="5">
        <v>228</v>
      </c>
      <c r="L159" s="5">
        <v>7</v>
      </c>
      <c r="M159" s="5">
        <v>3</v>
      </c>
      <c r="N159" s="5" t="s">
        <v>3</v>
      </c>
      <c r="O159" s="5">
        <v>2</v>
      </c>
      <c r="P159" s="5">
        <f>ROUND(Source!EQ151,O159)</f>
        <v>116.32</v>
      </c>
      <c r="Q159" s="5"/>
      <c r="R159" s="5"/>
      <c r="S159" s="5"/>
      <c r="T159" s="5"/>
      <c r="U159" s="5"/>
      <c r="V159" s="5"/>
      <c r="W159" s="5">
        <v>17.06</v>
      </c>
      <c r="X159" s="5">
        <v>1</v>
      </c>
      <c r="Y159" s="5">
        <v>17.06</v>
      </c>
      <c r="Z159" s="5">
        <v>116.32</v>
      </c>
      <c r="AA159" s="5">
        <v>1</v>
      </c>
      <c r="AB159" s="5">
        <v>116.32</v>
      </c>
    </row>
    <row r="160" spans="1:28" ht="12.75">
      <c r="A160" s="5">
        <v>50</v>
      </c>
      <c r="B160" s="5">
        <v>0</v>
      </c>
      <c r="C160" s="5">
        <v>0</v>
      </c>
      <c r="D160" s="5">
        <v>1</v>
      </c>
      <c r="E160" s="5">
        <v>216</v>
      </c>
      <c r="F160" s="5">
        <f>ROUND(Source!AP151,O160)</f>
        <v>0</v>
      </c>
      <c r="G160" s="5" t="s">
        <v>115</v>
      </c>
      <c r="H160" s="5" t="s">
        <v>116</v>
      </c>
      <c r="I160" s="5"/>
      <c r="J160" s="5"/>
      <c r="K160" s="5">
        <v>216</v>
      </c>
      <c r="L160" s="5">
        <v>8</v>
      </c>
      <c r="M160" s="5">
        <v>3</v>
      </c>
      <c r="N160" s="5" t="s">
        <v>3</v>
      </c>
      <c r="O160" s="5">
        <v>2</v>
      </c>
      <c r="P160" s="5">
        <f>ROUND(Source!EH151,O160)</f>
        <v>0</v>
      </c>
      <c r="Q160" s="5"/>
      <c r="R160" s="5"/>
      <c r="S160" s="5"/>
      <c r="T160" s="5"/>
      <c r="U160" s="5"/>
      <c r="V160" s="5"/>
      <c r="W160" s="5">
        <v>0</v>
      </c>
      <c r="X160" s="5">
        <v>1</v>
      </c>
      <c r="Y160" s="5">
        <v>0</v>
      </c>
      <c r="Z160" s="5">
        <v>0</v>
      </c>
      <c r="AA160" s="5">
        <v>1</v>
      </c>
      <c r="AB160" s="5">
        <v>0</v>
      </c>
    </row>
    <row r="161" spans="1:28" ht="12.75">
      <c r="A161" s="5">
        <v>50</v>
      </c>
      <c r="B161" s="5">
        <v>0</v>
      </c>
      <c r="C161" s="5">
        <v>0</v>
      </c>
      <c r="D161" s="5">
        <v>1</v>
      </c>
      <c r="E161" s="5">
        <v>223</v>
      </c>
      <c r="F161" s="5">
        <f>ROUND(Source!AQ151,O161)</f>
        <v>0</v>
      </c>
      <c r="G161" s="5" t="s">
        <v>117</v>
      </c>
      <c r="H161" s="5" t="s">
        <v>118</v>
      </c>
      <c r="I161" s="5"/>
      <c r="J161" s="5"/>
      <c r="K161" s="5">
        <v>223</v>
      </c>
      <c r="L161" s="5">
        <v>9</v>
      </c>
      <c r="M161" s="5">
        <v>3</v>
      </c>
      <c r="N161" s="5" t="s">
        <v>3</v>
      </c>
      <c r="O161" s="5">
        <v>2</v>
      </c>
      <c r="P161" s="5">
        <f>ROUND(Source!EI151,O161)</f>
        <v>0</v>
      </c>
      <c r="Q161" s="5"/>
      <c r="R161" s="5"/>
      <c r="S161" s="5"/>
      <c r="T161" s="5"/>
      <c r="U161" s="5"/>
      <c r="V161" s="5"/>
      <c r="W161" s="5">
        <v>0</v>
      </c>
      <c r="X161" s="5">
        <v>1</v>
      </c>
      <c r="Y161" s="5">
        <v>0</v>
      </c>
      <c r="Z161" s="5">
        <v>0</v>
      </c>
      <c r="AA161" s="5">
        <v>1</v>
      </c>
      <c r="AB161" s="5">
        <v>0</v>
      </c>
    </row>
    <row r="162" spans="1:28" ht="12.75">
      <c r="A162" s="5">
        <v>50</v>
      </c>
      <c r="B162" s="5">
        <v>0</v>
      </c>
      <c r="C162" s="5">
        <v>0</v>
      </c>
      <c r="D162" s="5">
        <v>1</v>
      </c>
      <c r="E162" s="5">
        <v>229</v>
      </c>
      <c r="F162" s="5">
        <f>ROUND(Source!AZ151,O162)</f>
        <v>0</v>
      </c>
      <c r="G162" s="5" t="s">
        <v>119</v>
      </c>
      <c r="H162" s="5" t="s">
        <v>120</v>
      </c>
      <c r="I162" s="5"/>
      <c r="J162" s="5"/>
      <c r="K162" s="5">
        <v>229</v>
      </c>
      <c r="L162" s="5">
        <v>10</v>
      </c>
      <c r="M162" s="5">
        <v>3</v>
      </c>
      <c r="N162" s="5" t="s">
        <v>3</v>
      </c>
      <c r="O162" s="5">
        <v>2</v>
      </c>
      <c r="P162" s="5">
        <f>ROUND(Source!ER151,O162)</f>
        <v>0</v>
      </c>
      <c r="Q162" s="5"/>
      <c r="R162" s="5"/>
      <c r="S162" s="5"/>
      <c r="T162" s="5"/>
      <c r="U162" s="5"/>
      <c r="V162" s="5"/>
      <c r="W162" s="5">
        <v>0</v>
      </c>
      <c r="X162" s="5">
        <v>1</v>
      </c>
      <c r="Y162" s="5">
        <v>0</v>
      </c>
      <c r="Z162" s="5">
        <v>0</v>
      </c>
      <c r="AA162" s="5">
        <v>1</v>
      </c>
      <c r="AB162" s="5">
        <v>0</v>
      </c>
    </row>
    <row r="163" spans="1:28" ht="12.75">
      <c r="A163" s="5">
        <v>50</v>
      </c>
      <c r="B163" s="5">
        <v>0</v>
      </c>
      <c r="C163" s="5">
        <v>0</v>
      </c>
      <c r="D163" s="5">
        <v>1</v>
      </c>
      <c r="E163" s="5">
        <v>203</v>
      </c>
      <c r="F163" s="5">
        <f>ROUND(Source!Q151,O163)</f>
        <v>0</v>
      </c>
      <c r="G163" s="5" t="s">
        <v>121</v>
      </c>
      <c r="H163" s="5" t="s">
        <v>122</v>
      </c>
      <c r="I163" s="5"/>
      <c r="J163" s="5"/>
      <c r="K163" s="5">
        <v>203</v>
      </c>
      <c r="L163" s="5">
        <v>11</v>
      </c>
      <c r="M163" s="5">
        <v>3</v>
      </c>
      <c r="N163" s="5" t="s">
        <v>3</v>
      </c>
      <c r="O163" s="5">
        <v>2</v>
      </c>
      <c r="P163" s="5">
        <f>ROUND(Source!DI151,O163)</f>
        <v>0</v>
      </c>
      <c r="Q163" s="5"/>
      <c r="R163" s="5"/>
      <c r="S163" s="5"/>
      <c r="T163" s="5"/>
      <c r="U163" s="5"/>
      <c r="V163" s="5"/>
      <c r="W163" s="5">
        <v>0</v>
      </c>
      <c r="X163" s="5">
        <v>1</v>
      </c>
      <c r="Y163" s="5">
        <v>0</v>
      </c>
      <c r="Z163" s="5">
        <v>0</v>
      </c>
      <c r="AA163" s="5">
        <v>1</v>
      </c>
      <c r="AB163" s="5">
        <v>0</v>
      </c>
    </row>
    <row r="164" spans="1:28" ht="12.75">
      <c r="A164" s="5">
        <v>50</v>
      </c>
      <c r="B164" s="5">
        <v>0</v>
      </c>
      <c r="C164" s="5">
        <v>0</v>
      </c>
      <c r="D164" s="5">
        <v>1</v>
      </c>
      <c r="E164" s="5">
        <v>231</v>
      </c>
      <c r="F164" s="5">
        <f>ROUND(Source!BB151,O164)</f>
        <v>0</v>
      </c>
      <c r="G164" s="5" t="s">
        <v>123</v>
      </c>
      <c r="H164" s="5" t="s">
        <v>124</v>
      </c>
      <c r="I164" s="5"/>
      <c r="J164" s="5"/>
      <c r="K164" s="5">
        <v>231</v>
      </c>
      <c r="L164" s="5">
        <v>12</v>
      </c>
      <c r="M164" s="5">
        <v>3</v>
      </c>
      <c r="N164" s="5" t="s">
        <v>3</v>
      </c>
      <c r="O164" s="5">
        <v>2</v>
      </c>
      <c r="P164" s="5">
        <f>ROUND(Source!ET151,O164)</f>
        <v>0</v>
      </c>
      <c r="Q164" s="5"/>
      <c r="R164" s="5"/>
      <c r="S164" s="5"/>
      <c r="T164" s="5"/>
      <c r="U164" s="5"/>
      <c r="V164" s="5"/>
      <c r="W164" s="5">
        <v>0</v>
      </c>
      <c r="X164" s="5">
        <v>1</v>
      </c>
      <c r="Y164" s="5">
        <v>0</v>
      </c>
      <c r="Z164" s="5">
        <v>0</v>
      </c>
      <c r="AA164" s="5">
        <v>1</v>
      </c>
      <c r="AB164" s="5">
        <v>0</v>
      </c>
    </row>
    <row r="165" spans="1:28" ht="12.75">
      <c r="A165" s="5">
        <v>50</v>
      </c>
      <c r="B165" s="5">
        <v>0</v>
      </c>
      <c r="C165" s="5">
        <v>0</v>
      </c>
      <c r="D165" s="5">
        <v>1</v>
      </c>
      <c r="E165" s="5">
        <v>204</v>
      </c>
      <c r="F165" s="5">
        <f>ROUND(Source!R151,O165)</f>
        <v>0</v>
      </c>
      <c r="G165" s="5" t="s">
        <v>125</v>
      </c>
      <c r="H165" s="5" t="s">
        <v>126</v>
      </c>
      <c r="I165" s="5"/>
      <c r="J165" s="5"/>
      <c r="K165" s="5">
        <v>204</v>
      </c>
      <c r="L165" s="5">
        <v>13</v>
      </c>
      <c r="M165" s="5">
        <v>3</v>
      </c>
      <c r="N165" s="5" t="s">
        <v>3</v>
      </c>
      <c r="O165" s="5">
        <v>2</v>
      </c>
      <c r="P165" s="5">
        <f>ROUND(Source!DJ151,O165)</f>
        <v>0</v>
      </c>
      <c r="Q165" s="5"/>
      <c r="R165" s="5"/>
      <c r="S165" s="5"/>
      <c r="T165" s="5"/>
      <c r="U165" s="5"/>
      <c r="V165" s="5"/>
      <c r="W165" s="5">
        <v>0</v>
      </c>
      <c r="X165" s="5">
        <v>1</v>
      </c>
      <c r="Y165" s="5">
        <v>0</v>
      </c>
      <c r="Z165" s="5">
        <v>0</v>
      </c>
      <c r="AA165" s="5">
        <v>1</v>
      </c>
      <c r="AB165" s="5">
        <v>0</v>
      </c>
    </row>
    <row r="166" spans="1:28" ht="12.75">
      <c r="A166" s="5">
        <v>50</v>
      </c>
      <c r="B166" s="5">
        <v>0</v>
      </c>
      <c r="C166" s="5">
        <v>0</v>
      </c>
      <c r="D166" s="5">
        <v>1</v>
      </c>
      <c r="E166" s="5">
        <v>205</v>
      </c>
      <c r="F166" s="5">
        <f>ROUND(Source!S151,O166)</f>
        <v>21.89</v>
      </c>
      <c r="G166" s="5" t="s">
        <v>127</v>
      </c>
      <c r="H166" s="5" t="s">
        <v>128</v>
      </c>
      <c r="I166" s="5"/>
      <c r="J166" s="5"/>
      <c r="K166" s="5">
        <v>205</v>
      </c>
      <c r="L166" s="5">
        <v>14</v>
      </c>
      <c r="M166" s="5">
        <v>3</v>
      </c>
      <c r="N166" s="5" t="s">
        <v>3</v>
      </c>
      <c r="O166" s="5">
        <v>2</v>
      </c>
      <c r="P166" s="5">
        <f>ROUND(Source!DK151,O166)</f>
        <v>844.41</v>
      </c>
      <c r="Q166" s="5"/>
      <c r="R166" s="5"/>
      <c r="S166" s="5"/>
      <c r="T166" s="5"/>
      <c r="U166" s="5"/>
      <c r="V166" s="5"/>
      <c r="W166" s="5">
        <v>21.89</v>
      </c>
      <c r="X166" s="5">
        <v>1</v>
      </c>
      <c r="Y166" s="5">
        <v>21.89</v>
      </c>
      <c r="Z166" s="5">
        <v>844.41</v>
      </c>
      <c r="AA166" s="5">
        <v>1</v>
      </c>
      <c r="AB166" s="5">
        <v>844.41</v>
      </c>
    </row>
    <row r="167" spans="1:28" ht="12.75">
      <c r="A167" s="5">
        <v>50</v>
      </c>
      <c r="B167" s="5">
        <v>0</v>
      </c>
      <c r="C167" s="5">
        <v>0</v>
      </c>
      <c r="D167" s="5">
        <v>1</v>
      </c>
      <c r="E167" s="5">
        <v>232</v>
      </c>
      <c r="F167" s="5">
        <f>ROUND(Source!BC151,O167)</f>
        <v>0</v>
      </c>
      <c r="G167" s="5" t="s">
        <v>129</v>
      </c>
      <c r="H167" s="5" t="s">
        <v>130</v>
      </c>
      <c r="I167" s="5"/>
      <c r="J167" s="5"/>
      <c r="K167" s="5">
        <v>232</v>
      </c>
      <c r="L167" s="5">
        <v>15</v>
      </c>
      <c r="M167" s="5">
        <v>3</v>
      </c>
      <c r="N167" s="5" t="s">
        <v>3</v>
      </c>
      <c r="O167" s="5">
        <v>2</v>
      </c>
      <c r="P167" s="5">
        <f>ROUND(Source!EU151,O167)</f>
        <v>0</v>
      </c>
      <c r="Q167" s="5"/>
      <c r="R167" s="5"/>
      <c r="S167" s="5"/>
      <c r="T167" s="5"/>
      <c r="U167" s="5"/>
      <c r="V167" s="5"/>
      <c r="W167" s="5">
        <v>0</v>
      </c>
      <c r="X167" s="5">
        <v>1</v>
      </c>
      <c r="Y167" s="5">
        <v>0</v>
      </c>
      <c r="Z167" s="5">
        <v>0</v>
      </c>
      <c r="AA167" s="5">
        <v>1</v>
      </c>
      <c r="AB167" s="5">
        <v>0</v>
      </c>
    </row>
    <row r="168" spans="1:28" ht="12.75">
      <c r="A168" s="5">
        <v>50</v>
      </c>
      <c r="B168" s="5">
        <v>0</v>
      </c>
      <c r="C168" s="5">
        <v>0</v>
      </c>
      <c r="D168" s="5">
        <v>1</v>
      </c>
      <c r="E168" s="5">
        <v>214</v>
      </c>
      <c r="F168" s="5">
        <f>ROUND(Source!AS151,O168)</f>
        <v>116.94</v>
      </c>
      <c r="G168" s="5" t="s">
        <v>131</v>
      </c>
      <c r="H168" s="5" t="s">
        <v>132</v>
      </c>
      <c r="I168" s="5"/>
      <c r="J168" s="5"/>
      <c r="K168" s="5">
        <v>214</v>
      </c>
      <c r="L168" s="5">
        <v>16</v>
      </c>
      <c r="M168" s="5">
        <v>3</v>
      </c>
      <c r="N168" s="5" t="s">
        <v>3</v>
      </c>
      <c r="O168" s="5">
        <v>2</v>
      </c>
      <c r="P168" s="5">
        <f>ROUND(Source!EK151,O168)</f>
        <v>2756.79</v>
      </c>
      <c r="Q168" s="5"/>
      <c r="R168" s="5"/>
      <c r="S168" s="5"/>
      <c r="T168" s="5"/>
      <c r="U168" s="5"/>
      <c r="V168" s="5"/>
      <c r="W168" s="5">
        <v>116.94</v>
      </c>
      <c r="X168" s="5">
        <v>1</v>
      </c>
      <c r="Y168" s="5">
        <v>116.94</v>
      </c>
      <c r="Z168" s="5">
        <v>2756.79</v>
      </c>
      <c r="AA168" s="5">
        <v>1</v>
      </c>
      <c r="AB168" s="5">
        <v>2756.79</v>
      </c>
    </row>
    <row r="169" spans="1:28" ht="12.75">
      <c r="A169" s="5">
        <v>50</v>
      </c>
      <c r="B169" s="5">
        <v>0</v>
      </c>
      <c r="C169" s="5">
        <v>0</v>
      </c>
      <c r="D169" s="5">
        <v>1</v>
      </c>
      <c r="E169" s="5">
        <v>215</v>
      </c>
      <c r="F169" s="5">
        <f>ROUND(Source!AT151,O169)</f>
        <v>0</v>
      </c>
      <c r="G169" s="5" t="s">
        <v>133</v>
      </c>
      <c r="H169" s="5" t="s">
        <v>134</v>
      </c>
      <c r="I169" s="5"/>
      <c r="J169" s="5"/>
      <c r="K169" s="5">
        <v>215</v>
      </c>
      <c r="L169" s="5">
        <v>17</v>
      </c>
      <c r="M169" s="5">
        <v>3</v>
      </c>
      <c r="N169" s="5" t="s">
        <v>3</v>
      </c>
      <c r="O169" s="5">
        <v>2</v>
      </c>
      <c r="P169" s="5">
        <f>ROUND(Source!EL151,O169)</f>
        <v>0</v>
      </c>
      <c r="Q169" s="5"/>
      <c r="R169" s="5"/>
      <c r="S169" s="5"/>
      <c r="T169" s="5"/>
      <c r="U169" s="5"/>
      <c r="V169" s="5"/>
      <c r="W169" s="5">
        <v>0</v>
      </c>
      <c r="X169" s="5">
        <v>1</v>
      </c>
      <c r="Y169" s="5">
        <v>0</v>
      </c>
      <c r="Z169" s="5">
        <v>0</v>
      </c>
      <c r="AA169" s="5">
        <v>1</v>
      </c>
      <c r="AB169" s="5">
        <v>0</v>
      </c>
    </row>
    <row r="170" spans="1:28" ht="12.75">
      <c r="A170" s="5">
        <v>50</v>
      </c>
      <c r="B170" s="5">
        <v>0</v>
      </c>
      <c r="C170" s="5">
        <v>0</v>
      </c>
      <c r="D170" s="5">
        <v>1</v>
      </c>
      <c r="E170" s="5">
        <v>217</v>
      </c>
      <c r="F170" s="5">
        <f>ROUND(Source!AU151,O170)</f>
        <v>0</v>
      </c>
      <c r="G170" s="5" t="s">
        <v>135</v>
      </c>
      <c r="H170" s="5" t="s">
        <v>136</v>
      </c>
      <c r="I170" s="5"/>
      <c r="J170" s="5"/>
      <c r="K170" s="5">
        <v>217</v>
      </c>
      <c r="L170" s="5">
        <v>18</v>
      </c>
      <c r="M170" s="5">
        <v>3</v>
      </c>
      <c r="N170" s="5" t="s">
        <v>3</v>
      </c>
      <c r="O170" s="5">
        <v>2</v>
      </c>
      <c r="P170" s="5">
        <f>ROUND(Source!EM151,O170)</f>
        <v>0</v>
      </c>
      <c r="Q170" s="5"/>
      <c r="R170" s="5"/>
      <c r="S170" s="5"/>
      <c r="T170" s="5"/>
      <c r="U170" s="5"/>
      <c r="V170" s="5"/>
      <c r="W170" s="5">
        <v>0</v>
      </c>
      <c r="X170" s="5">
        <v>1</v>
      </c>
      <c r="Y170" s="5">
        <v>0</v>
      </c>
      <c r="Z170" s="5">
        <v>0</v>
      </c>
      <c r="AA170" s="5">
        <v>1</v>
      </c>
      <c r="AB170" s="5">
        <v>0</v>
      </c>
    </row>
    <row r="171" spans="1:28" ht="12.75">
      <c r="A171" s="5">
        <v>50</v>
      </c>
      <c r="B171" s="5">
        <v>0</v>
      </c>
      <c r="C171" s="5">
        <v>0</v>
      </c>
      <c r="D171" s="5">
        <v>1</v>
      </c>
      <c r="E171" s="5">
        <v>230</v>
      </c>
      <c r="F171" s="5">
        <f>ROUND(Source!BA151,O171)</f>
        <v>0</v>
      </c>
      <c r="G171" s="5" t="s">
        <v>137</v>
      </c>
      <c r="H171" s="5" t="s">
        <v>138</v>
      </c>
      <c r="I171" s="5"/>
      <c r="J171" s="5"/>
      <c r="K171" s="5">
        <v>230</v>
      </c>
      <c r="L171" s="5">
        <v>19</v>
      </c>
      <c r="M171" s="5">
        <v>3</v>
      </c>
      <c r="N171" s="5" t="s">
        <v>3</v>
      </c>
      <c r="O171" s="5">
        <v>2</v>
      </c>
      <c r="P171" s="5">
        <f>ROUND(Source!ES151,O171)</f>
        <v>0</v>
      </c>
      <c r="Q171" s="5"/>
      <c r="R171" s="5"/>
      <c r="S171" s="5"/>
      <c r="T171" s="5"/>
      <c r="U171" s="5"/>
      <c r="V171" s="5"/>
      <c r="W171" s="5">
        <v>0</v>
      </c>
      <c r="X171" s="5">
        <v>1</v>
      </c>
      <c r="Y171" s="5">
        <v>0</v>
      </c>
      <c r="Z171" s="5">
        <v>0</v>
      </c>
      <c r="AA171" s="5">
        <v>1</v>
      </c>
      <c r="AB171" s="5">
        <v>0</v>
      </c>
    </row>
    <row r="172" spans="1:28" ht="12.75">
      <c r="A172" s="5">
        <v>50</v>
      </c>
      <c r="B172" s="5">
        <v>0</v>
      </c>
      <c r="C172" s="5">
        <v>0</v>
      </c>
      <c r="D172" s="5">
        <v>1</v>
      </c>
      <c r="E172" s="5">
        <v>206</v>
      </c>
      <c r="F172" s="5">
        <f>ROUND(Source!T151,O172)</f>
        <v>0</v>
      </c>
      <c r="G172" s="5" t="s">
        <v>139</v>
      </c>
      <c r="H172" s="5" t="s">
        <v>140</v>
      </c>
      <c r="I172" s="5"/>
      <c r="J172" s="5"/>
      <c r="K172" s="5">
        <v>206</v>
      </c>
      <c r="L172" s="5">
        <v>20</v>
      </c>
      <c r="M172" s="5">
        <v>3</v>
      </c>
      <c r="N172" s="5" t="s">
        <v>3</v>
      </c>
      <c r="O172" s="5">
        <v>2</v>
      </c>
      <c r="P172" s="5">
        <f>ROUND(Source!DL151,O172)</f>
        <v>0</v>
      </c>
      <c r="Q172" s="5"/>
      <c r="R172" s="5"/>
      <c r="S172" s="5"/>
      <c r="T172" s="5"/>
      <c r="U172" s="5"/>
      <c r="V172" s="5"/>
      <c r="W172" s="5">
        <v>0</v>
      </c>
      <c r="X172" s="5">
        <v>1</v>
      </c>
      <c r="Y172" s="5">
        <v>0</v>
      </c>
      <c r="Z172" s="5">
        <v>0</v>
      </c>
      <c r="AA172" s="5">
        <v>1</v>
      </c>
      <c r="AB172" s="5">
        <v>0</v>
      </c>
    </row>
    <row r="173" spans="1:28" ht="12.75">
      <c r="A173" s="5">
        <v>50</v>
      </c>
      <c r="B173" s="5">
        <v>0</v>
      </c>
      <c r="C173" s="5">
        <v>0</v>
      </c>
      <c r="D173" s="5">
        <v>1</v>
      </c>
      <c r="E173" s="5">
        <v>207</v>
      </c>
      <c r="F173" s="5">
        <f>Source!U151</f>
        <v>3.0263999999999998</v>
      </c>
      <c r="G173" s="5" t="s">
        <v>141</v>
      </c>
      <c r="H173" s="5" t="s">
        <v>142</v>
      </c>
      <c r="I173" s="5"/>
      <c r="J173" s="5"/>
      <c r="K173" s="5">
        <v>207</v>
      </c>
      <c r="L173" s="5">
        <v>21</v>
      </c>
      <c r="M173" s="5">
        <v>3</v>
      </c>
      <c r="N173" s="5" t="s">
        <v>3</v>
      </c>
      <c r="O173" s="5">
        <v>-1</v>
      </c>
      <c r="P173" s="5">
        <f>Source!DM151</f>
        <v>3.0263999999999998</v>
      </c>
      <c r="Q173" s="5"/>
      <c r="R173" s="5"/>
      <c r="S173" s="5"/>
      <c r="T173" s="5"/>
      <c r="U173" s="5"/>
      <c r="V173" s="5"/>
      <c r="W173" s="5">
        <v>3.0264</v>
      </c>
      <c r="X173" s="5">
        <v>1</v>
      </c>
      <c r="Y173" s="5">
        <v>3.0264</v>
      </c>
      <c r="Z173" s="5">
        <v>3.0264</v>
      </c>
      <c r="AA173" s="5">
        <v>1</v>
      </c>
      <c r="AB173" s="5">
        <v>3.0264</v>
      </c>
    </row>
    <row r="174" spans="1:28" ht="12.75">
      <c r="A174" s="5">
        <v>50</v>
      </c>
      <c r="B174" s="5">
        <v>0</v>
      </c>
      <c r="C174" s="5">
        <v>0</v>
      </c>
      <c r="D174" s="5">
        <v>1</v>
      </c>
      <c r="E174" s="5">
        <v>208</v>
      </c>
      <c r="F174" s="5">
        <f>Source!V151</f>
        <v>0</v>
      </c>
      <c r="G174" s="5" t="s">
        <v>143</v>
      </c>
      <c r="H174" s="5" t="s">
        <v>144</v>
      </c>
      <c r="I174" s="5"/>
      <c r="J174" s="5"/>
      <c r="K174" s="5">
        <v>208</v>
      </c>
      <c r="L174" s="5">
        <v>22</v>
      </c>
      <c r="M174" s="5">
        <v>3</v>
      </c>
      <c r="N174" s="5" t="s">
        <v>3</v>
      </c>
      <c r="O174" s="5">
        <v>-1</v>
      </c>
      <c r="P174" s="5">
        <f>Source!DN151</f>
        <v>0</v>
      </c>
      <c r="Q174" s="5"/>
      <c r="R174" s="5"/>
      <c r="S174" s="5"/>
      <c r="T174" s="5"/>
      <c r="U174" s="5"/>
      <c r="V174" s="5"/>
      <c r="W174" s="5">
        <v>0</v>
      </c>
      <c r="X174" s="5">
        <v>1</v>
      </c>
      <c r="Y174" s="5">
        <v>0</v>
      </c>
      <c r="Z174" s="5">
        <v>0</v>
      </c>
      <c r="AA174" s="5">
        <v>1</v>
      </c>
      <c r="AB174" s="5">
        <v>0</v>
      </c>
    </row>
    <row r="175" spans="1:28" ht="12.75">
      <c r="A175" s="5">
        <v>50</v>
      </c>
      <c r="B175" s="5">
        <v>0</v>
      </c>
      <c r="C175" s="5">
        <v>0</v>
      </c>
      <c r="D175" s="5">
        <v>1</v>
      </c>
      <c r="E175" s="5">
        <v>209</v>
      </c>
      <c r="F175" s="5">
        <f>ROUND(Source!W151,O175)</f>
        <v>0</v>
      </c>
      <c r="G175" s="5" t="s">
        <v>145</v>
      </c>
      <c r="H175" s="5" t="s">
        <v>146</v>
      </c>
      <c r="I175" s="5"/>
      <c r="J175" s="5"/>
      <c r="K175" s="5">
        <v>209</v>
      </c>
      <c r="L175" s="5">
        <v>23</v>
      </c>
      <c r="M175" s="5">
        <v>3</v>
      </c>
      <c r="N175" s="5" t="s">
        <v>3</v>
      </c>
      <c r="O175" s="5">
        <v>2</v>
      </c>
      <c r="P175" s="5">
        <f>ROUND(Source!DO151,O175)</f>
        <v>0</v>
      </c>
      <c r="Q175" s="5"/>
      <c r="R175" s="5"/>
      <c r="S175" s="5"/>
      <c r="T175" s="5"/>
      <c r="U175" s="5"/>
      <c r="V175" s="5"/>
      <c r="W175" s="5">
        <v>0</v>
      </c>
      <c r="X175" s="5">
        <v>1</v>
      </c>
      <c r="Y175" s="5">
        <v>0</v>
      </c>
      <c r="Z175" s="5">
        <v>0</v>
      </c>
      <c r="AA175" s="5">
        <v>1</v>
      </c>
      <c r="AB175" s="5">
        <v>0</v>
      </c>
    </row>
    <row r="176" spans="1:28" ht="12.75">
      <c r="A176" s="5">
        <v>50</v>
      </c>
      <c r="B176" s="5">
        <v>0</v>
      </c>
      <c r="C176" s="5">
        <v>0</v>
      </c>
      <c r="D176" s="5">
        <v>1</v>
      </c>
      <c r="E176" s="5">
        <v>233</v>
      </c>
      <c r="F176" s="5">
        <f>ROUND(Source!BD151,O176)</f>
        <v>48.22</v>
      </c>
      <c r="G176" s="5" t="s">
        <v>147</v>
      </c>
      <c r="H176" s="5" t="s">
        <v>148</v>
      </c>
      <c r="I176" s="5"/>
      <c r="J176" s="5"/>
      <c r="K176" s="5">
        <v>233</v>
      </c>
      <c r="L176" s="5">
        <v>24</v>
      </c>
      <c r="M176" s="5">
        <v>3</v>
      </c>
      <c r="N176" s="5" t="s">
        <v>3</v>
      </c>
      <c r="O176" s="5">
        <v>2</v>
      </c>
      <c r="P176" s="5">
        <f>ROUND(Source!EV151,O176)</f>
        <v>647.66</v>
      </c>
      <c r="Q176" s="5"/>
      <c r="R176" s="5"/>
      <c r="S176" s="5"/>
      <c r="T176" s="5"/>
      <c r="U176" s="5"/>
      <c r="V176" s="5"/>
      <c r="W176" s="5">
        <v>48.22</v>
      </c>
      <c r="X176" s="5">
        <v>1</v>
      </c>
      <c r="Y176" s="5">
        <v>48.22</v>
      </c>
      <c r="Z176" s="5">
        <v>647.66</v>
      </c>
      <c r="AA176" s="5">
        <v>1</v>
      </c>
      <c r="AB176" s="5">
        <v>647.66</v>
      </c>
    </row>
    <row r="177" spans="1:28" ht="12.75">
      <c r="A177" s="5">
        <v>50</v>
      </c>
      <c r="B177" s="5">
        <v>0</v>
      </c>
      <c r="C177" s="5">
        <v>0</v>
      </c>
      <c r="D177" s="5">
        <v>1</v>
      </c>
      <c r="E177" s="5">
        <v>210</v>
      </c>
      <c r="F177" s="5">
        <f>ROUND(Source!X151,O177)</f>
        <v>20.14</v>
      </c>
      <c r="G177" s="5" t="s">
        <v>149</v>
      </c>
      <c r="H177" s="5" t="s">
        <v>150</v>
      </c>
      <c r="I177" s="5"/>
      <c r="J177" s="5"/>
      <c r="K177" s="5">
        <v>210</v>
      </c>
      <c r="L177" s="5">
        <v>25</v>
      </c>
      <c r="M177" s="5">
        <v>3</v>
      </c>
      <c r="N177" s="5" t="s">
        <v>3</v>
      </c>
      <c r="O177" s="5">
        <v>2</v>
      </c>
      <c r="P177" s="5">
        <f>ROUND(Source!DP151,O177)</f>
        <v>776.86</v>
      </c>
      <c r="Q177" s="5"/>
      <c r="R177" s="5"/>
      <c r="S177" s="5"/>
      <c r="T177" s="5"/>
      <c r="U177" s="5"/>
      <c r="V177" s="5"/>
      <c r="W177" s="5">
        <v>20.14</v>
      </c>
      <c r="X177" s="5">
        <v>1</v>
      </c>
      <c r="Y177" s="5">
        <v>20.14</v>
      </c>
      <c r="Z177" s="5">
        <v>776.86</v>
      </c>
      <c r="AA177" s="5">
        <v>1</v>
      </c>
      <c r="AB177" s="5">
        <v>776.86</v>
      </c>
    </row>
    <row r="178" spans="1:28" ht="12.75">
      <c r="A178" s="5">
        <v>50</v>
      </c>
      <c r="B178" s="5">
        <v>0</v>
      </c>
      <c r="C178" s="5">
        <v>0</v>
      </c>
      <c r="D178" s="5">
        <v>1</v>
      </c>
      <c r="E178" s="5">
        <v>211</v>
      </c>
      <c r="F178" s="5">
        <f>ROUND(Source!Y151,O178)</f>
        <v>9.63</v>
      </c>
      <c r="G178" s="5" t="s">
        <v>151</v>
      </c>
      <c r="H178" s="5" t="s">
        <v>152</v>
      </c>
      <c r="I178" s="5"/>
      <c r="J178" s="5"/>
      <c r="K178" s="5">
        <v>211</v>
      </c>
      <c r="L178" s="5">
        <v>26</v>
      </c>
      <c r="M178" s="5">
        <v>3</v>
      </c>
      <c r="N178" s="5" t="s">
        <v>3</v>
      </c>
      <c r="O178" s="5">
        <v>2</v>
      </c>
      <c r="P178" s="5">
        <f>ROUND(Source!DQ151,O178)</f>
        <v>371.54</v>
      </c>
      <c r="Q178" s="5"/>
      <c r="R178" s="5"/>
      <c r="S178" s="5"/>
      <c r="T178" s="5"/>
      <c r="U178" s="5"/>
      <c r="V178" s="5"/>
      <c r="W178" s="5">
        <v>9.63</v>
      </c>
      <c r="X178" s="5">
        <v>1</v>
      </c>
      <c r="Y178" s="5">
        <v>9.63</v>
      </c>
      <c r="Z178" s="5">
        <v>371.54</v>
      </c>
      <c r="AA178" s="5">
        <v>1</v>
      </c>
      <c r="AB178" s="5">
        <v>371.54</v>
      </c>
    </row>
    <row r="179" spans="1:28" ht="12.75">
      <c r="A179" s="5">
        <v>50</v>
      </c>
      <c r="B179" s="5">
        <v>0</v>
      </c>
      <c r="C179" s="5">
        <v>0</v>
      </c>
      <c r="D179" s="5">
        <v>1</v>
      </c>
      <c r="E179" s="5">
        <v>224</v>
      </c>
      <c r="F179" s="5">
        <f>ROUND(Source!AR151,O179)</f>
        <v>116.94</v>
      </c>
      <c r="G179" s="5" t="s">
        <v>153</v>
      </c>
      <c r="H179" s="5" t="s">
        <v>154</v>
      </c>
      <c r="I179" s="5"/>
      <c r="J179" s="5"/>
      <c r="K179" s="5">
        <v>224</v>
      </c>
      <c r="L179" s="5">
        <v>27</v>
      </c>
      <c r="M179" s="5">
        <v>3</v>
      </c>
      <c r="N179" s="5" t="s">
        <v>3</v>
      </c>
      <c r="O179" s="5">
        <v>2</v>
      </c>
      <c r="P179" s="5">
        <f>ROUND(Source!EJ151,O179)</f>
        <v>2756.79</v>
      </c>
      <c r="Q179" s="5"/>
      <c r="R179" s="5"/>
      <c r="S179" s="5"/>
      <c r="T179" s="5"/>
      <c r="U179" s="5"/>
      <c r="V179" s="5"/>
      <c r="W179" s="5">
        <v>116.94</v>
      </c>
      <c r="X179" s="5">
        <v>1</v>
      </c>
      <c r="Y179" s="5">
        <v>116.94</v>
      </c>
      <c r="Z179" s="5">
        <v>2756.79</v>
      </c>
      <c r="AA179" s="5">
        <v>1</v>
      </c>
      <c r="AB179" s="5">
        <v>2756.79</v>
      </c>
    </row>
    <row r="181" spans="1:206" ht="12.75">
      <c r="A181" s="3">
        <v>51</v>
      </c>
      <c r="B181" s="3">
        <f>B20</f>
        <v>1</v>
      </c>
      <c r="C181" s="3">
        <f>A20</f>
        <v>3</v>
      </c>
      <c r="D181" s="3">
        <f>ROW(A20)</f>
        <v>20</v>
      </c>
      <c r="E181" s="3"/>
      <c r="F181" s="3">
        <f>IF(F20&lt;&gt;"",F20,"")</f>
      </c>
      <c r="G181" s="3">
        <f>IF(G20&lt;&gt;"",G20,"")</f>
      </c>
      <c r="H181" s="3">
        <v>0</v>
      </c>
      <c r="I181" s="3"/>
      <c r="J181" s="3"/>
      <c r="K181" s="3"/>
      <c r="L181" s="3"/>
      <c r="M181" s="3"/>
      <c r="N181" s="3"/>
      <c r="O181" s="3">
        <f aca="true" t="shared" si="154" ref="O181:T181">ROUND(O67+O108+O151+AB181,2)</f>
        <v>19699.34</v>
      </c>
      <c r="P181" s="3">
        <f t="shared" si="154"/>
        <v>12444.37</v>
      </c>
      <c r="Q181" s="3">
        <f t="shared" si="154"/>
        <v>1063.73</v>
      </c>
      <c r="R181" s="3">
        <f t="shared" si="154"/>
        <v>209.09</v>
      </c>
      <c r="S181" s="3">
        <f t="shared" si="154"/>
        <v>6191.24</v>
      </c>
      <c r="T181" s="3">
        <f t="shared" si="154"/>
        <v>0</v>
      </c>
      <c r="U181" s="3">
        <f>U67+U108+U151+AH181</f>
        <v>678.594446</v>
      </c>
      <c r="V181" s="3">
        <f>V67+V108+V151+AI181</f>
        <v>17.580772</v>
      </c>
      <c r="W181" s="3">
        <f>ROUND(W67+W108+W151+AJ181,2)</f>
        <v>0</v>
      </c>
      <c r="X181" s="3">
        <f>ROUND(X67+X108+X151+AK181,2)</f>
        <v>5787.67</v>
      </c>
      <c r="Y181" s="3">
        <f>ROUND(Y67+Y108+Y151+AL181,2)</f>
        <v>2710.3</v>
      </c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>
        <f aca="true" t="shared" si="155" ref="AO181:BD181">ROUND(AO67+AO108+AO151+BX181,2)</f>
        <v>0</v>
      </c>
      <c r="AP181" s="3">
        <f t="shared" si="155"/>
        <v>0</v>
      </c>
      <c r="AQ181" s="3">
        <f t="shared" si="155"/>
        <v>0</v>
      </c>
      <c r="AR181" s="3">
        <f t="shared" si="155"/>
        <v>28245.53</v>
      </c>
      <c r="AS181" s="3">
        <f t="shared" si="155"/>
        <v>28245.53</v>
      </c>
      <c r="AT181" s="3">
        <f t="shared" si="155"/>
        <v>0</v>
      </c>
      <c r="AU181" s="3">
        <f t="shared" si="155"/>
        <v>0</v>
      </c>
      <c r="AV181" s="3">
        <f t="shared" si="155"/>
        <v>12444.37</v>
      </c>
      <c r="AW181" s="3">
        <f t="shared" si="155"/>
        <v>12444.37</v>
      </c>
      <c r="AX181" s="3">
        <f t="shared" si="155"/>
        <v>0</v>
      </c>
      <c r="AY181" s="3">
        <f t="shared" si="155"/>
        <v>12444.37</v>
      </c>
      <c r="AZ181" s="3">
        <f t="shared" si="155"/>
        <v>0</v>
      </c>
      <c r="BA181" s="3">
        <f t="shared" si="155"/>
        <v>0</v>
      </c>
      <c r="BB181" s="3">
        <f t="shared" si="155"/>
        <v>0</v>
      </c>
      <c r="BC181" s="3">
        <f t="shared" si="155"/>
        <v>0</v>
      </c>
      <c r="BD181" s="3">
        <f t="shared" si="155"/>
        <v>48.22</v>
      </c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4">
        <f aca="true" t="shared" si="156" ref="DG181:DL181">ROUND(DG67+DG108+DG151+DT181,2)</f>
        <v>338076.06</v>
      </c>
      <c r="DH181" s="4">
        <f t="shared" si="156"/>
        <v>84870.6</v>
      </c>
      <c r="DI181" s="4">
        <f t="shared" si="156"/>
        <v>14285.67</v>
      </c>
      <c r="DJ181" s="4">
        <f t="shared" si="156"/>
        <v>8068.45</v>
      </c>
      <c r="DK181" s="4">
        <f t="shared" si="156"/>
        <v>238919.79</v>
      </c>
      <c r="DL181" s="4">
        <f t="shared" si="156"/>
        <v>0</v>
      </c>
      <c r="DM181" s="4">
        <f>DM67+DM108+DM151+DZ181</f>
        <v>678.594446</v>
      </c>
      <c r="DN181" s="4">
        <f>DN67+DN108+DN151+EA181</f>
        <v>17.580772</v>
      </c>
      <c r="DO181" s="4">
        <f>ROUND(DO67+DO108+DO151+EB181,2)</f>
        <v>0</v>
      </c>
      <c r="DP181" s="4">
        <f>ROUND(DP67+DP108+DP151+EC181,2)</f>
        <v>223345.77</v>
      </c>
      <c r="DQ181" s="4">
        <f>ROUND(DQ67+DQ108+DQ151+ED181,2)</f>
        <v>104590.57</v>
      </c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>
        <f aca="true" t="shared" si="157" ref="EG181:EV181">ROUND(EG67+EG108+EG151+FP181,2)</f>
        <v>0</v>
      </c>
      <c r="EH181" s="4">
        <f t="shared" si="157"/>
        <v>0</v>
      </c>
      <c r="EI181" s="4">
        <f t="shared" si="157"/>
        <v>0</v>
      </c>
      <c r="EJ181" s="4">
        <f t="shared" si="157"/>
        <v>666660.06</v>
      </c>
      <c r="EK181" s="4">
        <f t="shared" si="157"/>
        <v>666660.06</v>
      </c>
      <c r="EL181" s="4">
        <f t="shared" si="157"/>
        <v>0</v>
      </c>
      <c r="EM181" s="4">
        <f t="shared" si="157"/>
        <v>0</v>
      </c>
      <c r="EN181" s="4">
        <f t="shared" si="157"/>
        <v>84870.6</v>
      </c>
      <c r="EO181" s="4">
        <f t="shared" si="157"/>
        <v>84870.6</v>
      </c>
      <c r="EP181" s="4">
        <f t="shared" si="157"/>
        <v>0</v>
      </c>
      <c r="EQ181" s="4">
        <f t="shared" si="157"/>
        <v>84870.6</v>
      </c>
      <c r="ER181" s="4">
        <f t="shared" si="157"/>
        <v>0</v>
      </c>
      <c r="ES181" s="4">
        <f t="shared" si="157"/>
        <v>0</v>
      </c>
      <c r="ET181" s="4">
        <f t="shared" si="157"/>
        <v>0</v>
      </c>
      <c r="EU181" s="4">
        <f t="shared" si="157"/>
        <v>0</v>
      </c>
      <c r="EV181" s="4">
        <f t="shared" si="157"/>
        <v>647.66</v>
      </c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>
        <v>0</v>
      </c>
    </row>
    <row r="183" spans="1:28" ht="12.75">
      <c r="A183" s="5">
        <v>50</v>
      </c>
      <c r="B183" s="5">
        <v>0</v>
      </c>
      <c r="C183" s="5">
        <v>0</v>
      </c>
      <c r="D183" s="5">
        <v>1</v>
      </c>
      <c r="E183" s="5">
        <v>201</v>
      </c>
      <c r="F183" s="5">
        <f>ROUND(Source!O181,O183)</f>
        <v>19699.34</v>
      </c>
      <c r="G183" s="5" t="s">
        <v>101</v>
      </c>
      <c r="H183" s="5" t="s">
        <v>102</v>
      </c>
      <c r="I183" s="5"/>
      <c r="J183" s="5"/>
      <c r="K183" s="5">
        <v>201</v>
      </c>
      <c r="L183" s="5">
        <v>1</v>
      </c>
      <c r="M183" s="5">
        <v>3</v>
      </c>
      <c r="N183" s="5" t="s">
        <v>3</v>
      </c>
      <c r="O183" s="5">
        <v>2</v>
      </c>
      <c r="P183" s="5">
        <f>ROUND(Source!DG181,O183)</f>
        <v>338076.06</v>
      </c>
      <c r="Q183" s="5"/>
      <c r="R183" s="5"/>
      <c r="S183" s="5"/>
      <c r="T183" s="5"/>
      <c r="U183" s="5"/>
      <c r="V183" s="5"/>
      <c r="W183" s="5">
        <v>19747.56</v>
      </c>
      <c r="X183" s="5">
        <v>1</v>
      </c>
      <c r="Y183" s="5">
        <v>19747.56</v>
      </c>
      <c r="Z183" s="5">
        <v>338723.72</v>
      </c>
      <c r="AA183" s="5">
        <v>1</v>
      </c>
      <c r="AB183" s="5">
        <v>338723.72</v>
      </c>
    </row>
    <row r="184" spans="1:28" ht="12.75">
      <c r="A184" s="5">
        <v>50</v>
      </c>
      <c r="B184" s="5">
        <v>0</v>
      </c>
      <c r="C184" s="5">
        <v>0</v>
      </c>
      <c r="D184" s="5">
        <v>1</v>
      </c>
      <c r="E184" s="5">
        <v>202</v>
      </c>
      <c r="F184" s="5">
        <f>ROUND(Source!P181,O184)</f>
        <v>12444.37</v>
      </c>
      <c r="G184" s="5" t="s">
        <v>103</v>
      </c>
      <c r="H184" s="5" t="s">
        <v>104</v>
      </c>
      <c r="I184" s="5"/>
      <c r="J184" s="5"/>
      <c r="K184" s="5">
        <v>202</v>
      </c>
      <c r="L184" s="5">
        <v>2</v>
      </c>
      <c r="M184" s="5">
        <v>3</v>
      </c>
      <c r="N184" s="5" t="s">
        <v>3</v>
      </c>
      <c r="O184" s="5">
        <v>2</v>
      </c>
      <c r="P184" s="5">
        <f>ROUND(Source!DH181,O184)</f>
        <v>84870.6</v>
      </c>
      <c r="Q184" s="5"/>
      <c r="R184" s="5"/>
      <c r="S184" s="5"/>
      <c r="T184" s="5"/>
      <c r="U184" s="5"/>
      <c r="V184" s="5"/>
      <c r="W184" s="5">
        <v>12444.37</v>
      </c>
      <c r="X184" s="5">
        <v>1</v>
      </c>
      <c r="Y184" s="5">
        <v>12444.37</v>
      </c>
      <c r="Z184" s="5">
        <v>84870.6</v>
      </c>
      <c r="AA184" s="5">
        <v>1</v>
      </c>
      <c r="AB184" s="5">
        <v>84870.6</v>
      </c>
    </row>
    <row r="185" spans="1:28" ht="12.75">
      <c r="A185" s="5">
        <v>50</v>
      </c>
      <c r="B185" s="5">
        <v>0</v>
      </c>
      <c r="C185" s="5">
        <v>0</v>
      </c>
      <c r="D185" s="5">
        <v>1</v>
      </c>
      <c r="E185" s="5">
        <v>222</v>
      </c>
      <c r="F185" s="5">
        <f>ROUND(Source!AO181,O185)</f>
        <v>0</v>
      </c>
      <c r="G185" s="5" t="s">
        <v>105</v>
      </c>
      <c r="H185" s="5" t="s">
        <v>106</v>
      </c>
      <c r="I185" s="5"/>
      <c r="J185" s="5"/>
      <c r="K185" s="5">
        <v>222</v>
      </c>
      <c r="L185" s="5">
        <v>3</v>
      </c>
      <c r="M185" s="5">
        <v>3</v>
      </c>
      <c r="N185" s="5" t="s">
        <v>3</v>
      </c>
      <c r="O185" s="5">
        <v>2</v>
      </c>
      <c r="P185" s="5">
        <f>ROUND(Source!EG181,O185)</f>
        <v>0</v>
      </c>
      <c r="Q185" s="5"/>
      <c r="R185" s="5"/>
      <c r="S185" s="5"/>
      <c r="T185" s="5"/>
      <c r="U185" s="5"/>
      <c r="V185" s="5"/>
      <c r="W185" s="5">
        <v>0</v>
      </c>
      <c r="X185" s="5">
        <v>1</v>
      </c>
      <c r="Y185" s="5">
        <v>0</v>
      </c>
      <c r="Z185" s="5">
        <v>0</v>
      </c>
      <c r="AA185" s="5">
        <v>1</v>
      </c>
      <c r="AB185" s="5">
        <v>0</v>
      </c>
    </row>
    <row r="186" spans="1:28" ht="12.75">
      <c r="A186" s="5">
        <v>50</v>
      </c>
      <c r="B186" s="5">
        <v>0</v>
      </c>
      <c r="C186" s="5">
        <v>0</v>
      </c>
      <c r="D186" s="5">
        <v>1</v>
      </c>
      <c r="E186" s="5">
        <v>225</v>
      </c>
      <c r="F186" s="5">
        <f>ROUND(Source!AV181,O186)</f>
        <v>12444.37</v>
      </c>
      <c r="G186" s="5" t="s">
        <v>107</v>
      </c>
      <c r="H186" s="5" t="s">
        <v>108</v>
      </c>
      <c r="I186" s="5"/>
      <c r="J186" s="5"/>
      <c r="K186" s="5">
        <v>225</v>
      </c>
      <c r="L186" s="5">
        <v>4</v>
      </c>
      <c r="M186" s="5">
        <v>3</v>
      </c>
      <c r="N186" s="5" t="s">
        <v>3</v>
      </c>
      <c r="O186" s="5">
        <v>2</v>
      </c>
      <c r="P186" s="5">
        <f>ROUND(Source!EN181,O186)</f>
        <v>84870.6</v>
      </c>
      <c r="Q186" s="5"/>
      <c r="R186" s="5"/>
      <c r="S186" s="5"/>
      <c r="T186" s="5"/>
      <c r="U186" s="5"/>
      <c r="V186" s="5"/>
      <c r="W186" s="5">
        <v>12444.37</v>
      </c>
      <c r="X186" s="5">
        <v>1</v>
      </c>
      <c r="Y186" s="5">
        <v>12444.37</v>
      </c>
      <c r="Z186" s="5">
        <v>84870.6</v>
      </c>
      <c r="AA186" s="5">
        <v>1</v>
      </c>
      <c r="AB186" s="5">
        <v>84870.6</v>
      </c>
    </row>
    <row r="187" spans="1:28" ht="12.75">
      <c r="A187" s="5">
        <v>50</v>
      </c>
      <c r="B187" s="5">
        <v>1</v>
      </c>
      <c r="C187" s="5">
        <v>0</v>
      </c>
      <c r="D187" s="5">
        <v>1</v>
      </c>
      <c r="E187" s="5">
        <v>226</v>
      </c>
      <c r="F187" s="5">
        <f>ROUND(Source!AW181,O187)</f>
        <v>12444.37</v>
      </c>
      <c r="G187" s="5" t="s">
        <v>109</v>
      </c>
      <c r="H187" s="5" t="s">
        <v>110</v>
      </c>
      <c r="I187" s="5"/>
      <c r="J187" s="5"/>
      <c r="K187" s="5">
        <v>226</v>
      </c>
      <c r="L187" s="5">
        <v>5</v>
      </c>
      <c r="M187" s="5">
        <v>0</v>
      </c>
      <c r="N187" s="5" t="s">
        <v>3</v>
      </c>
      <c r="O187" s="5">
        <v>2</v>
      </c>
      <c r="P187" s="5">
        <f>ROUND(Source!EO181,O187)</f>
        <v>84870.6</v>
      </c>
      <c r="Q187" s="5"/>
      <c r="R187" s="5"/>
      <c r="S187" s="5"/>
      <c r="T187" s="5"/>
      <c r="U187" s="5"/>
      <c r="V187" s="5"/>
      <c r="W187" s="5">
        <v>12444.37</v>
      </c>
      <c r="X187" s="5">
        <v>1</v>
      </c>
      <c r="Y187" s="5">
        <v>12444.37</v>
      </c>
      <c r="Z187" s="5">
        <v>84870.6</v>
      </c>
      <c r="AA187" s="5">
        <v>1</v>
      </c>
      <c r="AB187" s="5">
        <v>84870.6</v>
      </c>
    </row>
    <row r="188" spans="1:28" ht="12.75">
      <c r="A188" s="5">
        <v>50</v>
      </c>
      <c r="B188" s="5">
        <v>0</v>
      </c>
      <c r="C188" s="5">
        <v>0</v>
      </c>
      <c r="D188" s="5">
        <v>1</v>
      </c>
      <c r="E188" s="5">
        <v>227</v>
      </c>
      <c r="F188" s="5">
        <f>ROUND(Source!AX181,O188)</f>
        <v>0</v>
      </c>
      <c r="G188" s="5" t="s">
        <v>111</v>
      </c>
      <c r="H188" s="5" t="s">
        <v>112</v>
      </c>
      <c r="I188" s="5"/>
      <c r="J188" s="5"/>
      <c r="K188" s="5">
        <v>227</v>
      </c>
      <c r="L188" s="5">
        <v>6</v>
      </c>
      <c r="M188" s="5">
        <v>3</v>
      </c>
      <c r="N188" s="5" t="s">
        <v>3</v>
      </c>
      <c r="O188" s="5">
        <v>2</v>
      </c>
      <c r="P188" s="5">
        <f>ROUND(Source!EP181,O188)</f>
        <v>0</v>
      </c>
      <c r="Q188" s="5"/>
      <c r="R188" s="5"/>
      <c r="S188" s="5"/>
      <c r="T188" s="5"/>
      <c r="U188" s="5"/>
      <c r="V188" s="5"/>
      <c r="W188" s="5">
        <v>0</v>
      </c>
      <c r="X188" s="5">
        <v>1</v>
      </c>
      <c r="Y188" s="5">
        <v>0</v>
      </c>
      <c r="Z188" s="5">
        <v>0</v>
      </c>
      <c r="AA188" s="5">
        <v>1</v>
      </c>
      <c r="AB188" s="5">
        <v>0</v>
      </c>
    </row>
    <row r="189" spans="1:28" ht="12.75">
      <c r="A189" s="5">
        <v>50</v>
      </c>
      <c r="B189" s="5">
        <v>0</v>
      </c>
      <c r="C189" s="5">
        <v>0</v>
      </c>
      <c r="D189" s="5">
        <v>1</v>
      </c>
      <c r="E189" s="5">
        <v>228</v>
      </c>
      <c r="F189" s="5">
        <f>ROUND(Source!AY181,O189)</f>
        <v>12444.37</v>
      </c>
      <c r="G189" s="5" t="s">
        <v>113</v>
      </c>
      <c r="H189" s="5" t="s">
        <v>114</v>
      </c>
      <c r="I189" s="5"/>
      <c r="J189" s="5"/>
      <c r="K189" s="5">
        <v>228</v>
      </c>
      <c r="L189" s="5">
        <v>7</v>
      </c>
      <c r="M189" s="5">
        <v>3</v>
      </c>
      <c r="N189" s="5" t="s">
        <v>3</v>
      </c>
      <c r="O189" s="5">
        <v>2</v>
      </c>
      <c r="P189" s="5">
        <f>ROUND(Source!EQ181,O189)</f>
        <v>84870.6</v>
      </c>
      <c r="Q189" s="5"/>
      <c r="R189" s="5"/>
      <c r="S189" s="5"/>
      <c r="T189" s="5"/>
      <c r="U189" s="5"/>
      <c r="V189" s="5"/>
      <c r="W189" s="5">
        <v>12444.37</v>
      </c>
      <c r="X189" s="5">
        <v>1</v>
      </c>
      <c r="Y189" s="5">
        <v>12444.37</v>
      </c>
      <c r="Z189" s="5">
        <v>84870.6</v>
      </c>
      <c r="AA189" s="5">
        <v>1</v>
      </c>
      <c r="AB189" s="5">
        <v>84870.6</v>
      </c>
    </row>
    <row r="190" spans="1:28" ht="12.75">
      <c r="A190" s="5">
        <v>50</v>
      </c>
      <c r="B190" s="5">
        <v>0</v>
      </c>
      <c r="C190" s="5">
        <v>0</v>
      </c>
      <c r="D190" s="5">
        <v>1</v>
      </c>
      <c r="E190" s="5">
        <v>216</v>
      </c>
      <c r="F190" s="5">
        <f>ROUND(Source!AP181,O190)</f>
        <v>0</v>
      </c>
      <c r="G190" s="5" t="s">
        <v>115</v>
      </c>
      <c r="H190" s="5" t="s">
        <v>116</v>
      </c>
      <c r="I190" s="5"/>
      <c r="J190" s="5"/>
      <c r="K190" s="5">
        <v>216</v>
      </c>
      <c r="L190" s="5">
        <v>8</v>
      </c>
      <c r="M190" s="5">
        <v>3</v>
      </c>
      <c r="N190" s="5" t="s">
        <v>3</v>
      </c>
      <c r="O190" s="5">
        <v>2</v>
      </c>
      <c r="P190" s="5">
        <f>ROUND(Source!EH181,O190)</f>
        <v>0</v>
      </c>
      <c r="Q190" s="5"/>
      <c r="R190" s="5"/>
      <c r="S190" s="5"/>
      <c r="T190" s="5"/>
      <c r="U190" s="5"/>
      <c r="V190" s="5"/>
      <c r="W190" s="5">
        <v>0</v>
      </c>
      <c r="X190" s="5">
        <v>1</v>
      </c>
      <c r="Y190" s="5">
        <v>0</v>
      </c>
      <c r="Z190" s="5">
        <v>0</v>
      </c>
      <c r="AA190" s="5">
        <v>1</v>
      </c>
      <c r="AB190" s="5">
        <v>0</v>
      </c>
    </row>
    <row r="191" spans="1:28" ht="12.75">
      <c r="A191" s="5">
        <v>50</v>
      </c>
      <c r="B191" s="5">
        <v>0</v>
      </c>
      <c r="C191" s="5">
        <v>0</v>
      </c>
      <c r="D191" s="5">
        <v>1</v>
      </c>
      <c r="E191" s="5">
        <v>223</v>
      </c>
      <c r="F191" s="5">
        <f>ROUND(Source!AQ181,O191)</f>
        <v>0</v>
      </c>
      <c r="G191" s="5" t="s">
        <v>117</v>
      </c>
      <c r="H191" s="5" t="s">
        <v>118</v>
      </c>
      <c r="I191" s="5"/>
      <c r="J191" s="5"/>
      <c r="K191" s="5">
        <v>223</v>
      </c>
      <c r="L191" s="5">
        <v>9</v>
      </c>
      <c r="M191" s="5">
        <v>3</v>
      </c>
      <c r="N191" s="5" t="s">
        <v>3</v>
      </c>
      <c r="O191" s="5">
        <v>2</v>
      </c>
      <c r="P191" s="5">
        <f>ROUND(Source!EI181,O191)</f>
        <v>0</v>
      </c>
      <c r="Q191" s="5"/>
      <c r="R191" s="5"/>
      <c r="S191" s="5"/>
      <c r="T191" s="5"/>
      <c r="U191" s="5"/>
      <c r="V191" s="5"/>
      <c r="W191" s="5">
        <v>0</v>
      </c>
      <c r="X191" s="5">
        <v>1</v>
      </c>
      <c r="Y191" s="5">
        <v>0</v>
      </c>
      <c r="Z191" s="5">
        <v>0</v>
      </c>
      <c r="AA191" s="5">
        <v>1</v>
      </c>
      <c r="AB191" s="5">
        <v>0</v>
      </c>
    </row>
    <row r="192" spans="1:28" ht="12.75">
      <c r="A192" s="5">
        <v>50</v>
      </c>
      <c r="B192" s="5">
        <v>0</v>
      </c>
      <c r="C192" s="5">
        <v>0</v>
      </c>
      <c r="D192" s="5">
        <v>1</v>
      </c>
      <c r="E192" s="5">
        <v>229</v>
      </c>
      <c r="F192" s="5">
        <f>ROUND(Source!AZ181,O192)</f>
        <v>0</v>
      </c>
      <c r="G192" s="5" t="s">
        <v>119</v>
      </c>
      <c r="H192" s="5" t="s">
        <v>120</v>
      </c>
      <c r="I192" s="5"/>
      <c r="J192" s="5"/>
      <c r="K192" s="5">
        <v>229</v>
      </c>
      <c r="L192" s="5">
        <v>10</v>
      </c>
      <c r="M192" s="5">
        <v>3</v>
      </c>
      <c r="N192" s="5" t="s">
        <v>3</v>
      </c>
      <c r="O192" s="5">
        <v>2</v>
      </c>
      <c r="P192" s="5">
        <f>ROUND(Source!ER181,O192)</f>
        <v>0</v>
      </c>
      <c r="Q192" s="5"/>
      <c r="R192" s="5"/>
      <c r="S192" s="5"/>
      <c r="T192" s="5"/>
      <c r="U192" s="5"/>
      <c r="V192" s="5"/>
      <c r="W192" s="5">
        <v>0</v>
      </c>
      <c r="X192" s="5">
        <v>1</v>
      </c>
      <c r="Y192" s="5">
        <v>0</v>
      </c>
      <c r="Z192" s="5">
        <v>0</v>
      </c>
      <c r="AA192" s="5">
        <v>1</v>
      </c>
      <c r="AB192" s="5">
        <v>0</v>
      </c>
    </row>
    <row r="193" spans="1:28" ht="12.75">
      <c r="A193" s="5">
        <v>50</v>
      </c>
      <c r="B193" s="5">
        <v>0</v>
      </c>
      <c r="C193" s="5">
        <v>0</v>
      </c>
      <c r="D193" s="5">
        <v>1</v>
      </c>
      <c r="E193" s="5">
        <v>203</v>
      </c>
      <c r="F193" s="5">
        <f>ROUND(Source!Q181,O193)</f>
        <v>1063.73</v>
      </c>
      <c r="G193" s="5" t="s">
        <v>121</v>
      </c>
      <c r="H193" s="5" t="s">
        <v>122</v>
      </c>
      <c r="I193" s="5"/>
      <c r="J193" s="5"/>
      <c r="K193" s="5">
        <v>203</v>
      </c>
      <c r="L193" s="5">
        <v>11</v>
      </c>
      <c r="M193" s="5">
        <v>3</v>
      </c>
      <c r="N193" s="5" t="s">
        <v>3</v>
      </c>
      <c r="O193" s="5">
        <v>2</v>
      </c>
      <c r="P193" s="5">
        <f>ROUND(Source!DI181,O193)</f>
        <v>14285.67</v>
      </c>
      <c r="Q193" s="5"/>
      <c r="R193" s="5"/>
      <c r="S193" s="5"/>
      <c r="T193" s="5"/>
      <c r="U193" s="5"/>
      <c r="V193" s="5"/>
      <c r="W193" s="5">
        <v>1063.73</v>
      </c>
      <c r="X193" s="5">
        <v>1</v>
      </c>
      <c r="Y193" s="5">
        <v>1063.73</v>
      </c>
      <c r="Z193" s="5">
        <v>14285.67</v>
      </c>
      <c r="AA193" s="5">
        <v>1</v>
      </c>
      <c r="AB193" s="5">
        <v>14285.67</v>
      </c>
    </row>
    <row r="194" spans="1:28" ht="12.75">
      <c r="A194" s="5">
        <v>50</v>
      </c>
      <c r="B194" s="5">
        <v>0</v>
      </c>
      <c r="C194" s="5">
        <v>0</v>
      </c>
      <c r="D194" s="5">
        <v>1</v>
      </c>
      <c r="E194" s="5">
        <v>231</v>
      </c>
      <c r="F194" s="5">
        <f>ROUND(Source!BB181,O194)</f>
        <v>0</v>
      </c>
      <c r="G194" s="5" t="s">
        <v>123</v>
      </c>
      <c r="H194" s="5" t="s">
        <v>124</v>
      </c>
      <c r="I194" s="5"/>
      <c r="J194" s="5"/>
      <c r="K194" s="5">
        <v>231</v>
      </c>
      <c r="L194" s="5">
        <v>12</v>
      </c>
      <c r="M194" s="5">
        <v>3</v>
      </c>
      <c r="N194" s="5" t="s">
        <v>3</v>
      </c>
      <c r="O194" s="5">
        <v>2</v>
      </c>
      <c r="P194" s="5">
        <f>ROUND(Source!ET181,O194)</f>
        <v>0</v>
      </c>
      <c r="Q194" s="5"/>
      <c r="R194" s="5"/>
      <c r="S194" s="5"/>
      <c r="T194" s="5"/>
      <c r="U194" s="5"/>
      <c r="V194" s="5"/>
      <c r="W194" s="5">
        <v>0</v>
      </c>
      <c r="X194" s="5">
        <v>1</v>
      </c>
      <c r="Y194" s="5">
        <v>0</v>
      </c>
      <c r="Z194" s="5">
        <v>0</v>
      </c>
      <c r="AA194" s="5">
        <v>1</v>
      </c>
      <c r="AB194" s="5">
        <v>0</v>
      </c>
    </row>
    <row r="195" spans="1:28" ht="12.75">
      <c r="A195" s="5">
        <v>50</v>
      </c>
      <c r="B195" s="5">
        <v>0</v>
      </c>
      <c r="C195" s="5">
        <v>0</v>
      </c>
      <c r="D195" s="5">
        <v>1</v>
      </c>
      <c r="E195" s="5">
        <v>204</v>
      </c>
      <c r="F195" s="5">
        <f>ROUND(Source!R181,O195)</f>
        <v>209.09</v>
      </c>
      <c r="G195" s="5" t="s">
        <v>125</v>
      </c>
      <c r="H195" s="5" t="s">
        <v>126</v>
      </c>
      <c r="I195" s="5"/>
      <c r="J195" s="5"/>
      <c r="K195" s="5">
        <v>204</v>
      </c>
      <c r="L195" s="5">
        <v>13</v>
      </c>
      <c r="M195" s="5">
        <v>3</v>
      </c>
      <c r="N195" s="5" t="s">
        <v>3</v>
      </c>
      <c r="O195" s="5">
        <v>2</v>
      </c>
      <c r="P195" s="5">
        <f>ROUND(Source!DJ181,O195)</f>
        <v>8068.45</v>
      </c>
      <c r="Q195" s="5"/>
      <c r="R195" s="5"/>
      <c r="S195" s="5"/>
      <c r="T195" s="5"/>
      <c r="U195" s="5"/>
      <c r="V195" s="5"/>
      <c r="W195" s="5">
        <v>209.09</v>
      </c>
      <c r="X195" s="5">
        <v>1</v>
      </c>
      <c r="Y195" s="5">
        <v>209.09</v>
      </c>
      <c r="Z195" s="5">
        <v>8068.45</v>
      </c>
      <c r="AA195" s="5">
        <v>1</v>
      </c>
      <c r="AB195" s="5">
        <v>8068.45</v>
      </c>
    </row>
    <row r="196" spans="1:28" ht="12.75">
      <c r="A196" s="5">
        <v>50</v>
      </c>
      <c r="B196" s="5">
        <v>0</v>
      </c>
      <c r="C196" s="5">
        <v>0</v>
      </c>
      <c r="D196" s="5">
        <v>1</v>
      </c>
      <c r="E196" s="5">
        <v>205</v>
      </c>
      <c r="F196" s="5">
        <f>ROUND(Source!S181,O196)</f>
        <v>6191.24</v>
      </c>
      <c r="G196" s="5" t="s">
        <v>127</v>
      </c>
      <c r="H196" s="5" t="s">
        <v>128</v>
      </c>
      <c r="I196" s="5"/>
      <c r="J196" s="5"/>
      <c r="K196" s="5">
        <v>205</v>
      </c>
      <c r="L196" s="5">
        <v>14</v>
      </c>
      <c r="M196" s="5">
        <v>3</v>
      </c>
      <c r="N196" s="5" t="s">
        <v>3</v>
      </c>
      <c r="O196" s="5">
        <v>2</v>
      </c>
      <c r="P196" s="5">
        <f>ROUND(Source!DK181,O196)</f>
        <v>238919.79</v>
      </c>
      <c r="Q196" s="5"/>
      <c r="R196" s="5"/>
      <c r="S196" s="5"/>
      <c r="T196" s="5"/>
      <c r="U196" s="5"/>
      <c r="V196" s="5"/>
      <c r="W196" s="5">
        <v>6191.240000000001</v>
      </c>
      <c r="X196" s="5">
        <v>1</v>
      </c>
      <c r="Y196" s="5">
        <v>6191.240000000001</v>
      </c>
      <c r="Z196" s="5">
        <v>238919.78999999998</v>
      </c>
      <c r="AA196" s="5">
        <v>1</v>
      </c>
      <c r="AB196" s="5">
        <v>238919.78999999998</v>
      </c>
    </row>
    <row r="197" spans="1:28" ht="12.75">
      <c r="A197" s="5">
        <v>50</v>
      </c>
      <c r="B197" s="5">
        <v>0</v>
      </c>
      <c r="C197" s="5">
        <v>0</v>
      </c>
      <c r="D197" s="5">
        <v>1</v>
      </c>
      <c r="E197" s="5">
        <v>232</v>
      </c>
      <c r="F197" s="5">
        <f>ROUND(Source!BC181,O197)</f>
        <v>0</v>
      </c>
      <c r="G197" s="5" t="s">
        <v>129</v>
      </c>
      <c r="H197" s="5" t="s">
        <v>130</v>
      </c>
      <c r="I197" s="5"/>
      <c r="J197" s="5"/>
      <c r="K197" s="5">
        <v>232</v>
      </c>
      <c r="L197" s="5">
        <v>15</v>
      </c>
      <c r="M197" s="5">
        <v>3</v>
      </c>
      <c r="N197" s="5" t="s">
        <v>3</v>
      </c>
      <c r="O197" s="5">
        <v>2</v>
      </c>
      <c r="P197" s="5">
        <f>ROUND(Source!EU181,O197)</f>
        <v>0</v>
      </c>
      <c r="Q197" s="5"/>
      <c r="R197" s="5"/>
      <c r="S197" s="5"/>
      <c r="T197" s="5"/>
      <c r="U197" s="5"/>
      <c r="V197" s="5"/>
      <c r="W197" s="5">
        <v>0</v>
      </c>
      <c r="X197" s="5">
        <v>1</v>
      </c>
      <c r="Y197" s="5">
        <v>0</v>
      </c>
      <c r="Z197" s="5">
        <v>0</v>
      </c>
      <c r="AA197" s="5">
        <v>1</v>
      </c>
      <c r="AB197" s="5">
        <v>0</v>
      </c>
    </row>
    <row r="198" spans="1:28" ht="12.75">
      <c r="A198" s="5">
        <v>50</v>
      </c>
      <c r="B198" s="5">
        <v>0</v>
      </c>
      <c r="C198" s="5">
        <v>0</v>
      </c>
      <c r="D198" s="5">
        <v>1</v>
      </c>
      <c r="E198" s="5">
        <v>214</v>
      </c>
      <c r="F198" s="5">
        <f>ROUND(Source!AS181,O198)</f>
        <v>28245.53</v>
      </c>
      <c r="G198" s="5" t="s">
        <v>131</v>
      </c>
      <c r="H198" s="5" t="s">
        <v>132</v>
      </c>
      <c r="I198" s="5"/>
      <c r="J198" s="5"/>
      <c r="K198" s="5">
        <v>214</v>
      </c>
      <c r="L198" s="5">
        <v>16</v>
      </c>
      <c r="M198" s="5">
        <v>3</v>
      </c>
      <c r="N198" s="5" t="s">
        <v>3</v>
      </c>
      <c r="O198" s="5">
        <v>2</v>
      </c>
      <c r="P198" s="5">
        <f>ROUND(Source!EK181,O198)</f>
        <v>666660.06</v>
      </c>
      <c r="Q198" s="5"/>
      <c r="R198" s="5"/>
      <c r="S198" s="5"/>
      <c r="T198" s="5"/>
      <c r="U198" s="5"/>
      <c r="V198" s="5"/>
      <c r="W198" s="5">
        <v>28245.53</v>
      </c>
      <c r="X198" s="5">
        <v>1</v>
      </c>
      <c r="Y198" s="5">
        <v>28245.53</v>
      </c>
      <c r="Z198" s="5">
        <v>666660.06</v>
      </c>
      <c r="AA198" s="5">
        <v>1</v>
      </c>
      <c r="AB198" s="5">
        <v>666660.06</v>
      </c>
    </row>
    <row r="199" spans="1:28" ht="12.75">
      <c r="A199" s="5">
        <v>50</v>
      </c>
      <c r="B199" s="5">
        <v>0</v>
      </c>
      <c r="C199" s="5">
        <v>0</v>
      </c>
      <c r="D199" s="5">
        <v>1</v>
      </c>
      <c r="E199" s="5">
        <v>215</v>
      </c>
      <c r="F199" s="5">
        <f>ROUND(Source!AT181,O199)</f>
        <v>0</v>
      </c>
      <c r="G199" s="5" t="s">
        <v>133</v>
      </c>
      <c r="H199" s="5" t="s">
        <v>134</v>
      </c>
      <c r="I199" s="5"/>
      <c r="J199" s="5"/>
      <c r="K199" s="5">
        <v>215</v>
      </c>
      <c r="L199" s="5">
        <v>17</v>
      </c>
      <c r="M199" s="5">
        <v>3</v>
      </c>
      <c r="N199" s="5" t="s">
        <v>3</v>
      </c>
      <c r="O199" s="5">
        <v>2</v>
      </c>
      <c r="P199" s="5">
        <f>ROUND(Source!EL181,O199)</f>
        <v>0</v>
      </c>
      <c r="Q199" s="5"/>
      <c r="R199" s="5"/>
      <c r="S199" s="5"/>
      <c r="T199" s="5"/>
      <c r="U199" s="5"/>
      <c r="V199" s="5"/>
      <c r="W199" s="5">
        <v>0</v>
      </c>
      <c r="X199" s="5">
        <v>1</v>
      </c>
      <c r="Y199" s="5">
        <v>0</v>
      </c>
      <c r="Z199" s="5">
        <v>0</v>
      </c>
      <c r="AA199" s="5">
        <v>1</v>
      </c>
      <c r="AB199" s="5">
        <v>0</v>
      </c>
    </row>
    <row r="200" spans="1:28" ht="12.75">
      <c r="A200" s="5">
        <v>50</v>
      </c>
      <c r="B200" s="5">
        <v>0</v>
      </c>
      <c r="C200" s="5">
        <v>0</v>
      </c>
      <c r="D200" s="5">
        <v>1</v>
      </c>
      <c r="E200" s="5">
        <v>217</v>
      </c>
      <c r="F200" s="5">
        <f>ROUND(Source!AU181,O200)</f>
        <v>0</v>
      </c>
      <c r="G200" s="5" t="s">
        <v>135</v>
      </c>
      <c r="H200" s="5" t="s">
        <v>136</v>
      </c>
      <c r="I200" s="5"/>
      <c r="J200" s="5"/>
      <c r="K200" s="5">
        <v>217</v>
      </c>
      <c r="L200" s="5">
        <v>18</v>
      </c>
      <c r="M200" s="5">
        <v>3</v>
      </c>
      <c r="N200" s="5" t="s">
        <v>3</v>
      </c>
      <c r="O200" s="5">
        <v>2</v>
      </c>
      <c r="P200" s="5">
        <f>ROUND(Source!EM181,O200)</f>
        <v>0</v>
      </c>
      <c r="Q200" s="5"/>
      <c r="R200" s="5"/>
      <c r="S200" s="5"/>
      <c r="T200" s="5"/>
      <c r="U200" s="5"/>
      <c r="V200" s="5"/>
      <c r="W200" s="5">
        <v>0</v>
      </c>
      <c r="X200" s="5">
        <v>1</v>
      </c>
      <c r="Y200" s="5">
        <v>0</v>
      </c>
      <c r="Z200" s="5">
        <v>0</v>
      </c>
      <c r="AA200" s="5">
        <v>1</v>
      </c>
      <c r="AB200" s="5">
        <v>0</v>
      </c>
    </row>
    <row r="201" spans="1:28" ht="12.75">
      <c r="A201" s="5">
        <v>50</v>
      </c>
      <c r="B201" s="5">
        <v>0</v>
      </c>
      <c r="C201" s="5">
        <v>0</v>
      </c>
      <c r="D201" s="5">
        <v>1</v>
      </c>
      <c r="E201" s="5">
        <v>230</v>
      </c>
      <c r="F201" s="5">
        <f>ROUND(Source!BA181,O201)</f>
        <v>0</v>
      </c>
      <c r="G201" s="5" t="s">
        <v>137</v>
      </c>
      <c r="H201" s="5" t="s">
        <v>138</v>
      </c>
      <c r="I201" s="5"/>
      <c r="J201" s="5"/>
      <c r="K201" s="5">
        <v>230</v>
      </c>
      <c r="L201" s="5">
        <v>19</v>
      </c>
      <c r="M201" s="5">
        <v>3</v>
      </c>
      <c r="N201" s="5" t="s">
        <v>3</v>
      </c>
      <c r="O201" s="5">
        <v>2</v>
      </c>
      <c r="P201" s="5">
        <f>ROUND(Source!ES181,O201)</f>
        <v>0</v>
      </c>
      <c r="Q201" s="5"/>
      <c r="R201" s="5"/>
      <c r="S201" s="5"/>
      <c r="T201" s="5"/>
      <c r="U201" s="5"/>
      <c r="V201" s="5"/>
      <c r="W201" s="5">
        <v>0</v>
      </c>
      <c r="X201" s="5">
        <v>1</v>
      </c>
      <c r="Y201" s="5">
        <v>0</v>
      </c>
      <c r="Z201" s="5">
        <v>0</v>
      </c>
      <c r="AA201" s="5">
        <v>1</v>
      </c>
      <c r="AB201" s="5">
        <v>0</v>
      </c>
    </row>
    <row r="202" spans="1:28" ht="12.75">
      <c r="A202" s="5">
        <v>50</v>
      </c>
      <c r="B202" s="5">
        <v>0</v>
      </c>
      <c r="C202" s="5">
        <v>0</v>
      </c>
      <c r="D202" s="5">
        <v>1</v>
      </c>
      <c r="E202" s="5">
        <v>206</v>
      </c>
      <c r="F202" s="5">
        <f>ROUND(Source!T181,O202)</f>
        <v>0</v>
      </c>
      <c r="G202" s="5" t="s">
        <v>139</v>
      </c>
      <c r="H202" s="5" t="s">
        <v>140</v>
      </c>
      <c r="I202" s="5"/>
      <c r="J202" s="5"/>
      <c r="K202" s="5">
        <v>206</v>
      </c>
      <c r="L202" s="5">
        <v>20</v>
      </c>
      <c r="M202" s="5">
        <v>3</v>
      </c>
      <c r="N202" s="5" t="s">
        <v>3</v>
      </c>
      <c r="O202" s="5">
        <v>2</v>
      </c>
      <c r="P202" s="5">
        <f>ROUND(Source!DL181,O202)</f>
        <v>0</v>
      </c>
      <c r="Q202" s="5"/>
      <c r="R202" s="5"/>
      <c r="S202" s="5"/>
      <c r="T202" s="5"/>
      <c r="U202" s="5"/>
      <c r="V202" s="5"/>
      <c r="W202" s="5">
        <v>0</v>
      </c>
      <c r="X202" s="5">
        <v>1</v>
      </c>
      <c r="Y202" s="5">
        <v>0</v>
      </c>
      <c r="Z202" s="5">
        <v>0</v>
      </c>
      <c r="AA202" s="5">
        <v>1</v>
      </c>
      <c r="AB202" s="5">
        <v>0</v>
      </c>
    </row>
    <row r="203" spans="1:28" ht="12.75">
      <c r="A203" s="5">
        <v>50</v>
      </c>
      <c r="B203" s="5">
        <v>0</v>
      </c>
      <c r="C203" s="5">
        <v>0</v>
      </c>
      <c r="D203" s="5">
        <v>1</v>
      </c>
      <c r="E203" s="5">
        <v>207</v>
      </c>
      <c r="F203" s="5">
        <f>Source!U181</f>
        <v>678.594446</v>
      </c>
      <c r="G203" s="5" t="s">
        <v>141</v>
      </c>
      <c r="H203" s="5" t="s">
        <v>142</v>
      </c>
      <c r="I203" s="5"/>
      <c r="J203" s="5"/>
      <c r="K203" s="5">
        <v>207</v>
      </c>
      <c r="L203" s="5">
        <v>21</v>
      </c>
      <c r="M203" s="5">
        <v>3</v>
      </c>
      <c r="N203" s="5" t="s">
        <v>3</v>
      </c>
      <c r="O203" s="5">
        <v>-1</v>
      </c>
      <c r="P203" s="5">
        <f>Source!DM181</f>
        <v>678.594446</v>
      </c>
      <c r="Q203" s="5"/>
      <c r="R203" s="5"/>
      <c r="S203" s="5"/>
      <c r="T203" s="5"/>
      <c r="U203" s="5"/>
      <c r="V203" s="5"/>
      <c r="W203" s="5">
        <v>678.594446</v>
      </c>
      <c r="X203" s="5">
        <v>1</v>
      </c>
      <c r="Y203" s="5">
        <v>678.594446</v>
      </c>
      <c r="Z203" s="5">
        <v>678.594446</v>
      </c>
      <c r="AA203" s="5">
        <v>1</v>
      </c>
      <c r="AB203" s="5">
        <v>678.594446</v>
      </c>
    </row>
    <row r="204" spans="1:28" ht="12.75">
      <c r="A204" s="5">
        <v>50</v>
      </c>
      <c r="B204" s="5">
        <v>0</v>
      </c>
      <c r="C204" s="5">
        <v>0</v>
      </c>
      <c r="D204" s="5">
        <v>1</v>
      </c>
      <c r="E204" s="5">
        <v>208</v>
      </c>
      <c r="F204" s="5">
        <f>Source!V181</f>
        <v>17.580772</v>
      </c>
      <c r="G204" s="5" t="s">
        <v>143</v>
      </c>
      <c r="H204" s="5" t="s">
        <v>144</v>
      </c>
      <c r="I204" s="5"/>
      <c r="J204" s="5"/>
      <c r="K204" s="5">
        <v>208</v>
      </c>
      <c r="L204" s="5">
        <v>22</v>
      </c>
      <c r="M204" s="5">
        <v>3</v>
      </c>
      <c r="N204" s="5" t="s">
        <v>3</v>
      </c>
      <c r="O204" s="5">
        <v>-1</v>
      </c>
      <c r="P204" s="5">
        <f>Source!DN181</f>
        <v>17.580772</v>
      </c>
      <c r="Q204" s="5"/>
      <c r="R204" s="5"/>
      <c r="S204" s="5"/>
      <c r="T204" s="5"/>
      <c r="U204" s="5"/>
      <c r="V204" s="5"/>
      <c r="W204" s="5">
        <v>17.580772</v>
      </c>
      <c r="X204" s="5">
        <v>1</v>
      </c>
      <c r="Y204" s="5">
        <v>17.580772</v>
      </c>
      <c r="Z204" s="5">
        <v>17.580772</v>
      </c>
      <c r="AA204" s="5">
        <v>1</v>
      </c>
      <c r="AB204" s="5">
        <v>17.580772</v>
      </c>
    </row>
    <row r="205" spans="1:28" ht="12.75">
      <c r="A205" s="5">
        <v>50</v>
      </c>
      <c r="B205" s="5">
        <v>0</v>
      </c>
      <c r="C205" s="5">
        <v>0</v>
      </c>
      <c r="D205" s="5">
        <v>1</v>
      </c>
      <c r="E205" s="5">
        <v>209</v>
      </c>
      <c r="F205" s="5">
        <f>ROUND(Source!W181,O205)</f>
        <v>0</v>
      </c>
      <c r="G205" s="5" t="s">
        <v>145</v>
      </c>
      <c r="H205" s="5" t="s">
        <v>146</v>
      </c>
      <c r="I205" s="5"/>
      <c r="J205" s="5"/>
      <c r="K205" s="5">
        <v>209</v>
      </c>
      <c r="L205" s="5">
        <v>23</v>
      </c>
      <c r="M205" s="5">
        <v>3</v>
      </c>
      <c r="N205" s="5" t="s">
        <v>3</v>
      </c>
      <c r="O205" s="5">
        <v>2</v>
      </c>
      <c r="P205" s="5">
        <f>ROUND(Source!DO181,O205)</f>
        <v>0</v>
      </c>
      <c r="Q205" s="5"/>
      <c r="R205" s="5"/>
      <c r="S205" s="5"/>
      <c r="T205" s="5"/>
      <c r="U205" s="5"/>
      <c r="V205" s="5"/>
      <c r="W205" s="5">
        <v>0</v>
      </c>
      <c r="X205" s="5">
        <v>1</v>
      </c>
      <c r="Y205" s="5">
        <v>0</v>
      </c>
      <c r="Z205" s="5">
        <v>0</v>
      </c>
      <c r="AA205" s="5">
        <v>1</v>
      </c>
      <c r="AB205" s="5">
        <v>0</v>
      </c>
    </row>
    <row r="206" spans="1:28" ht="12.75">
      <c r="A206" s="5">
        <v>50</v>
      </c>
      <c r="B206" s="5">
        <v>0</v>
      </c>
      <c r="C206" s="5">
        <v>0</v>
      </c>
      <c r="D206" s="5">
        <v>1</v>
      </c>
      <c r="E206" s="5">
        <v>233</v>
      </c>
      <c r="F206" s="5">
        <f>ROUND(Source!BD181,O206)</f>
        <v>48.22</v>
      </c>
      <c r="G206" s="5" t="s">
        <v>147</v>
      </c>
      <c r="H206" s="5" t="s">
        <v>148</v>
      </c>
      <c r="I206" s="5"/>
      <c r="J206" s="5"/>
      <c r="K206" s="5">
        <v>233</v>
      </c>
      <c r="L206" s="5">
        <v>24</v>
      </c>
      <c r="M206" s="5">
        <v>3</v>
      </c>
      <c r="N206" s="5" t="s">
        <v>3</v>
      </c>
      <c r="O206" s="5">
        <v>2</v>
      </c>
      <c r="P206" s="5">
        <f>ROUND(Source!EV181,O206)</f>
        <v>647.66</v>
      </c>
      <c r="Q206" s="5"/>
      <c r="R206" s="5"/>
      <c r="S206" s="5"/>
      <c r="T206" s="5"/>
      <c r="U206" s="5"/>
      <c r="V206" s="5"/>
      <c r="W206" s="5">
        <v>48.22</v>
      </c>
      <c r="X206" s="5">
        <v>1</v>
      </c>
      <c r="Y206" s="5">
        <v>48.22</v>
      </c>
      <c r="Z206" s="5">
        <v>647.66</v>
      </c>
      <c r="AA206" s="5">
        <v>1</v>
      </c>
      <c r="AB206" s="5">
        <v>647.66</v>
      </c>
    </row>
    <row r="207" spans="1:28" ht="12.75">
      <c r="A207" s="5">
        <v>50</v>
      </c>
      <c r="B207" s="5">
        <v>0</v>
      </c>
      <c r="C207" s="5">
        <v>0</v>
      </c>
      <c r="D207" s="5">
        <v>1</v>
      </c>
      <c r="E207" s="5">
        <v>210</v>
      </c>
      <c r="F207" s="5">
        <f>ROUND(Source!X181,O207)</f>
        <v>5787.67</v>
      </c>
      <c r="G207" s="5" t="s">
        <v>149</v>
      </c>
      <c r="H207" s="5" t="s">
        <v>150</v>
      </c>
      <c r="I207" s="5"/>
      <c r="J207" s="5"/>
      <c r="K207" s="5">
        <v>210</v>
      </c>
      <c r="L207" s="5">
        <v>25</v>
      </c>
      <c r="M207" s="5">
        <v>3</v>
      </c>
      <c r="N207" s="5" t="s">
        <v>3</v>
      </c>
      <c r="O207" s="5">
        <v>2</v>
      </c>
      <c r="P207" s="5">
        <f>ROUND(Source!DP181,O207)</f>
        <v>223345.77</v>
      </c>
      <c r="Q207" s="5"/>
      <c r="R207" s="5"/>
      <c r="S207" s="5"/>
      <c r="T207" s="5"/>
      <c r="U207" s="5"/>
      <c r="V207" s="5"/>
      <c r="W207" s="5">
        <v>5787.67</v>
      </c>
      <c r="X207" s="5">
        <v>1</v>
      </c>
      <c r="Y207" s="5">
        <v>5787.67</v>
      </c>
      <c r="Z207" s="5">
        <v>223345.77</v>
      </c>
      <c r="AA207" s="5">
        <v>1</v>
      </c>
      <c r="AB207" s="5">
        <v>223345.77</v>
      </c>
    </row>
    <row r="208" spans="1:28" ht="12.75">
      <c r="A208" s="5">
        <v>50</v>
      </c>
      <c r="B208" s="5">
        <v>0</v>
      </c>
      <c r="C208" s="5">
        <v>0</v>
      </c>
      <c r="D208" s="5">
        <v>1</v>
      </c>
      <c r="E208" s="5">
        <v>211</v>
      </c>
      <c r="F208" s="5">
        <f>ROUND(Source!Y181,O208)</f>
        <v>2710.3</v>
      </c>
      <c r="G208" s="5" t="s">
        <v>151</v>
      </c>
      <c r="H208" s="5" t="s">
        <v>152</v>
      </c>
      <c r="I208" s="5"/>
      <c r="J208" s="5"/>
      <c r="K208" s="5">
        <v>211</v>
      </c>
      <c r="L208" s="5">
        <v>26</v>
      </c>
      <c r="M208" s="5">
        <v>3</v>
      </c>
      <c r="N208" s="5" t="s">
        <v>3</v>
      </c>
      <c r="O208" s="5">
        <v>2</v>
      </c>
      <c r="P208" s="5">
        <f>ROUND(Source!DQ181,O208)</f>
        <v>104590.57</v>
      </c>
      <c r="Q208" s="5"/>
      <c r="R208" s="5"/>
      <c r="S208" s="5"/>
      <c r="T208" s="5"/>
      <c r="U208" s="5"/>
      <c r="V208" s="5"/>
      <c r="W208" s="5">
        <v>2710.3</v>
      </c>
      <c r="X208" s="5">
        <v>1</v>
      </c>
      <c r="Y208" s="5">
        <v>2710.3</v>
      </c>
      <c r="Z208" s="5">
        <v>104590.57</v>
      </c>
      <c r="AA208" s="5">
        <v>1</v>
      </c>
      <c r="AB208" s="5">
        <v>104590.57</v>
      </c>
    </row>
    <row r="209" spans="1:28" ht="12.75">
      <c r="A209" s="5">
        <v>50</v>
      </c>
      <c r="B209" s="5">
        <v>0</v>
      </c>
      <c r="C209" s="5">
        <v>0</v>
      </c>
      <c r="D209" s="5">
        <v>1</v>
      </c>
      <c r="E209" s="5">
        <v>0</v>
      </c>
      <c r="F209" s="5">
        <f>ROUND(Source!AR181,O209)</f>
        <v>28245.53</v>
      </c>
      <c r="G209" s="5" t="s">
        <v>153</v>
      </c>
      <c r="H209" s="5" t="s">
        <v>154</v>
      </c>
      <c r="I209" s="5"/>
      <c r="J209" s="5"/>
      <c r="K209" s="5">
        <v>224</v>
      </c>
      <c r="L209" s="5">
        <v>27</v>
      </c>
      <c r="M209" s="5">
        <v>3</v>
      </c>
      <c r="N209" s="5" t="s">
        <v>3</v>
      </c>
      <c r="O209" s="5">
        <v>2</v>
      </c>
      <c r="P209" s="5">
        <f>ROUND(Source!EJ181,O209)</f>
        <v>666660.06</v>
      </c>
      <c r="Q209" s="5"/>
      <c r="R209" s="5"/>
      <c r="S209" s="5"/>
      <c r="T209" s="5"/>
      <c r="U209" s="5"/>
      <c r="V209" s="5"/>
      <c r="W209" s="5">
        <v>28245.530000000002</v>
      </c>
      <c r="X209" s="5">
        <v>1</v>
      </c>
      <c r="Y209" s="5">
        <v>28245.530000000002</v>
      </c>
      <c r="Z209" s="5">
        <v>666660.06</v>
      </c>
      <c r="AA209" s="5">
        <v>1</v>
      </c>
      <c r="AB209" s="5">
        <v>666660.06</v>
      </c>
    </row>
    <row r="210" spans="1:28" ht="12.75">
      <c r="A210" s="5">
        <v>50</v>
      </c>
      <c r="B210" s="5">
        <v>0</v>
      </c>
      <c r="C210" s="5">
        <v>0</v>
      </c>
      <c r="D210" s="5">
        <v>2</v>
      </c>
      <c r="E210" s="5">
        <v>0</v>
      </c>
      <c r="F210" s="5">
        <f>ROUND(F187,O210)</f>
        <v>12444.37</v>
      </c>
      <c r="G210" s="5" t="s">
        <v>203</v>
      </c>
      <c r="H210" s="5" t="s">
        <v>203</v>
      </c>
      <c r="I210" s="5"/>
      <c r="J210" s="5"/>
      <c r="K210" s="5">
        <v>212</v>
      </c>
      <c r="L210" s="5">
        <v>28</v>
      </c>
      <c r="M210" s="5">
        <v>3</v>
      </c>
      <c r="N210" s="5" t="s">
        <v>3</v>
      </c>
      <c r="O210" s="5">
        <v>2</v>
      </c>
      <c r="P210" s="5">
        <f>ROUND(P187,O210)</f>
        <v>84870.6</v>
      </c>
      <c r="Q210" s="5"/>
      <c r="R210" s="5"/>
      <c r="S210" s="5"/>
      <c r="T210" s="5"/>
      <c r="U210" s="5"/>
      <c r="V210" s="5"/>
      <c r="W210" s="5">
        <v>12444.37</v>
      </c>
      <c r="X210" s="5">
        <v>1</v>
      </c>
      <c r="Y210" s="5">
        <v>12444.37</v>
      </c>
      <c r="Z210" s="5">
        <v>84870.6</v>
      </c>
      <c r="AA210" s="5">
        <v>1</v>
      </c>
      <c r="AB210" s="5">
        <v>84870.6</v>
      </c>
    </row>
    <row r="211" spans="1:28" ht="12.75">
      <c r="A211" s="5">
        <v>50</v>
      </c>
      <c r="B211" s="5">
        <v>0</v>
      </c>
      <c r="C211" s="5">
        <v>0</v>
      </c>
      <c r="D211" s="5">
        <v>2</v>
      </c>
      <c r="E211" s="5">
        <v>0</v>
      </c>
      <c r="F211" s="5">
        <f>ROUND(F209,O211)</f>
        <v>28245.53</v>
      </c>
      <c r="G211" s="5" t="s">
        <v>204</v>
      </c>
      <c r="H211" s="5" t="s">
        <v>205</v>
      </c>
      <c r="I211" s="5"/>
      <c r="J211" s="5"/>
      <c r="K211" s="5">
        <v>212</v>
      </c>
      <c r="L211" s="5">
        <v>29</v>
      </c>
      <c r="M211" s="5">
        <v>3</v>
      </c>
      <c r="N211" s="5" t="s">
        <v>3</v>
      </c>
      <c r="O211" s="5">
        <v>2</v>
      </c>
      <c r="P211" s="5">
        <f>ROUND(P209,O211)</f>
        <v>666660.06</v>
      </c>
      <c r="Q211" s="5"/>
      <c r="R211" s="5"/>
      <c r="S211" s="5"/>
      <c r="T211" s="5"/>
      <c r="U211" s="5"/>
      <c r="V211" s="5"/>
      <c r="W211" s="5">
        <v>28245.53</v>
      </c>
      <c r="X211" s="5">
        <v>1</v>
      </c>
      <c r="Y211" s="5">
        <v>28245.53</v>
      </c>
      <c r="Z211" s="5">
        <v>666660.06</v>
      </c>
      <c r="AA211" s="5">
        <v>1</v>
      </c>
      <c r="AB211" s="5">
        <v>666660.06</v>
      </c>
    </row>
    <row r="212" spans="1:28" ht="12.75">
      <c r="A212" s="5">
        <v>50</v>
      </c>
      <c r="B212" s="5">
        <v>0</v>
      </c>
      <c r="C212" s="5">
        <v>0</v>
      </c>
      <c r="D212" s="5">
        <v>2</v>
      </c>
      <c r="E212" s="5">
        <v>0</v>
      </c>
      <c r="F212" s="5">
        <f>ROUND(F211*0.2,O212)</f>
        <v>5649.11</v>
      </c>
      <c r="G212" s="5" t="s">
        <v>206</v>
      </c>
      <c r="H212" s="5" t="s">
        <v>207</v>
      </c>
      <c r="I212" s="5"/>
      <c r="J212" s="5"/>
      <c r="K212" s="5">
        <v>212</v>
      </c>
      <c r="L212" s="5">
        <v>32</v>
      </c>
      <c r="M212" s="5">
        <v>3</v>
      </c>
      <c r="N212" s="5" t="s">
        <v>3</v>
      </c>
      <c r="O212" s="5">
        <v>2</v>
      </c>
      <c r="P212" s="5">
        <f>ROUND(P211*0.2,O212)</f>
        <v>133332.01</v>
      </c>
      <c r="Q212" s="5"/>
      <c r="R212" s="5"/>
      <c r="S212" s="5"/>
      <c r="T212" s="5"/>
      <c r="U212" s="5"/>
      <c r="V212" s="5"/>
      <c r="W212" s="5">
        <v>5649.11</v>
      </c>
      <c r="X212" s="5">
        <v>1</v>
      </c>
      <c r="Y212" s="5">
        <v>5649.11</v>
      </c>
      <c r="Z212" s="5">
        <v>133332.01</v>
      </c>
      <c r="AA212" s="5">
        <v>1</v>
      </c>
      <c r="AB212" s="5">
        <v>133332.01</v>
      </c>
    </row>
    <row r="213" spans="1:28" ht="12.75">
      <c r="A213" s="5">
        <v>50</v>
      </c>
      <c r="B213" s="5">
        <v>0</v>
      </c>
      <c r="C213" s="5">
        <v>0</v>
      </c>
      <c r="D213" s="5">
        <v>2</v>
      </c>
      <c r="E213" s="5">
        <v>213</v>
      </c>
      <c r="F213" s="5">
        <f>ROUND(F211+F212,O213)</f>
        <v>33894.64</v>
      </c>
      <c r="G213" s="5" t="s">
        <v>208</v>
      </c>
      <c r="H213" s="5" t="s">
        <v>209</v>
      </c>
      <c r="I213" s="5"/>
      <c r="J213" s="5"/>
      <c r="K213" s="5">
        <v>212</v>
      </c>
      <c r="L213" s="5">
        <v>33</v>
      </c>
      <c r="M213" s="5">
        <v>3</v>
      </c>
      <c r="N213" s="5" t="s">
        <v>3</v>
      </c>
      <c r="O213" s="5">
        <v>2</v>
      </c>
      <c r="P213" s="5">
        <f>ROUND(P211+P212,O213)</f>
        <v>799992.07</v>
      </c>
      <c r="Q213" s="5"/>
      <c r="R213" s="5"/>
      <c r="S213" s="5"/>
      <c r="T213" s="5"/>
      <c r="U213" s="5"/>
      <c r="V213" s="5"/>
      <c r="W213" s="5">
        <v>33894.64</v>
      </c>
      <c r="X213" s="5">
        <v>1</v>
      </c>
      <c r="Y213" s="5">
        <v>33894.64</v>
      </c>
      <c r="Z213" s="5">
        <v>799992.07</v>
      </c>
      <c r="AA213" s="5">
        <v>1</v>
      </c>
      <c r="AB213" s="5">
        <v>799992.07</v>
      </c>
    </row>
    <row r="215" spans="1:206" ht="12.75">
      <c r="A215" s="3">
        <v>51</v>
      </c>
      <c r="B215" s="3">
        <f>B12</f>
        <v>279</v>
      </c>
      <c r="C215" s="3">
        <f>A12</f>
        <v>1</v>
      </c>
      <c r="D215" s="3">
        <f>ROW(A12)</f>
        <v>12</v>
      </c>
      <c r="E215" s="3"/>
      <c r="F215" s="3">
        <f>IF(F12&lt;&gt;"",F12,"")</f>
      </c>
      <c r="G215" s="3" t="str">
        <f>IF(G12&lt;&gt;"",G12,"")</f>
        <v>Ремонт коридора 6 эт. строения 1 (ЛПК)</v>
      </c>
      <c r="H215" s="3">
        <v>0</v>
      </c>
      <c r="I215" s="3"/>
      <c r="J215" s="3"/>
      <c r="K215" s="3"/>
      <c r="L215" s="3"/>
      <c r="M215" s="3"/>
      <c r="N215" s="3"/>
      <c r="O215" s="3">
        <f aca="true" t="shared" si="158" ref="O215:T215">ROUND(O181,2)</f>
        <v>19699.34</v>
      </c>
      <c r="P215" s="3">
        <f t="shared" si="158"/>
        <v>12444.37</v>
      </c>
      <c r="Q215" s="3">
        <f t="shared" si="158"/>
        <v>1063.73</v>
      </c>
      <c r="R215" s="3">
        <f t="shared" si="158"/>
        <v>209.09</v>
      </c>
      <c r="S215" s="3">
        <f t="shared" si="158"/>
        <v>6191.24</v>
      </c>
      <c r="T215" s="3">
        <f t="shared" si="158"/>
        <v>0</v>
      </c>
      <c r="U215" s="3">
        <f>U181</f>
        <v>678.594446</v>
      </c>
      <c r="V215" s="3">
        <f>V181</f>
        <v>17.580772</v>
      </c>
      <c r="W215" s="3">
        <f>ROUND(W181,2)</f>
        <v>0</v>
      </c>
      <c r="X215" s="3">
        <f>ROUND(X181,2)</f>
        <v>5787.67</v>
      </c>
      <c r="Y215" s="3">
        <f>ROUND(Y181,2)</f>
        <v>2710.3</v>
      </c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>
        <f aca="true" t="shared" si="159" ref="AO215:BD215">ROUND(AO181,2)</f>
        <v>0</v>
      </c>
      <c r="AP215" s="3">
        <f t="shared" si="159"/>
        <v>0</v>
      </c>
      <c r="AQ215" s="3">
        <f t="shared" si="159"/>
        <v>0</v>
      </c>
      <c r="AR215" s="3">
        <f t="shared" si="159"/>
        <v>28245.53</v>
      </c>
      <c r="AS215" s="3">
        <f t="shared" si="159"/>
        <v>28245.53</v>
      </c>
      <c r="AT215" s="3">
        <f t="shared" si="159"/>
        <v>0</v>
      </c>
      <c r="AU215" s="3">
        <f t="shared" si="159"/>
        <v>0</v>
      </c>
      <c r="AV215" s="3">
        <f t="shared" si="159"/>
        <v>12444.37</v>
      </c>
      <c r="AW215" s="3">
        <f t="shared" si="159"/>
        <v>12444.37</v>
      </c>
      <c r="AX215" s="3">
        <f t="shared" si="159"/>
        <v>0</v>
      </c>
      <c r="AY215" s="3">
        <f t="shared" si="159"/>
        <v>12444.37</v>
      </c>
      <c r="AZ215" s="3">
        <f t="shared" si="159"/>
        <v>0</v>
      </c>
      <c r="BA215" s="3">
        <f t="shared" si="159"/>
        <v>0</v>
      </c>
      <c r="BB215" s="3">
        <f t="shared" si="159"/>
        <v>0</v>
      </c>
      <c r="BC215" s="3">
        <f t="shared" si="159"/>
        <v>0</v>
      </c>
      <c r="BD215" s="3">
        <f t="shared" si="159"/>
        <v>48.22</v>
      </c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4">
        <f aca="true" t="shared" si="160" ref="DG215:DL215">ROUND(DG181,2)</f>
        <v>338076.06</v>
      </c>
      <c r="DH215" s="4">
        <f t="shared" si="160"/>
        <v>84870.6</v>
      </c>
      <c r="DI215" s="4">
        <f t="shared" si="160"/>
        <v>14285.67</v>
      </c>
      <c r="DJ215" s="4">
        <f t="shared" si="160"/>
        <v>8068.45</v>
      </c>
      <c r="DK215" s="4">
        <f t="shared" si="160"/>
        <v>238919.79</v>
      </c>
      <c r="DL215" s="4">
        <f t="shared" si="160"/>
        <v>0</v>
      </c>
      <c r="DM215" s="4">
        <f>DM181</f>
        <v>678.594446</v>
      </c>
      <c r="DN215" s="4">
        <f>DN181</f>
        <v>17.580772</v>
      </c>
      <c r="DO215" s="4">
        <f>ROUND(DO181,2)</f>
        <v>0</v>
      </c>
      <c r="DP215" s="4">
        <f>ROUND(DP181,2)</f>
        <v>223345.77</v>
      </c>
      <c r="DQ215" s="4">
        <f>ROUND(DQ181,2)</f>
        <v>104590.57</v>
      </c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>
        <f aca="true" t="shared" si="161" ref="EG215:EV215">ROUND(EG181,2)</f>
        <v>0</v>
      </c>
      <c r="EH215" s="4">
        <f t="shared" si="161"/>
        <v>0</v>
      </c>
      <c r="EI215" s="4">
        <f t="shared" si="161"/>
        <v>0</v>
      </c>
      <c r="EJ215" s="4">
        <f t="shared" si="161"/>
        <v>666660.06</v>
      </c>
      <c r="EK215" s="4">
        <f t="shared" si="161"/>
        <v>666660.06</v>
      </c>
      <c r="EL215" s="4">
        <f t="shared" si="161"/>
        <v>0</v>
      </c>
      <c r="EM215" s="4">
        <f t="shared" si="161"/>
        <v>0</v>
      </c>
      <c r="EN215" s="4">
        <f t="shared" si="161"/>
        <v>84870.6</v>
      </c>
      <c r="EO215" s="4">
        <f t="shared" si="161"/>
        <v>84870.6</v>
      </c>
      <c r="EP215" s="4">
        <f t="shared" si="161"/>
        <v>0</v>
      </c>
      <c r="EQ215" s="4">
        <f t="shared" si="161"/>
        <v>84870.6</v>
      </c>
      <c r="ER215" s="4">
        <f t="shared" si="161"/>
        <v>0</v>
      </c>
      <c r="ES215" s="4">
        <f t="shared" si="161"/>
        <v>0</v>
      </c>
      <c r="ET215" s="4">
        <f t="shared" si="161"/>
        <v>0</v>
      </c>
      <c r="EU215" s="4">
        <f t="shared" si="161"/>
        <v>0</v>
      </c>
      <c r="EV215" s="4">
        <f t="shared" si="161"/>
        <v>647.66</v>
      </c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>
        <v>0</v>
      </c>
    </row>
    <row r="217" spans="1:28" ht="12.75">
      <c r="A217" s="5">
        <v>50</v>
      </c>
      <c r="B217" s="5">
        <v>0</v>
      </c>
      <c r="C217" s="5">
        <v>0</v>
      </c>
      <c r="D217" s="5">
        <v>1</v>
      </c>
      <c r="E217" s="5">
        <v>201</v>
      </c>
      <c r="F217" s="5">
        <f>ROUND(Source!O215,O217)</f>
        <v>19699.34</v>
      </c>
      <c r="G217" s="5" t="s">
        <v>101</v>
      </c>
      <c r="H217" s="5" t="s">
        <v>102</v>
      </c>
      <c r="I217" s="5"/>
      <c r="J217" s="5"/>
      <c r="K217" s="5">
        <v>201</v>
      </c>
      <c r="L217" s="5">
        <v>1</v>
      </c>
      <c r="M217" s="5">
        <v>3</v>
      </c>
      <c r="N217" s="5" t="s">
        <v>3</v>
      </c>
      <c r="O217" s="5">
        <v>2</v>
      </c>
      <c r="P217" s="5">
        <f>ROUND(Source!DG215,O217)</f>
        <v>338076.06</v>
      </c>
      <c r="Q217" s="5"/>
      <c r="R217" s="5"/>
      <c r="S217" s="5"/>
      <c r="T217" s="5"/>
      <c r="U217" s="5"/>
      <c r="V217" s="5"/>
      <c r="W217" s="5">
        <v>19747.56</v>
      </c>
      <c r="X217" s="5">
        <v>1</v>
      </c>
      <c r="Y217" s="5">
        <v>19747.56</v>
      </c>
      <c r="Z217" s="5">
        <v>338723.72</v>
      </c>
      <c r="AA217" s="5">
        <v>1</v>
      </c>
      <c r="AB217" s="5">
        <v>338723.72</v>
      </c>
    </row>
    <row r="218" spans="1:28" ht="12.75">
      <c r="A218" s="5">
        <v>50</v>
      </c>
      <c r="B218" s="5">
        <v>0</v>
      </c>
      <c r="C218" s="5">
        <v>0</v>
      </c>
      <c r="D218" s="5">
        <v>1</v>
      </c>
      <c r="E218" s="5">
        <v>202</v>
      </c>
      <c r="F218" s="5">
        <f>ROUND(Source!P215,O218)</f>
        <v>12444.37</v>
      </c>
      <c r="G218" s="5" t="s">
        <v>103</v>
      </c>
      <c r="H218" s="5" t="s">
        <v>104</v>
      </c>
      <c r="I218" s="5"/>
      <c r="J218" s="5"/>
      <c r="K218" s="5">
        <v>202</v>
      </c>
      <c r="L218" s="5">
        <v>2</v>
      </c>
      <c r="M218" s="5">
        <v>3</v>
      </c>
      <c r="N218" s="5" t="s">
        <v>3</v>
      </c>
      <c r="O218" s="5">
        <v>2</v>
      </c>
      <c r="P218" s="5">
        <f>ROUND(Source!DH215,O218)</f>
        <v>84870.6</v>
      </c>
      <c r="Q218" s="5"/>
      <c r="R218" s="5"/>
      <c r="S218" s="5"/>
      <c r="T218" s="5"/>
      <c r="U218" s="5"/>
      <c r="V218" s="5"/>
      <c r="W218" s="5">
        <v>12444.37</v>
      </c>
      <c r="X218" s="5">
        <v>1</v>
      </c>
      <c r="Y218" s="5">
        <v>12444.37</v>
      </c>
      <c r="Z218" s="5">
        <v>84870.6</v>
      </c>
      <c r="AA218" s="5">
        <v>1</v>
      </c>
      <c r="AB218" s="5">
        <v>84870.6</v>
      </c>
    </row>
    <row r="219" spans="1:28" ht="12.75">
      <c r="A219" s="5">
        <v>50</v>
      </c>
      <c r="B219" s="5">
        <v>0</v>
      </c>
      <c r="C219" s="5">
        <v>0</v>
      </c>
      <c r="D219" s="5">
        <v>1</v>
      </c>
      <c r="E219" s="5">
        <v>222</v>
      </c>
      <c r="F219" s="5">
        <f>ROUND(Source!AO215,O219)</f>
        <v>0</v>
      </c>
      <c r="G219" s="5" t="s">
        <v>105</v>
      </c>
      <c r="H219" s="5" t="s">
        <v>106</v>
      </c>
      <c r="I219" s="5"/>
      <c r="J219" s="5"/>
      <c r="K219" s="5">
        <v>222</v>
      </c>
      <c r="L219" s="5">
        <v>3</v>
      </c>
      <c r="M219" s="5">
        <v>3</v>
      </c>
      <c r="N219" s="5" t="s">
        <v>3</v>
      </c>
      <c r="O219" s="5">
        <v>2</v>
      </c>
      <c r="P219" s="5">
        <f>ROUND(Source!EG215,O219)</f>
        <v>0</v>
      </c>
      <c r="Q219" s="5"/>
      <c r="R219" s="5"/>
      <c r="S219" s="5"/>
      <c r="T219" s="5"/>
      <c r="U219" s="5"/>
      <c r="V219" s="5"/>
      <c r="W219" s="5">
        <v>0</v>
      </c>
      <c r="X219" s="5">
        <v>1</v>
      </c>
      <c r="Y219" s="5">
        <v>0</v>
      </c>
      <c r="Z219" s="5">
        <v>0</v>
      </c>
      <c r="AA219" s="5">
        <v>1</v>
      </c>
      <c r="AB219" s="5">
        <v>0</v>
      </c>
    </row>
    <row r="220" spans="1:28" ht="12.75">
      <c r="A220" s="5">
        <v>50</v>
      </c>
      <c r="B220" s="5">
        <v>0</v>
      </c>
      <c r="C220" s="5">
        <v>0</v>
      </c>
      <c r="D220" s="5">
        <v>1</v>
      </c>
      <c r="E220" s="5">
        <v>225</v>
      </c>
      <c r="F220" s="5">
        <f>ROUND(Source!AV215,O220)</f>
        <v>12444.37</v>
      </c>
      <c r="G220" s="5" t="s">
        <v>107</v>
      </c>
      <c r="H220" s="5" t="s">
        <v>108</v>
      </c>
      <c r="I220" s="5"/>
      <c r="J220" s="5"/>
      <c r="K220" s="5">
        <v>225</v>
      </c>
      <c r="L220" s="5">
        <v>4</v>
      </c>
      <c r="M220" s="5">
        <v>3</v>
      </c>
      <c r="N220" s="5" t="s">
        <v>3</v>
      </c>
      <c r="O220" s="5">
        <v>2</v>
      </c>
      <c r="P220" s="5">
        <f>ROUND(Source!EN215,O220)</f>
        <v>84870.6</v>
      </c>
      <c r="Q220" s="5"/>
      <c r="R220" s="5"/>
      <c r="S220" s="5"/>
      <c r="T220" s="5"/>
      <c r="U220" s="5"/>
      <c r="V220" s="5"/>
      <c r="W220" s="5">
        <v>12444.37</v>
      </c>
      <c r="X220" s="5">
        <v>1</v>
      </c>
      <c r="Y220" s="5">
        <v>12444.37</v>
      </c>
      <c r="Z220" s="5">
        <v>84870.6</v>
      </c>
      <c r="AA220" s="5">
        <v>1</v>
      </c>
      <c r="AB220" s="5">
        <v>84870.6</v>
      </c>
    </row>
    <row r="221" spans="1:28" ht="12.75">
      <c r="A221" s="5">
        <v>50</v>
      </c>
      <c r="B221" s="5">
        <v>0</v>
      </c>
      <c r="C221" s="5">
        <v>0</v>
      </c>
      <c r="D221" s="5">
        <v>1</v>
      </c>
      <c r="E221" s="5">
        <v>226</v>
      </c>
      <c r="F221" s="5">
        <f>ROUND(Source!AW215,O221)</f>
        <v>12444.37</v>
      </c>
      <c r="G221" s="5" t="s">
        <v>109</v>
      </c>
      <c r="H221" s="5" t="s">
        <v>110</v>
      </c>
      <c r="I221" s="5"/>
      <c r="J221" s="5"/>
      <c r="K221" s="5">
        <v>226</v>
      </c>
      <c r="L221" s="5">
        <v>5</v>
      </c>
      <c r="M221" s="5">
        <v>3</v>
      </c>
      <c r="N221" s="5" t="s">
        <v>3</v>
      </c>
      <c r="O221" s="5">
        <v>2</v>
      </c>
      <c r="P221" s="5">
        <f>ROUND(Source!EO215,O221)</f>
        <v>84870.6</v>
      </c>
      <c r="Q221" s="5"/>
      <c r="R221" s="5"/>
      <c r="S221" s="5"/>
      <c r="T221" s="5"/>
      <c r="U221" s="5"/>
      <c r="V221" s="5"/>
      <c r="W221" s="5">
        <v>12444.37</v>
      </c>
      <c r="X221" s="5">
        <v>1</v>
      </c>
      <c r="Y221" s="5">
        <v>12444.37</v>
      </c>
      <c r="Z221" s="5">
        <v>84870.6</v>
      </c>
      <c r="AA221" s="5">
        <v>1</v>
      </c>
      <c r="AB221" s="5">
        <v>84870.6</v>
      </c>
    </row>
    <row r="222" spans="1:28" ht="12.75">
      <c r="A222" s="5">
        <v>50</v>
      </c>
      <c r="B222" s="5">
        <v>0</v>
      </c>
      <c r="C222" s="5">
        <v>0</v>
      </c>
      <c r="D222" s="5">
        <v>1</v>
      </c>
      <c r="E222" s="5">
        <v>227</v>
      </c>
      <c r="F222" s="5">
        <f>ROUND(Source!AX215,O222)</f>
        <v>0</v>
      </c>
      <c r="G222" s="5" t="s">
        <v>111</v>
      </c>
      <c r="H222" s="5" t="s">
        <v>112</v>
      </c>
      <c r="I222" s="5"/>
      <c r="J222" s="5"/>
      <c r="K222" s="5">
        <v>227</v>
      </c>
      <c r="L222" s="5">
        <v>6</v>
      </c>
      <c r="M222" s="5">
        <v>3</v>
      </c>
      <c r="N222" s="5" t="s">
        <v>3</v>
      </c>
      <c r="O222" s="5">
        <v>2</v>
      </c>
      <c r="P222" s="5">
        <f>ROUND(Source!EP215,O222)</f>
        <v>0</v>
      </c>
      <c r="Q222" s="5"/>
      <c r="R222" s="5"/>
      <c r="S222" s="5"/>
      <c r="T222" s="5"/>
      <c r="U222" s="5"/>
      <c r="V222" s="5"/>
      <c r="W222" s="5">
        <v>0</v>
      </c>
      <c r="X222" s="5">
        <v>1</v>
      </c>
      <c r="Y222" s="5">
        <v>0</v>
      </c>
      <c r="Z222" s="5">
        <v>0</v>
      </c>
      <c r="AA222" s="5">
        <v>1</v>
      </c>
      <c r="AB222" s="5">
        <v>0</v>
      </c>
    </row>
    <row r="223" spans="1:28" ht="12.75">
      <c r="A223" s="5">
        <v>50</v>
      </c>
      <c r="B223" s="5">
        <v>1</v>
      </c>
      <c r="C223" s="5">
        <v>0</v>
      </c>
      <c r="D223" s="5">
        <v>1</v>
      </c>
      <c r="E223" s="5">
        <v>228</v>
      </c>
      <c r="F223" s="5">
        <f>ROUND(Source!AY215,O223)</f>
        <v>12444.37</v>
      </c>
      <c r="G223" s="5" t="s">
        <v>113</v>
      </c>
      <c r="H223" s="5" t="s">
        <v>114</v>
      </c>
      <c r="I223" s="5"/>
      <c r="J223" s="5"/>
      <c r="K223" s="5">
        <v>228</v>
      </c>
      <c r="L223" s="5">
        <v>7</v>
      </c>
      <c r="M223" s="5">
        <v>0</v>
      </c>
      <c r="N223" s="5" t="s">
        <v>3</v>
      </c>
      <c r="O223" s="5">
        <v>2</v>
      </c>
      <c r="P223" s="5">
        <f>ROUND(Source!EQ215,O223)</f>
        <v>84870.6</v>
      </c>
      <c r="Q223" s="5"/>
      <c r="R223" s="5"/>
      <c r="S223" s="5"/>
      <c r="T223" s="5"/>
      <c r="U223" s="5"/>
      <c r="V223" s="5"/>
      <c r="W223" s="5">
        <v>12444.37</v>
      </c>
      <c r="X223" s="5">
        <v>1</v>
      </c>
      <c r="Y223" s="5">
        <v>12444.37</v>
      </c>
      <c r="Z223" s="5">
        <v>84870.6</v>
      </c>
      <c r="AA223" s="5">
        <v>1</v>
      </c>
      <c r="AB223" s="5">
        <v>84870.6</v>
      </c>
    </row>
    <row r="224" spans="1:28" ht="12.75">
      <c r="A224" s="5">
        <v>50</v>
      </c>
      <c r="B224" s="5">
        <v>0</v>
      </c>
      <c r="C224" s="5">
        <v>0</v>
      </c>
      <c r="D224" s="5">
        <v>1</v>
      </c>
      <c r="E224" s="5">
        <v>216</v>
      </c>
      <c r="F224" s="5">
        <f>ROUND(Source!AP215,O224)</f>
        <v>0</v>
      </c>
      <c r="G224" s="5" t="s">
        <v>115</v>
      </c>
      <c r="H224" s="5" t="s">
        <v>116</v>
      </c>
      <c r="I224" s="5"/>
      <c r="J224" s="5"/>
      <c r="K224" s="5">
        <v>216</v>
      </c>
      <c r="L224" s="5">
        <v>8</v>
      </c>
      <c r="M224" s="5">
        <v>3</v>
      </c>
      <c r="N224" s="5" t="s">
        <v>3</v>
      </c>
      <c r="O224" s="5">
        <v>2</v>
      </c>
      <c r="P224" s="5">
        <f>ROUND(Source!EH215,O224)</f>
        <v>0</v>
      </c>
      <c r="Q224" s="5"/>
      <c r="R224" s="5"/>
      <c r="S224" s="5"/>
      <c r="T224" s="5"/>
      <c r="U224" s="5"/>
      <c r="V224" s="5"/>
      <c r="W224" s="5">
        <v>0</v>
      </c>
      <c r="X224" s="5">
        <v>1</v>
      </c>
      <c r="Y224" s="5">
        <v>0</v>
      </c>
      <c r="Z224" s="5">
        <v>0</v>
      </c>
      <c r="AA224" s="5">
        <v>1</v>
      </c>
      <c r="AB224" s="5">
        <v>0</v>
      </c>
    </row>
    <row r="225" spans="1:28" ht="12.75">
      <c r="A225" s="5">
        <v>50</v>
      </c>
      <c r="B225" s="5">
        <v>0</v>
      </c>
      <c r="C225" s="5">
        <v>0</v>
      </c>
      <c r="D225" s="5">
        <v>1</v>
      </c>
      <c r="E225" s="5">
        <v>223</v>
      </c>
      <c r="F225" s="5">
        <f>ROUND(Source!AQ215,O225)</f>
        <v>0</v>
      </c>
      <c r="G225" s="5" t="s">
        <v>117</v>
      </c>
      <c r="H225" s="5" t="s">
        <v>118</v>
      </c>
      <c r="I225" s="5"/>
      <c r="J225" s="5"/>
      <c r="K225" s="5">
        <v>223</v>
      </c>
      <c r="L225" s="5">
        <v>9</v>
      </c>
      <c r="M225" s="5">
        <v>3</v>
      </c>
      <c r="N225" s="5" t="s">
        <v>3</v>
      </c>
      <c r="O225" s="5">
        <v>2</v>
      </c>
      <c r="P225" s="5">
        <f>ROUND(Source!EI215,O225)</f>
        <v>0</v>
      </c>
      <c r="Q225" s="5"/>
      <c r="R225" s="5"/>
      <c r="S225" s="5"/>
      <c r="T225" s="5"/>
      <c r="U225" s="5"/>
      <c r="V225" s="5"/>
      <c r="W225" s="5">
        <v>0</v>
      </c>
      <c r="X225" s="5">
        <v>1</v>
      </c>
      <c r="Y225" s="5">
        <v>0</v>
      </c>
      <c r="Z225" s="5">
        <v>0</v>
      </c>
      <c r="AA225" s="5">
        <v>1</v>
      </c>
      <c r="AB225" s="5">
        <v>0</v>
      </c>
    </row>
    <row r="226" spans="1:28" ht="12.75">
      <c r="A226" s="5">
        <v>50</v>
      </c>
      <c r="B226" s="5">
        <v>0</v>
      </c>
      <c r="C226" s="5">
        <v>0</v>
      </c>
      <c r="D226" s="5">
        <v>1</v>
      </c>
      <c r="E226" s="5">
        <v>229</v>
      </c>
      <c r="F226" s="5">
        <f>ROUND(Source!AZ215,O226)</f>
        <v>0</v>
      </c>
      <c r="G226" s="5" t="s">
        <v>119</v>
      </c>
      <c r="H226" s="5" t="s">
        <v>120</v>
      </c>
      <c r="I226" s="5"/>
      <c r="J226" s="5"/>
      <c r="K226" s="5">
        <v>229</v>
      </c>
      <c r="L226" s="5">
        <v>10</v>
      </c>
      <c r="M226" s="5">
        <v>3</v>
      </c>
      <c r="N226" s="5" t="s">
        <v>3</v>
      </c>
      <c r="O226" s="5">
        <v>2</v>
      </c>
      <c r="P226" s="5">
        <f>ROUND(Source!ER215,O226)</f>
        <v>0</v>
      </c>
      <c r="Q226" s="5"/>
      <c r="R226" s="5"/>
      <c r="S226" s="5"/>
      <c r="T226" s="5"/>
      <c r="U226" s="5"/>
      <c r="V226" s="5"/>
      <c r="W226" s="5">
        <v>0</v>
      </c>
      <c r="X226" s="5">
        <v>1</v>
      </c>
      <c r="Y226" s="5">
        <v>0</v>
      </c>
      <c r="Z226" s="5">
        <v>0</v>
      </c>
      <c r="AA226" s="5">
        <v>1</v>
      </c>
      <c r="AB226" s="5">
        <v>0</v>
      </c>
    </row>
    <row r="227" spans="1:28" ht="12.75">
      <c r="A227" s="5">
        <v>50</v>
      </c>
      <c r="B227" s="5">
        <v>0</v>
      </c>
      <c r="C227" s="5">
        <v>0</v>
      </c>
      <c r="D227" s="5">
        <v>1</v>
      </c>
      <c r="E227" s="5">
        <v>203</v>
      </c>
      <c r="F227" s="5">
        <f>ROUND(Source!Q215,O227)</f>
        <v>1063.73</v>
      </c>
      <c r="G227" s="5" t="s">
        <v>121</v>
      </c>
      <c r="H227" s="5" t="s">
        <v>122</v>
      </c>
      <c r="I227" s="5"/>
      <c r="J227" s="5"/>
      <c r="K227" s="5">
        <v>203</v>
      </c>
      <c r="L227" s="5">
        <v>11</v>
      </c>
      <c r="M227" s="5">
        <v>3</v>
      </c>
      <c r="N227" s="5" t="s">
        <v>3</v>
      </c>
      <c r="O227" s="5">
        <v>2</v>
      </c>
      <c r="P227" s="5">
        <f>ROUND(Source!DI215,O227)</f>
        <v>14285.67</v>
      </c>
      <c r="Q227" s="5"/>
      <c r="R227" s="5"/>
      <c r="S227" s="5"/>
      <c r="T227" s="5"/>
      <c r="U227" s="5"/>
      <c r="V227" s="5"/>
      <c r="W227" s="5">
        <v>1063.7299999999998</v>
      </c>
      <c r="X227" s="5">
        <v>1</v>
      </c>
      <c r="Y227" s="5">
        <v>1063.7299999999998</v>
      </c>
      <c r="Z227" s="5">
        <v>14285.67</v>
      </c>
      <c r="AA227" s="5">
        <v>1</v>
      </c>
      <c r="AB227" s="5">
        <v>14285.67</v>
      </c>
    </row>
    <row r="228" spans="1:28" ht="12.75">
      <c r="A228" s="5">
        <v>50</v>
      </c>
      <c r="B228" s="5">
        <v>0</v>
      </c>
      <c r="C228" s="5">
        <v>0</v>
      </c>
      <c r="D228" s="5">
        <v>1</v>
      </c>
      <c r="E228" s="5">
        <v>231</v>
      </c>
      <c r="F228" s="5">
        <f>ROUND(Source!BB215,O228)</f>
        <v>0</v>
      </c>
      <c r="G228" s="5" t="s">
        <v>123</v>
      </c>
      <c r="H228" s="5" t="s">
        <v>124</v>
      </c>
      <c r="I228" s="5"/>
      <c r="J228" s="5"/>
      <c r="K228" s="5">
        <v>231</v>
      </c>
      <c r="L228" s="5">
        <v>12</v>
      </c>
      <c r="M228" s="5">
        <v>3</v>
      </c>
      <c r="N228" s="5" t="s">
        <v>3</v>
      </c>
      <c r="O228" s="5">
        <v>2</v>
      </c>
      <c r="P228" s="5">
        <f>ROUND(Source!ET215,O228)</f>
        <v>0</v>
      </c>
      <c r="Q228" s="5"/>
      <c r="R228" s="5"/>
      <c r="S228" s="5"/>
      <c r="T228" s="5"/>
      <c r="U228" s="5"/>
      <c r="V228" s="5"/>
      <c r="W228" s="5">
        <v>0</v>
      </c>
      <c r="X228" s="5">
        <v>1</v>
      </c>
      <c r="Y228" s="5">
        <v>0</v>
      </c>
      <c r="Z228" s="5">
        <v>0</v>
      </c>
      <c r="AA228" s="5">
        <v>1</v>
      </c>
      <c r="AB228" s="5">
        <v>0</v>
      </c>
    </row>
    <row r="229" spans="1:28" ht="12.75">
      <c r="A229" s="5">
        <v>50</v>
      </c>
      <c r="B229" s="5">
        <v>0</v>
      </c>
      <c r="C229" s="5">
        <v>0</v>
      </c>
      <c r="D229" s="5">
        <v>1</v>
      </c>
      <c r="E229" s="5">
        <v>204</v>
      </c>
      <c r="F229" s="5">
        <f>ROUND(Source!R215,O229)</f>
        <v>209.09</v>
      </c>
      <c r="G229" s="5" t="s">
        <v>125</v>
      </c>
      <c r="H229" s="5" t="s">
        <v>126</v>
      </c>
      <c r="I229" s="5"/>
      <c r="J229" s="5"/>
      <c r="K229" s="5">
        <v>204</v>
      </c>
      <c r="L229" s="5">
        <v>13</v>
      </c>
      <c r="M229" s="5">
        <v>3</v>
      </c>
      <c r="N229" s="5" t="s">
        <v>3</v>
      </c>
      <c r="O229" s="5">
        <v>2</v>
      </c>
      <c r="P229" s="5">
        <f>ROUND(Source!DJ215,O229)</f>
        <v>8068.45</v>
      </c>
      <c r="Q229" s="5"/>
      <c r="R229" s="5"/>
      <c r="S229" s="5"/>
      <c r="T229" s="5"/>
      <c r="U229" s="5"/>
      <c r="V229" s="5"/>
      <c r="W229" s="5">
        <v>209.09</v>
      </c>
      <c r="X229" s="5">
        <v>1</v>
      </c>
      <c r="Y229" s="5">
        <v>209.09</v>
      </c>
      <c r="Z229" s="5">
        <v>8068.450000000001</v>
      </c>
      <c r="AA229" s="5">
        <v>1</v>
      </c>
      <c r="AB229" s="5">
        <v>8068.450000000001</v>
      </c>
    </row>
    <row r="230" spans="1:28" ht="12.75">
      <c r="A230" s="5">
        <v>50</v>
      </c>
      <c r="B230" s="5">
        <v>0</v>
      </c>
      <c r="C230" s="5">
        <v>0</v>
      </c>
      <c r="D230" s="5">
        <v>1</v>
      </c>
      <c r="E230" s="5">
        <v>205</v>
      </c>
      <c r="F230" s="5">
        <f>ROUND(Source!S215,O230)</f>
        <v>6191.24</v>
      </c>
      <c r="G230" s="5" t="s">
        <v>127</v>
      </c>
      <c r="H230" s="5" t="s">
        <v>128</v>
      </c>
      <c r="I230" s="5"/>
      <c r="J230" s="5"/>
      <c r="K230" s="5">
        <v>205</v>
      </c>
      <c r="L230" s="5">
        <v>14</v>
      </c>
      <c r="M230" s="5">
        <v>3</v>
      </c>
      <c r="N230" s="5" t="s">
        <v>3</v>
      </c>
      <c r="O230" s="5">
        <v>2</v>
      </c>
      <c r="P230" s="5">
        <f>ROUND(Source!DK215,O230)</f>
        <v>238919.79</v>
      </c>
      <c r="Q230" s="5"/>
      <c r="R230" s="5"/>
      <c r="S230" s="5"/>
      <c r="T230" s="5"/>
      <c r="U230" s="5"/>
      <c r="V230" s="5"/>
      <c r="W230" s="5">
        <v>6191.240000000001</v>
      </c>
      <c r="X230" s="5">
        <v>1</v>
      </c>
      <c r="Y230" s="5">
        <v>6191.240000000001</v>
      </c>
      <c r="Z230" s="5">
        <v>238919.78999999998</v>
      </c>
      <c r="AA230" s="5">
        <v>1</v>
      </c>
      <c r="AB230" s="5">
        <v>238919.78999999998</v>
      </c>
    </row>
    <row r="231" spans="1:28" ht="12.75">
      <c r="A231" s="5">
        <v>50</v>
      </c>
      <c r="B231" s="5">
        <v>0</v>
      </c>
      <c r="C231" s="5">
        <v>0</v>
      </c>
      <c r="D231" s="5">
        <v>1</v>
      </c>
      <c r="E231" s="5">
        <v>232</v>
      </c>
      <c r="F231" s="5">
        <f>ROUND(Source!BC215,O231)</f>
        <v>0</v>
      </c>
      <c r="G231" s="5" t="s">
        <v>129</v>
      </c>
      <c r="H231" s="5" t="s">
        <v>130</v>
      </c>
      <c r="I231" s="5"/>
      <c r="J231" s="5"/>
      <c r="K231" s="5">
        <v>232</v>
      </c>
      <c r="L231" s="5">
        <v>15</v>
      </c>
      <c r="M231" s="5">
        <v>3</v>
      </c>
      <c r="N231" s="5" t="s">
        <v>3</v>
      </c>
      <c r="O231" s="5">
        <v>2</v>
      </c>
      <c r="P231" s="5">
        <f>ROUND(Source!EU215,O231)</f>
        <v>0</v>
      </c>
      <c r="Q231" s="5"/>
      <c r="R231" s="5"/>
      <c r="S231" s="5"/>
      <c r="T231" s="5"/>
      <c r="U231" s="5"/>
      <c r="V231" s="5"/>
      <c r="W231" s="5">
        <v>0</v>
      </c>
      <c r="X231" s="5">
        <v>1</v>
      </c>
      <c r="Y231" s="5">
        <v>0</v>
      </c>
      <c r="Z231" s="5">
        <v>0</v>
      </c>
      <c r="AA231" s="5">
        <v>1</v>
      </c>
      <c r="AB231" s="5">
        <v>0</v>
      </c>
    </row>
    <row r="232" spans="1:28" ht="12.75">
      <c r="A232" s="5">
        <v>50</v>
      </c>
      <c r="B232" s="5">
        <v>0</v>
      </c>
      <c r="C232" s="5">
        <v>0</v>
      </c>
      <c r="D232" s="5">
        <v>1</v>
      </c>
      <c r="E232" s="5">
        <v>214</v>
      </c>
      <c r="F232" s="5">
        <f>ROUND(Source!AS215,O232)</f>
        <v>28245.53</v>
      </c>
      <c r="G232" s="5" t="s">
        <v>131</v>
      </c>
      <c r="H232" s="5" t="s">
        <v>132</v>
      </c>
      <c r="I232" s="5"/>
      <c r="J232" s="5"/>
      <c r="K232" s="5">
        <v>214</v>
      </c>
      <c r="L232" s="5">
        <v>16</v>
      </c>
      <c r="M232" s="5">
        <v>3</v>
      </c>
      <c r="N232" s="5" t="s">
        <v>3</v>
      </c>
      <c r="O232" s="5">
        <v>2</v>
      </c>
      <c r="P232" s="5">
        <f>ROUND(Source!EK215,O232)</f>
        <v>666660.06</v>
      </c>
      <c r="Q232" s="5"/>
      <c r="R232" s="5"/>
      <c r="S232" s="5"/>
      <c r="T232" s="5"/>
      <c r="U232" s="5"/>
      <c r="V232" s="5"/>
      <c r="W232" s="5">
        <v>28245.53</v>
      </c>
      <c r="X232" s="5">
        <v>1</v>
      </c>
      <c r="Y232" s="5">
        <v>28245.53</v>
      </c>
      <c r="Z232" s="5">
        <v>666660.06</v>
      </c>
      <c r="AA232" s="5">
        <v>1</v>
      </c>
      <c r="AB232" s="5">
        <v>666660.06</v>
      </c>
    </row>
    <row r="233" spans="1:28" ht="12.75">
      <c r="A233" s="5">
        <v>50</v>
      </c>
      <c r="B233" s="5">
        <v>0</v>
      </c>
      <c r="C233" s="5">
        <v>0</v>
      </c>
      <c r="D233" s="5">
        <v>1</v>
      </c>
      <c r="E233" s="5">
        <v>215</v>
      </c>
      <c r="F233" s="5">
        <f>ROUND(Source!AT215,O233)</f>
        <v>0</v>
      </c>
      <c r="G233" s="5" t="s">
        <v>133</v>
      </c>
      <c r="H233" s="5" t="s">
        <v>134</v>
      </c>
      <c r="I233" s="5"/>
      <c r="J233" s="5"/>
      <c r="K233" s="5">
        <v>215</v>
      </c>
      <c r="L233" s="5">
        <v>17</v>
      </c>
      <c r="M233" s="5">
        <v>3</v>
      </c>
      <c r="N233" s="5" t="s">
        <v>3</v>
      </c>
      <c r="O233" s="5">
        <v>2</v>
      </c>
      <c r="P233" s="5">
        <f>ROUND(Source!EL215,O233)</f>
        <v>0</v>
      </c>
      <c r="Q233" s="5"/>
      <c r="R233" s="5"/>
      <c r="S233" s="5"/>
      <c r="T233" s="5"/>
      <c r="U233" s="5"/>
      <c r="V233" s="5"/>
      <c r="W233" s="5">
        <v>0</v>
      </c>
      <c r="X233" s="5">
        <v>1</v>
      </c>
      <c r="Y233" s="5">
        <v>0</v>
      </c>
      <c r="Z233" s="5">
        <v>0</v>
      </c>
      <c r="AA233" s="5">
        <v>1</v>
      </c>
      <c r="AB233" s="5">
        <v>0</v>
      </c>
    </row>
    <row r="234" spans="1:28" ht="12.75">
      <c r="A234" s="5">
        <v>50</v>
      </c>
      <c r="B234" s="5">
        <v>0</v>
      </c>
      <c r="C234" s="5">
        <v>0</v>
      </c>
      <c r="D234" s="5">
        <v>1</v>
      </c>
      <c r="E234" s="5">
        <v>217</v>
      </c>
      <c r="F234" s="5">
        <f>ROUND(Source!AU215,O234)</f>
        <v>0</v>
      </c>
      <c r="G234" s="5" t="s">
        <v>135</v>
      </c>
      <c r="H234" s="5" t="s">
        <v>136</v>
      </c>
      <c r="I234" s="5"/>
      <c r="J234" s="5"/>
      <c r="K234" s="5">
        <v>217</v>
      </c>
      <c r="L234" s="5">
        <v>18</v>
      </c>
      <c r="M234" s="5">
        <v>3</v>
      </c>
      <c r="N234" s="5" t="s">
        <v>3</v>
      </c>
      <c r="O234" s="5">
        <v>2</v>
      </c>
      <c r="P234" s="5">
        <f>ROUND(Source!EM215,O234)</f>
        <v>0</v>
      </c>
      <c r="Q234" s="5"/>
      <c r="R234" s="5"/>
      <c r="S234" s="5"/>
      <c r="T234" s="5"/>
      <c r="U234" s="5"/>
      <c r="V234" s="5"/>
      <c r="W234" s="5">
        <v>0</v>
      </c>
      <c r="X234" s="5">
        <v>1</v>
      </c>
      <c r="Y234" s="5">
        <v>0</v>
      </c>
      <c r="Z234" s="5">
        <v>0</v>
      </c>
      <c r="AA234" s="5">
        <v>1</v>
      </c>
      <c r="AB234" s="5">
        <v>0</v>
      </c>
    </row>
    <row r="235" spans="1:28" ht="12.75">
      <c r="A235" s="5">
        <v>50</v>
      </c>
      <c r="B235" s="5">
        <v>0</v>
      </c>
      <c r="C235" s="5">
        <v>0</v>
      </c>
      <c r="D235" s="5">
        <v>1</v>
      </c>
      <c r="E235" s="5">
        <v>230</v>
      </c>
      <c r="F235" s="5">
        <f>ROUND(Source!BA215,O235)</f>
        <v>0</v>
      </c>
      <c r="G235" s="5" t="s">
        <v>137</v>
      </c>
      <c r="H235" s="5" t="s">
        <v>138</v>
      </c>
      <c r="I235" s="5"/>
      <c r="J235" s="5"/>
      <c r="K235" s="5">
        <v>230</v>
      </c>
      <c r="L235" s="5">
        <v>19</v>
      </c>
      <c r="M235" s="5">
        <v>3</v>
      </c>
      <c r="N235" s="5" t="s">
        <v>3</v>
      </c>
      <c r="O235" s="5">
        <v>2</v>
      </c>
      <c r="P235" s="5">
        <f>ROUND(Source!ES215,O235)</f>
        <v>0</v>
      </c>
      <c r="Q235" s="5"/>
      <c r="R235" s="5"/>
      <c r="S235" s="5"/>
      <c r="T235" s="5"/>
      <c r="U235" s="5"/>
      <c r="V235" s="5"/>
      <c r="W235" s="5">
        <v>0</v>
      </c>
      <c r="X235" s="5">
        <v>1</v>
      </c>
      <c r="Y235" s="5">
        <v>0</v>
      </c>
      <c r="Z235" s="5">
        <v>0</v>
      </c>
      <c r="AA235" s="5">
        <v>1</v>
      </c>
      <c r="AB235" s="5">
        <v>0</v>
      </c>
    </row>
    <row r="236" spans="1:28" ht="12.75">
      <c r="A236" s="5">
        <v>50</v>
      </c>
      <c r="B236" s="5">
        <v>0</v>
      </c>
      <c r="C236" s="5">
        <v>0</v>
      </c>
      <c r="D236" s="5">
        <v>1</v>
      </c>
      <c r="E236" s="5">
        <v>206</v>
      </c>
      <c r="F236" s="5">
        <f>ROUND(Source!T215,O236)</f>
        <v>0</v>
      </c>
      <c r="G236" s="5" t="s">
        <v>139</v>
      </c>
      <c r="H236" s="5" t="s">
        <v>140</v>
      </c>
      <c r="I236" s="5"/>
      <c r="J236" s="5"/>
      <c r="K236" s="5">
        <v>206</v>
      </c>
      <c r="L236" s="5">
        <v>20</v>
      </c>
      <c r="M236" s="5">
        <v>3</v>
      </c>
      <c r="N236" s="5" t="s">
        <v>3</v>
      </c>
      <c r="O236" s="5">
        <v>2</v>
      </c>
      <c r="P236" s="5">
        <f>ROUND(Source!DL215,O236)</f>
        <v>0</v>
      </c>
      <c r="Q236" s="5"/>
      <c r="R236" s="5"/>
      <c r="S236" s="5"/>
      <c r="T236" s="5"/>
      <c r="U236" s="5"/>
      <c r="V236" s="5"/>
      <c r="W236" s="5">
        <v>0</v>
      </c>
      <c r="X236" s="5">
        <v>1</v>
      </c>
      <c r="Y236" s="5">
        <v>0</v>
      </c>
      <c r="Z236" s="5">
        <v>0</v>
      </c>
      <c r="AA236" s="5">
        <v>1</v>
      </c>
      <c r="AB236" s="5">
        <v>0</v>
      </c>
    </row>
    <row r="237" spans="1:28" ht="12.75">
      <c r="A237" s="5">
        <v>50</v>
      </c>
      <c r="B237" s="5">
        <v>0</v>
      </c>
      <c r="C237" s="5">
        <v>0</v>
      </c>
      <c r="D237" s="5">
        <v>1</v>
      </c>
      <c r="E237" s="5">
        <v>207</v>
      </c>
      <c r="F237" s="5">
        <f>Source!U215</f>
        <v>678.594446</v>
      </c>
      <c r="G237" s="5" t="s">
        <v>141</v>
      </c>
      <c r="H237" s="5" t="s">
        <v>142</v>
      </c>
      <c r="I237" s="5"/>
      <c r="J237" s="5"/>
      <c r="K237" s="5">
        <v>207</v>
      </c>
      <c r="L237" s="5">
        <v>21</v>
      </c>
      <c r="M237" s="5">
        <v>3</v>
      </c>
      <c r="N237" s="5" t="s">
        <v>3</v>
      </c>
      <c r="O237" s="5">
        <v>-1</v>
      </c>
      <c r="P237" s="5">
        <f>Source!DM215</f>
        <v>678.594446</v>
      </c>
      <c r="Q237" s="5"/>
      <c r="R237" s="5"/>
      <c r="S237" s="5"/>
      <c r="T237" s="5"/>
      <c r="U237" s="5"/>
      <c r="V237" s="5"/>
      <c r="W237" s="5">
        <v>678.594446</v>
      </c>
      <c r="X237" s="5">
        <v>1</v>
      </c>
      <c r="Y237" s="5">
        <v>678.594446</v>
      </c>
      <c r="Z237" s="5">
        <v>678.594446</v>
      </c>
      <c r="AA237" s="5">
        <v>1</v>
      </c>
      <c r="AB237" s="5">
        <v>678.594446</v>
      </c>
    </row>
    <row r="238" spans="1:28" ht="12.75">
      <c r="A238" s="5">
        <v>50</v>
      </c>
      <c r="B238" s="5">
        <v>0</v>
      </c>
      <c r="C238" s="5">
        <v>0</v>
      </c>
      <c r="D238" s="5">
        <v>1</v>
      </c>
      <c r="E238" s="5">
        <v>208</v>
      </c>
      <c r="F238" s="5">
        <f>Source!V215</f>
        <v>17.580772</v>
      </c>
      <c r="G238" s="5" t="s">
        <v>143</v>
      </c>
      <c r="H238" s="5" t="s">
        <v>144</v>
      </c>
      <c r="I238" s="5"/>
      <c r="J238" s="5"/>
      <c r="K238" s="5">
        <v>208</v>
      </c>
      <c r="L238" s="5">
        <v>22</v>
      </c>
      <c r="M238" s="5">
        <v>3</v>
      </c>
      <c r="N238" s="5" t="s">
        <v>3</v>
      </c>
      <c r="O238" s="5">
        <v>-1</v>
      </c>
      <c r="P238" s="5">
        <f>Source!DN215</f>
        <v>17.580772</v>
      </c>
      <c r="Q238" s="5"/>
      <c r="R238" s="5"/>
      <c r="S238" s="5"/>
      <c r="T238" s="5"/>
      <c r="U238" s="5"/>
      <c r="V238" s="5"/>
      <c r="W238" s="5">
        <v>17.580772</v>
      </c>
      <c r="X238" s="5">
        <v>1</v>
      </c>
      <c r="Y238" s="5">
        <v>17.580772</v>
      </c>
      <c r="Z238" s="5">
        <v>17.580772</v>
      </c>
      <c r="AA238" s="5">
        <v>1</v>
      </c>
      <c r="AB238" s="5">
        <v>17.580772</v>
      </c>
    </row>
    <row r="239" spans="1:28" ht="12.75">
      <c r="A239" s="5">
        <v>50</v>
      </c>
      <c r="B239" s="5">
        <v>0</v>
      </c>
      <c r="C239" s="5">
        <v>0</v>
      </c>
      <c r="D239" s="5">
        <v>1</v>
      </c>
      <c r="E239" s="5">
        <v>209</v>
      </c>
      <c r="F239" s="5">
        <f>ROUND(Source!W215,O239)</f>
        <v>0</v>
      </c>
      <c r="G239" s="5" t="s">
        <v>145</v>
      </c>
      <c r="H239" s="5" t="s">
        <v>146</v>
      </c>
      <c r="I239" s="5"/>
      <c r="J239" s="5"/>
      <c r="K239" s="5">
        <v>209</v>
      </c>
      <c r="L239" s="5">
        <v>23</v>
      </c>
      <c r="M239" s="5">
        <v>3</v>
      </c>
      <c r="N239" s="5" t="s">
        <v>3</v>
      </c>
      <c r="O239" s="5">
        <v>2</v>
      </c>
      <c r="P239" s="5">
        <f>ROUND(Source!DO215,O239)</f>
        <v>0</v>
      </c>
      <c r="Q239" s="5"/>
      <c r="R239" s="5"/>
      <c r="S239" s="5"/>
      <c r="T239" s="5"/>
      <c r="U239" s="5"/>
      <c r="V239" s="5"/>
      <c r="W239" s="5">
        <v>0</v>
      </c>
      <c r="X239" s="5">
        <v>1</v>
      </c>
      <c r="Y239" s="5">
        <v>0</v>
      </c>
      <c r="Z239" s="5">
        <v>0</v>
      </c>
      <c r="AA239" s="5">
        <v>1</v>
      </c>
      <c r="AB239" s="5">
        <v>0</v>
      </c>
    </row>
    <row r="240" spans="1:28" ht="12.75">
      <c r="A240" s="5">
        <v>50</v>
      </c>
      <c r="B240" s="5">
        <v>0</v>
      </c>
      <c r="C240" s="5">
        <v>0</v>
      </c>
      <c r="D240" s="5">
        <v>1</v>
      </c>
      <c r="E240" s="5">
        <v>233</v>
      </c>
      <c r="F240" s="5">
        <f>ROUND(Source!BD215,O240)</f>
        <v>48.22</v>
      </c>
      <c r="G240" s="5" t="s">
        <v>147</v>
      </c>
      <c r="H240" s="5" t="s">
        <v>148</v>
      </c>
      <c r="I240" s="5"/>
      <c r="J240" s="5"/>
      <c r="K240" s="5">
        <v>233</v>
      </c>
      <c r="L240" s="5">
        <v>24</v>
      </c>
      <c r="M240" s="5">
        <v>3</v>
      </c>
      <c r="N240" s="5" t="s">
        <v>3</v>
      </c>
      <c r="O240" s="5">
        <v>2</v>
      </c>
      <c r="P240" s="5">
        <f>ROUND(Source!EV215,O240)</f>
        <v>647.66</v>
      </c>
      <c r="Q240" s="5"/>
      <c r="R240" s="5"/>
      <c r="S240" s="5"/>
      <c r="T240" s="5"/>
      <c r="U240" s="5"/>
      <c r="V240" s="5"/>
      <c r="W240" s="5">
        <v>48.22</v>
      </c>
      <c r="X240" s="5">
        <v>1</v>
      </c>
      <c r="Y240" s="5">
        <v>48.22</v>
      </c>
      <c r="Z240" s="5">
        <v>647.66</v>
      </c>
      <c r="AA240" s="5">
        <v>1</v>
      </c>
      <c r="AB240" s="5">
        <v>647.66</v>
      </c>
    </row>
    <row r="241" spans="1:28" ht="12.75">
      <c r="A241" s="5">
        <v>50</v>
      </c>
      <c r="B241" s="5">
        <v>0</v>
      </c>
      <c r="C241" s="5">
        <v>0</v>
      </c>
      <c r="D241" s="5">
        <v>1</v>
      </c>
      <c r="E241" s="5">
        <v>210</v>
      </c>
      <c r="F241" s="5">
        <f>ROUND(Source!X215,O241)</f>
        <v>5787.67</v>
      </c>
      <c r="G241" s="5" t="s">
        <v>149</v>
      </c>
      <c r="H241" s="5" t="s">
        <v>150</v>
      </c>
      <c r="I241" s="5"/>
      <c r="J241" s="5"/>
      <c r="K241" s="5">
        <v>210</v>
      </c>
      <c r="L241" s="5">
        <v>25</v>
      </c>
      <c r="M241" s="5">
        <v>3</v>
      </c>
      <c r="N241" s="5" t="s">
        <v>3</v>
      </c>
      <c r="O241" s="5">
        <v>2</v>
      </c>
      <c r="P241" s="5">
        <f>ROUND(Source!DP215,O241)</f>
        <v>223345.77</v>
      </c>
      <c r="Q241" s="5"/>
      <c r="R241" s="5"/>
      <c r="S241" s="5"/>
      <c r="T241" s="5"/>
      <c r="U241" s="5"/>
      <c r="V241" s="5"/>
      <c r="W241" s="5">
        <v>5787.67</v>
      </c>
      <c r="X241" s="5">
        <v>1</v>
      </c>
      <c r="Y241" s="5">
        <v>5787.67</v>
      </c>
      <c r="Z241" s="5">
        <v>223345.77</v>
      </c>
      <c r="AA241" s="5">
        <v>1</v>
      </c>
      <c r="AB241" s="5">
        <v>223345.77</v>
      </c>
    </row>
    <row r="242" spans="1:28" ht="12.75">
      <c r="A242" s="5">
        <v>50</v>
      </c>
      <c r="B242" s="5">
        <v>0</v>
      </c>
      <c r="C242" s="5">
        <v>0</v>
      </c>
      <c r="D242" s="5">
        <v>1</v>
      </c>
      <c r="E242" s="5">
        <v>211</v>
      </c>
      <c r="F242" s="5">
        <f>ROUND(Source!Y215,O242)</f>
        <v>2710.3</v>
      </c>
      <c r="G242" s="5" t="s">
        <v>151</v>
      </c>
      <c r="H242" s="5" t="s">
        <v>152</v>
      </c>
      <c r="I242" s="5"/>
      <c r="J242" s="5"/>
      <c r="K242" s="5">
        <v>211</v>
      </c>
      <c r="L242" s="5">
        <v>26</v>
      </c>
      <c r="M242" s="5">
        <v>3</v>
      </c>
      <c r="N242" s="5" t="s">
        <v>3</v>
      </c>
      <c r="O242" s="5">
        <v>2</v>
      </c>
      <c r="P242" s="5">
        <f>ROUND(Source!DQ215,O242)</f>
        <v>104590.57</v>
      </c>
      <c r="Q242" s="5"/>
      <c r="R242" s="5"/>
      <c r="S242" s="5"/>
      <c r="T242" s="5"/>
      <c r="U242" s="5"/>
      <c r="V242" s="5"/>
      <c r="W242" s="5">
        <v>2710.3</v>
      </c>
      <c r="X242" s="5">
        <v>1</v>
      </c>
      <c r="Y242" s="5">
        <v>2710.3</v>
      </c>
      <c r="Z242" s="5">
        <v>104590.57</v>
      </c>
      <c r="AA242" s="5">
        <v>1</v>
      </c>
      <c r="AB242" s="5">
        <v>104590.57</v>
      </c>
    </row>
    <row r="243" spans="1:28" ht="12.75">
      <c r="A243" s="5">
        <v>50</v>
      </c>
      <c r="B243" s="5">
        <v>0</v>
      </c>
      <c r="C243" s="5">
        <v>0</v>
      </c>
      <c r="D243" s="5">
        <v>1</v>
      </c>
      <c r="E243" s="5">
        <v>0</v>
      </c>
      <c r="F243" s="5">
        <f>ROUND(Source!AR215,O243)</f>
        <v>28245.53</v>
      </c>
      <c r="G243" s="5" t="s">
        <v>153</v>
      </c>
      <c r="H243" s="5" t="s">
        <v>154</v>
      </c>
      <c r="I243" s="5"/>
      <c r="J243" s="5"/>
      <c r="K243" s="5">
        <v>224</v>
      </c>
      <c r="L243" s="5">
        <v>27</v>
      </c>
      <c r="M243" s="5">
        <v>3</v>
      </c>
      <c r="N243" s="5" t="s">
        <v>3</v>
      </c>
      <c r="O243" s="5">
        <v>2</v>
      </c>
      <c r="P243" s="5">
        <f>ROUND(Source!EJ215,O243)</f>
        <v>666660.06</v>
      </c>
      <c r="Q243" s="5"/>
      <c r="R243" s="5"/>
      <c r="S243" s="5"/>
      <c r="T243" s="5"/>
      <c r="U243" s="5"/>
      <c r="V243" s="5"/>
      <c r="W243" s="5">
        <v>28245.530000000002</v>
      </c>
      <c r="X243" s="5">
        <v>1</v>
      </c>
      <c r="Y243" s="5">
        <v>28245.530000000002</v>
      </c>
      <c r="Z243" s="5">
        <v>666660.06</v>
      </c>
      <c r="AA243" s="5">
        <v>1</v>
      </c>
      <c r="AB243" s="5">
        <v>666660.06</v>
      </c>
    </row>
    <row r="244" spans="1:28" ht="12.75">
      <c r="A244" s="5">
        <v>50</v>
      </c>
      <c r="B244" s="5">
        <v>0</v>
      </c>
      <c r="C244" s="5">
        <v>0</v>
      </c>
      <c r="D244" s="5">
        <v>2</v>
      </c>
      <c r="E244" s="5">
        <v>0</v>
      </c>
      <c r="F244" s="5">
        <f>ROUND(F221,O244)</f>
        <v>12444.37</v>
      </c>
      <c r="G244" s="5" t="s">
        <v>203</v>
      </c>
      <c r="H244" s="5" t="s">
        <v>203</v>
      </c>
      <c r="I244" s="5"/>
      <c r="J244" s="5"/>
      <c r="K244" s="5">
        <v>212</v>
      </c>
      <c r="L244" s="5">
        <v>28</v>
      </c>
      <c r="M244" s="5">
        <v>3</v>
      </c>
      <c r="N244" s="5" t="s">
        <v>3</v>
      </c>
      <c r="O244" s="5">
        <v>2</v>
      </c>
      <c r="P244" s="5">
        <f>ROUND(P221,O244)</f>
        <v>84870.6</v>
      </c>
      <c r="Q244" s="5"/>
      <c r="R244" s="5"/>
      <c r="S244" s="5"/>
      <c r="T244" s="5"/>
      <c r="U244" s="5"/>
      <c r="V244" s="5"/>
      <c r="W244" s="5">
        <v>12444.37</v>
      </c>
      <c r="X244" s="5">
        <v>1</v>
      </c>
      <c r="Y244" s="5">
        <v>12444.37</v>
      </c>
      <c r="Z244" s="5">
        <v>84870.6</v>
      </c>
      <c r="AA244" s="5">
        <v>1</v>
      </c>
      <c r="AB244" s="5">
        <v>84870.6</v>
      </c>
    </row>
    <row r="245" spans="1:28" ht="12.75">
      <c r="A245" s="5">
        <v>50</v>
      </c>
      <c r="B245" s="5">
        <v>0</v>
      </c>
      <c r="C245" s="5">
        <v>0</v>
      </c>
      <c r="D245" s="5">
        <v>2</v>
      </c>
      <c r="E245" s="5">
        <v>0</v>
      </c>
      <c r="F245" s="5">
        <f>ROUND(F243,O245)</f>
        <v>28245.53</v>
      </c>
      <c r="G245" s="5" t="s">
        <v>210</v>
      </c>
      <c r="H245" s="5" t="s">
        <v>153</v>
      </c>
      <c r="I245" s="5"/>
      <c r="J245" s="5"/>
      <c r="K245" s="5">
        <v>212</v>
      </c>
      <c r="L245" s="5">
        <v>29</v>
      </c>
      <c r="M245" s="5">
        <v>3</v>
      </c>
      <c r="N245" s="5" t="s">
        <v>3</v>
      </c>
      <c r="O245" s="5">
        <v>2</v>
      </c>
      <c r="P245" s="5">
        <f>ROUND(P243,O245)</f>
        <v>666660.06</v>
      </c>
      <c r="Q245" s="5"/>
      <c r="R245" s="5"/>
      <c r="S245" s="5"/>
      <c r="T245" s="5"/>
      <c r="U245" s="5"/>
      <c r="V245" s="5"/>
      <c r="W245" s="5">
        <v>28245.53</v>
      </c>
      <c r="X245" s="5">
        <v>1</v>
      </c>
      <c r="Y245" s="5">
        <v>28245.53</v>
      </c>
      <c r="Z245" s="5">
        <v>666660.06</v>
      </c>
      <c r="AA245" s="5">
        <v>1</v>
      </c>
      <c r="AB245" s="5">
        <v>666660.06</v>
      </c>
    </row>
    <row r="246" spans="1:28" ht="12.75">
      <c r="A246" s="5">
        <v>50</v>
      </c>
      <c r="B246" s="5">
        <v>1</v>
      </c>
      <c r="C246" s="5">
        <v>0</v>
      </c>
      <c r="D246" s="5">
        <v>2</v>
      </c>
      <c r="E246" s="5">
        <v>0</v>
      </c>
      <c r="F246" s="5">
        <f>ROUND(F245*0.2,O246)</f>
        <v>5649.11</v>
      </c>
      <c r="G246" s="5" t="s">
        <v>211</v>
      </c>
      <c r="H246" s="5" t="s">
        <v>207</v>
      </c>
      <c r="I246" s="5"/>
      <c r="J246" s="5"/>
      <c r="K246" s="5">
        <v>212</v>
      </c>
      <c r="L246" s="5">
        <v>32</v>
      </c>
      <c r="M246" s="5">
        <v>0</v>
      </c>
      <c r="N246" s="5" t="s">
        <v>3</v>
      </c>
      <c r="O246" s="5">
        <v>2</v>
      </c>
      <c r="P246" s="5">
        <f>ROUND(P245*0.2,O246)</f>
        <v>133332.01</v>
      </c>
      <c r="Q246" s="5"/>
      <c r="R246" s="5"/>
      <c r="S246" s="5"/>
      <c r="T246" s="5"/>
      <c r="U246" s="5"/>
      <c r="V246" s="5"/>
      <c r="W246" s="5">
        <v>5649.11</v>
      </c>
      <c r="X246" s="5">
        <v>1</v>
      </c>
      <c r="Y246" s="5">
        <v>5649.11</v>
      </c>
      <c r="Z246" s="5">
        <v>133332.01</v>
      </c>
      <c r="AA246" s="5">
        <v>1</v>
      </c>
      <c r="AB246" s="5">
        <v>133332.01</v>
      </c>
    </row>
    <row r="247" spans="1:28" ht="12.75">
      <c r="A247" s="5">
        <v>50</v>
      </c>
      <c r="B247" s="5">
        <v>1</v>
      </c>
      <c r="C247" s="5">
        <v>0</v>
      </c>
      <c r="D247" s="5">
        <v>2</v>
      </c>
      <c r="E247" s="5">
        <v>224</v>
      </c>
      <c r="F247" s="5">
        <f>ROUND(F245+F246,O247)</f>
        <v>33894.64</v>
      </c>
      <c r="G247" s="5" t="s">
        <v>212</v>
      </c>
      <c r="H247" s="5" t="s">
        <v>208</v>
      </c>
      <c r="I247" s="5"/>
      <c r="J247" s="5"/>
      <c r="K247" s="5">
        <v>212</v>
      </c>
      <c r="L247" s="5">
        <v>33</v>
      </c>
      <c r="M247" s="5">
        <v>0</v>
      </c>
      <c r="N247" s="5" t="s">
        <v>3</v>
      </c>
      <c r="O247" s="5">
        <v>2</v>
      </c>
      <c r="P247" s="5">
        <f>ROUND(P245+P246,O247)</f>
        <v>799992.07</v>
      </c>
      <c r="Q247" s="5"/>
      <c r="R247" s="5"/>
      <c r="S247" s="5"/>
      <c r="T247" s="5"/>
      <c r="U247" s="5"/>
      <c r="V247" s="5"/>
      <c r="W247" s="5">
        <v>33894.64</v>
      </c>
      <c r="X247" s="5">
        <v>1</v>
      </c>
      <c r="Y247" s="5">
        <v>33894.64</v>
      </c>
      <c r="Z247" s="5">
        <v>799992.07</v>
      </c>
      <c r="AA247" s="5">
        <v>1</v>
      </c>
      <c r="AB247" s="5">
        <v>799992.07</v>
      </c>
    </row>
    <row r="249" spans="1:8" ht="12.75">
      <c r="A249" s="6">
        <v>61</v>
      </c>
      <c r="B249" s="6"/>
      <c r="C249" s="6"/>
      <c r="D249" s="6"/>
      <c r="E249" s="6"/>
      <c r="F249" s="6">
        <v>3</v>
      </c>
      <c r="G249" s="6" t="s">
        <v>213</v>
      </c>
      <c r="H249" s="6" t="s">
        <v>214</v>
      </c>
    </row>
    <row r="250" spans="1:8" ht="12.75">
      <c r="A250" s="6">
        <v>61</v>
      </c>
      <c r="B250" s="6"/>
      <c r="C250" s="6"/>
      <c r="D250" s="6"/>
      <c r="E250" s="6"/>
      <c r="F250" s="6">
        <v>2</v>
      </c>
      <c r="G250" s="6" t="s">
        <v>215</v>
      </c>
      <c r="H250" s="6" t="s">
        <v>214</v>
      </c>
    </row>
    <row r="251" spans="1:8" ht="12.75">
      <c r="A251" s="6">
        <v>61</v>
      </c>
      <c r="B251" s="6"/>
      <c r="C251" s="6"/>
      <c r="D251" s="6"/>
      <c r="E251" s="6"/>
      <c r="F251" s="6">
        <v>1</v>
      </c>
      <c r="G251" s="6" t="s">
        <v>216</v>
      </c>
      <c r="H251" s="6" t="s">
        <v>214</v>
      </c>
    </row>
    <row r="254" spans="1:16" ht="12.75">
      <c r="A254">
        <v>70</v>
      </c>
      <c r="B254">
        <v>1</v>
      </c>
      <c r="D254">
        <v>1</v>
      </c>
      <c r="E254" t="s">
        <v>217</v>
      </c>
      <c r="F254" t="s">
        <v>218</v>
      </c>
      <c r="G254">
        <v>0</v>
      </c>
      <c r="H254">
        <v>0</v>
      </c>
      <c r="J254">
        <v>1</v>
      </c>
      <c r="K254">
        <v>0</v>
      </c>
      <c r="N254">
        <v>0</v>
      </c>
      <c r="O254">
        <v>0</v>
      </c>
      <c r="P254" t="s">
        <v>219</v>
      </c>
    </row>
    <row r="255" spans="1:16" ht="12.75">
      <c r="A255">
        <v>70</v>
      </c>
      <c r="B255">
        <v>1</v>
      </c>
      <c r="D255">
        <v>2</v>
      </c>
      <c r="E255" t="s">
        <v>220</v>
      </c>
      <c r="F255" t="s">
        <v>221</v>
      </c>
      <c r="G255">
        <v>1</v>
      </c>
      <c r="H255">
        <v>0</v>
      </c>
      <c r="J255">
        <v>1</v>
      </c>
      <c r="K255">
        <v>0</v>
      </c>
      <c r="N255">
        <v>0</v>
      </c>
      <c r="O255">
        <v>1</v>
      </c>
      <c r="P255" t="s">
        <v>222</v>
      </c>
    </row>
    <row r="256" spans="1:16" ht="12.75">
      <c r="A256">
        <v>70</v>
      </c>
      <c r="B256">
        <v>1</v>
      </c>
      <c r="D256">
        <v>3</v>
      </c>
      <c r="E256" t="s">
        <v>223</v>
      </c>
      <c r="F256" t="s">
        <v>224</v>
      </c>
      <c r="G256">
        <v>0</v>
      </c>
      <c r="H256">
        <v>0</v>
      </c>
      <c r="J256">
        <v>1</v>
      </c>
      <c r="K256">
        <v>0</v>
      </c>
      <c r="N256">
        <v>0</v>
      </c>
      <c r="O256">
        <v>0</v>
      </c>
      <c r="P256" t="s">
        <v>225</v>
      </c>
    </row>
    <row r="257" spans="1:16" ht="12.75">
      <c r="A257">
        <v>70</v>
      </c>
      <c r="B257">
        <v>1</v>
      </c>
      <c r="D257">
        <v>4</v>
      </c>
      <c r="E257" t="s">
        <v>226</v>
      </c>
      <c r="F257" t="s">
        <v>227</v>
      </c>
      <c r="G257">
        <v>1</v>
      </c>
      <c r="H257">
        <v>0</v>
      </c>
      <c r="J257">
        <v>2</v>
      </c>
      <c r="K257">
        <v>0</v>
      </c>
      <c r="N257">
        <v>0</v>
      </c>
      <c r="O257">
        <v>1</v>
      </c>
    </row>
    <row r="258" spans="1:16" ht="12.75">
      <c r="A258">
        <v>70</v>
      </c>
      <c r="B258">
        <v>1</v>
      </c>
      <c r="D258">
        <v>5</v>
      </c>
      <c r="E258" t="s">
        <v>228</v>
      </c>
      <c r="F258" t="s">
        <v>229</v>
      </c>
      <c r="G258">
        <v>0</v>
      </c>
      <c r="H258">
        <v>0</v>
      </c>
      <c r="J258">
        <v>2</v>
      </c>
      <c r="K258">
        <v>0</v>
      </c>
      <c r="N258">
        <v>0</v>
      </c>
      <c r="O258">
        <v>0</v>
      </c>
    </row>
    <row r="259" spans="1:16" ht="12.75">
      <c r="A259">
        <v>70</v>
      </c>
      <c r="B259">
        <v>1</v>
      </c>
      <c r="D259">
        <v>6</v>
      </c>
      <c r="E259" t="s">
        <v>230</v>
      </c>
      <c r="F259" t="s">
        <v>231</v>
      </c>
      <c r="G259">
        <v>0</v>
      </c>
      <c r="H259">
        <v>0</v>
      </c>
      <c r="J259">
        <v>2</v>
      </c>
      <c r="K259">
        <v>0</v>
      </c>
      <c r="N259">
        <v>0</v>
      </c>
      <c r="O259">
        <v>0</v>
      </c>
    </row>
    <row r="260" spans="1:16" ht="12.75">
      <c r="A260">
        <v>70</v>
      </c>
      <c r="B260">
        <v>1</v>
      </c>
      <c r="D260">
        <v>7</v>
      </c>
      <c r="E260" t="s">
        <v>232</v>
      </c>
      <c r="F260" t="s">
        <v>233</v>
      </c>
      <c r="G260">
        <v>0</v>
      </c>
      <c r="H260">
        <v>0</v>
      </c>
      <c r="I260" t="s">
        <v>234</v>
      </c>
      <c r="J260">
        <v>0</v>
      </c>
      <c r="K260">
        <v>0</v>
      </c>
      <c r="N260">
        <v>0</v>
      </c>
      <c r="O260">
        <v>0</v>
      </c>
      <c r="P260" t="s">
        <v>235</v>
      </c>
    </row>
    <row r="261" spans="1:16" ht="12.75">
      <c r="A261">
        <v>70</v>
      </c>
      <c r="B261">
        <v>1</v>
      </c>
      <c r="D261">
        <v>8</v>
      </c>
      <c r="E261" t="s">
        <v>236</v>
      </c>
      <c r="F261" t="s">
        <v>237</v>
      </c>
      <c r="G261">
        <v>1</v>
      </c>
      <c r="H261">
        <v>0</v>
      </c>
      <c r="J261">
        <v>5</v>
      </c>
      <c r="K261">
        <v>0</v>
      </c>
      <c r="N261">
        <v>0</v>
      </c>
      <c r="O261">
        <v>1</v>
      </c>
    </row>
    <row r="262" spans="1:16" ht="12.75">
      <c r="A262">
        <v>70</v>
      </c>
      <c r="B262">
        <v>1</v>
      </c>
      <c r="D262">
        <v>9</v>
      </c>
      <c r="E262" t="s">
        <v>238</v>
      </c>
      <c r="F262" t="s">
        <v>239</v>
      </c>
      <c r="G262">
        <v>0</v>
      </c>
      <c r="H262">
        <v>0</v>
      </c>
      <c r="J262">
        <v>5</v>
      </c>
      <c r="K262">
        <v>0</v>
      </c>
      <c r="N262">
        <v>0</v>
      </c>
      <c r="O262">
        <v>0</v>
      </c>
    </row>
    <row r="263" spans="1:16" ht="12.75">
      <c r="A263">
        <v>70</v>
      </c>
      <c r="B263">
        <v>1</v>
      </c>
      <c r="D263">
        <v>10</v>
      </c>
      <c r="E263" t="s">
        <v>240</v>
      </c>
      <c r="F263" t="s">
        <v>241</v>
      </c>
      <c r="G263">
        <v>0</v>
      </c>
      <c r="H263">
        <v>0</v>
      </c>
      <c r="I263" t="s">
        <v>242</v>
      </c>
      <c r="J263">
        <v>5</v>
      </c>
      <c r="K263">
        <v>0</v>
      </c>
      <c r="N263">
        <v>0</v>
      </c>
      <c r="O263">
        <v>0</v>
      </c>
      <c r="P263" t="s">
        <v>243</v>
      </c>
    </row>
    <row r="264" spans="1:16" ht="12.75">
      <c r="A264">
        <v>70</v>
      </c>
      <c r="B264">
        <v>1</v>
      </c>
      <c r="D264">
        <v>11</v>
      </c>
      <c r="E264" t="s">
        <v>244</v>
      </c>
      <c r="F264" t="s">
        <v>245</v>
      </c>
      <c r="G264">
        <v>0</v>
      </c>
      <c r="H264">
        <v>0</v>
      </c>
      <c r="I264" t="s">
        <v>246</v>
      </c>
      <c r="J264">
        <v>0</v>
      </c>
      <c r="K264">
        <v>0</v>
      </c>
      <c r="N264">
        <v>0</v>
      </c>
      <c r="O264">
        <v>0</v>
      </c>
      <c r="P264" t="s">
        <v>247</v>
      </c>
    </row>
    <row r="265" spans="1:16" ht="12.75">
      <c r="A265">
        <v>70</v>
      </c>
      <c r="B265">
        <v>1</v>
      </c>
      <c r="D265">
        <v>12</v>
      </c>
      <c r="E265" t="s">
        <v>248</v>
      </c>
      <c r="F265" t="s">
        <v>249</v>
      </c>
      <c r="G265">
        <v>0</v>
      </c>
      <c r="H265">
        <v>0</v>
      </c>
      <c r="I265" t="s">
        <v>250</v>
      </c>
      <c r="J265">
        <v>0</v>
      </c>
      <c r="K265">
        <v>0</v>
      </c>
      <c r="N265">
        <v>0</v>
      </c>
      <c r="O265">
        <v>0</v>
      </c>
      <c r="P265" t="s">
        <v>251</v>
      </c>
    </row>
    <row r="266" spans="1:16" ht="12.75">
      <c r="A266">
        <v>70</v>
      </c>
      <c r="B266">
        <v>1</v>
      </c>
      <c r="D266">
        <v>13</v>
      </c>
      <c r="E266" t="s">
        <v>252</v>
      </c>
      <c r="F266" t="s">
        <v>253</v>
      </c>
      <c r="G266">
        <v>0</v>
      </c>
      <c r="H266">
        <v>0</v>
      </c>
      <c r="I266" t="s">
        <v>254</v>
      </c>
      <c r="J266">
        <v>0</v>
      </c>
      <c r="K266">
        <v>0</v>
      </c>
      <c r="N266">
        <v>0</v>
      </c>
      <c r="O266">
        <v>0</v>
      </c>
      <c r="P266" t="s">
        <v>255</v>
      </c>
    </row>
    <row r="267" spans="1:16" ht="12.75">
      <c r="A267">
        <v>70</v>
      </c>
      <c r="B267">
        <v>1</v>
      </c>
      <c r="D267">
        <v>14</v>
      </c>
      <c r="E267" t="s">
        <v>256</v>
      </c>
      <c r="F267" t="s">
        <v>257</v>
      </c>
      <c r="G267">
        <v>0</v>
      </c>
      <c r="H267">
        <v>0</v>
      </c>
      <c r="J267">
        <v>0</v>
      </c>
      <c r="K267">
        <v>0</v>
      </c>
      <c r="N267">
        <v>0</v>
      </c>
      <c r="O267">
        <v>0</v>
      </c>
      <c r="P267" t="s">
        <v>258</v>
      </c>
    </row>
    <row r="268" spans="1:16" ht="12.75">
      <c r="A268">
        <v>70</v>
      </c>
      <c r="B268">
        <v>1</v>
      </c>
      <c r="D268">
        <v>15</v>
      </c>
      <c r="E268" t="s">
        <v>259</v>
      </c>
      <c r="F268" t="s">
        <v>260</v>
      </c>
      <c r="G268">
        <v>0</v>
      </c>
      <c r="H268">
        <v>0</v>
      </c>
      <c r="J268">
        <v>3</v>
      </c>
      <c r="K268">
        <v>0</v>
      </c>
      <c r="N268">
        <v>0</v>
      </c>
      <c r="O268">
        <v>0</v>
      </c>
    </row>
    <row r="269" spans="1:16" ht="12.75">
      <c r="A269">
        <v>70</v>
      </c>
      <c r="B269">
        <v>1</v>
      </c>
      <c r="D269">
        <v>16</v>
      </c>
      <c r="E269" t="s">
        <v>261</v>
      </c>
      <c r="F269" t="s">
        <v>262</v>
      </c>
      <c r="G269">
        <v>1</v>
      </c>
      <c r="H269">
        <v>0</v>
      </c>
      <c r="J269">
        <v>3</v>
      </c>
      <c r="K269">
        <v>0</v>
      </c>
      <c r="N269">
        <v>0</v>
      </c>
      <c r="O269">
        <v>1</v>
      </c>
    </row>
    <row r="270" spans="1:16" ht="12.75">
      <c r="A270">
        <v>70</v>
      </c>
      <c r="B270">
        <v>1</v>
      </c>
      <c r="D270">
        <v>1</v>
      </c>
      <c r="E270" t="s">
        <v>263</v>
      </c>
      <c r="F270" t="s">
        <v>264</v>
      </c>
      <c r="G270">
        <v>0.9</v>
      </c>
      <c r="H270">
        <v>1</v>
      </c>
      <c r="I270" t="s">
        <v>265</v>
      </c>
      <c r="J270">
        <v>0</v>
      </c>
      <c r="K270">
        <v>0</v>
      </c>
      <c r="N270">
        <v>0</v>
      </c>
      <c r="O270">
        <v>0.9</v>
      </c>
      <c r="P270" t="s">
        <v>266</v>
      </c>
    </row>
    <row r="271" spans="1:16" ht="12.75">
      <c r="A271">
        <v>70</v>
      </c>
      <c r="B271">
        <v>1</v>
      </c>
      <c r="D271">
        <v>2</v>
      </c>
      <c r="E271" t="s">
        <v>267</v>
      </c>
      <c r="F271" t="s">
        <v>268</v>
      </c>
      <c r="G271">
        <v>0.85</v>
      </c>
      <c r="H271">
        <v>1</v>
      </c>
      <c r="I271" t="s">
        <v>269</v>
      </c>
      <c r="J271">
        <v>0</v>
      </c>
      <c r="K271">
        <v>0</v>
      </c>
      <c r="N271">
        <v>0</v>
      </c>
      <c r="O271">
        <v>0.85</v>
      </c>
      <c r="P271" t="s">
        <v>270</v>
      </c>
    </row>
    <row r="272" spans="1:16" ht="12.75">
      <c r="A272">
        <v>70</v>
      </c>
      <c r="B272">
        <v>1</v>
      </c>
      <c r="D272">
        <v>3</v>
      </c>
      <c r="E272" t="s">
        <v>271</v>
      </c>
      <c r="F272" t="s">
        <v>272</v>
      </c>
      <c r="G272">
        <v>1.03</v>
      </c>
      <c r="H272">
        <v>0</v>
      </c>
      <c r="J272">
        <v>0</v>
      </c>
      <c r="K272">
        <v>0</v>
      </c>
      <c r="N272">
        <v>0</v>
      </c>
      <c r="O272">
        <v>1.03</v>
      </c>
      <c r="P272" t="s">
        <v>273</v>
      </c>
    </row>
    <row r="273" spans="1:16" ht="12.75">
      <c r="A273">
        <v>70</v>
      </c>
      <c r="B273">
        <v>1</v>
      </c>
      <c r="D273">
        <v>4</v>
      </c>
      <c r="E273" t="s">
        <v>274</v>
      </c>
      <c r="F273" t="s">
        <v>275</v>
      </c>
      <c r="G273">
        <v>1.15</v>
      </c>
      <c r="H273">
        <v>0</v>
      </c>
      <c r="J273">
        <v>0</v>
      </c>
      <c r="K273">
        <v>0</v>
      </c>
      <c r="N273">
        <v>0</v>
      </c>
      <c r="O273">
        <v>1.15</v>
      </c>
      <c r="P273" t="s">
        <v>276</v>
      </c>
    </row>
    <row r="274" spans="1:16" ht="12.75">
      <c r="A274">
        <v>70</v>
      </c>
      <c r="B274">
        <v>1</v>
      </c>
      <c r="D274">
        <v>5</v>
      </c>
      <c r="E274" t="s">
        <v>277</v>
      </c>
      <c r="F274" t="s">
        <v>278</v>
      </c>
      <c r="G274">
        <v>7</v>
      </c>
      <c r="H274">
        <v>0</v>
      </c>
      <c r="J274">
        <v>0</v>
      </c>
      <c r="K274">
        <v>0</v>
      </c>
      <c r="N274">
        <v>0</v>
      </c>
      <c r="O274">
        <v>7</v>
      </c>
    </row>
    <row r="275" spans="1:16" ht="12.75">
      <c r="A275">
        <v>70</v>
      </c>
      <c r="B275">
        <v>1</v>
      </c>
      <c r="D275">
        <v>6</v>
      </c>
      <c r="E275" t="s">
        <v>279</v>
      </c>
      <c r="G275">
        <v>2</v>
      </c>
      <c r="H275">
        <v>0</v>
      </c>
      <c r="J275">
        <v>0</v>
      </c>
      <c r="K275">
        <v>0</v>
      </c>
      <c r="N275">
        <v>0</v>
      </c>
      <c r="O275">
        <v>2</v>
      </c>
    </row>
    <row r="277" ht="12.75">
      <c r="A277">
        <v>-1</v>
      </c>
    </row>
    <row r="279" spans="1:15" ht="12.75">
      <c r="A279" s="4">
        <v>75</v>
      </c>
      <c r="B279" s="4" t="s">
        <v>280</v>
      </c>
      <c r="C279" s="4">
        <v>2000</v>
      </c>
      <c r="D279" s="4">
        <v>0</v>
      </c>
      <c r="E279" s="4">
        <v>1</v>
      </c>
      <c r="F279" s="4"/>
      <c r="G279" s="4">
        <v>0</v>
      </c>
      <c r="H279" s="4">
        <v>1</v>
      </c>
      <c r="I279" s="4">
        <v>0</v>
      </c>
      <c r="J279" s="4">
        <v>1</v>
      </c>
      <c r="K279" s="4">
        <v>0</v>
      </c>
      <c r="L279" s="4">
        <v>0</v>
      </c>
      <c r="M279" s="4">
        <v>0</v>
      </c>
      <c r="N279" s="4">
        <v>55722483</v>
      </c>
      <c r="O279" s="4">
        <v>1</v>
      </c>
    </row>
    <row r="280" spans="1:15" ht="12.75">
      <c r="A280" s="4">
        <v>75</v>
      </c>
      <c r="B280" s="4" t="s">
        <v>281</v>
      </c>
      <c r="C280" s="4">
        <v>2023</v>
      </c>
      <c r="D280" s="4">
        <v>4</v>
      </c>
      <c r="E280" s="4">
        <v>0</v>
      </c>
      <c r="F280" s="4">
        <v>0</v>
      </c>
      <c r="G280" s="4">
        <v>0</v>
      </c>
      <c r="H280" s="4">
        <v>1</v>
      </c>
      <c r="I280" s="4">
        <v>0</v>
      </c>
      <c r="J280" s="4">
        <v>1</v>
      </c>
      <c r="K280" s="4">
        <v>0</v>
      </c>
      <c r="L280" s="4">
        <v>0</v>
      </c>
      <c r="M280" s="4">
        <v>1</v>
      </c>
      <c r="N280" s="4">
        <v>55722484</v>
      </c>
      <c r="O280" s="4">
        <v>2</v>
      </c>
    </row>
    <row r="281" spans="1:40" ht="12.75">
      <c r="A281" s="7">
        <v>3</v>
      </c>
      <c r="B281" s="7" t="s">
        <v>282</v>
      </c>
      <c r="C281" s="7">
        <v>1</v>
      </c>
      <c r="D281" s="7">
        <v>6.82</v>
      </c>
      <c r="E281" s="7">
        <v>13.43</v>
      </c>
      <c r="F281" s="7">
        <v>38.59</v>
      </c>
      <c r="G281" s="7">
        <v>38.59</v>
      </c>
      <c r="H281" s="7">
        <v>1</v>
      </c>
      <c r="I281" s="7">
        <v>1</v>
      </c>
      <c r="J281" s="7">
        <v>2</v>
      </c>
      <c r="K281" s="7">
        <v>1</v>
      </c>
      <c r="L281" s="7">
        <v>13.43</v>
      </c>
      <c r="M281" s="7">
        <v>1</v>
      </c>
      <c r="N281" s="7">
        <v>6.82</v>
      </c>
      <c r="O281" s="7">
        <v>1</v>
      </c>
      <c r="P281" s="7">
        <v>1</v>
      </c>
      <c r="Q281" s="7">
        <v>1</v>
      </c>
      <c r="R281" s="7">
        <v>13.43</v>
      </c>
      <c r="S281" s="7" t="s">
        <v>32</v>
      </c>
      <c r="T281" s="7" t="s">
        <v>3</v>
      </c>
      <c r="U281" s="7" t="s">
        <v>3</v>
      </c>
      <c r="V281" s="7" t="s">
        <v>3</v>
      </c>
      <c r="W281" s="7" t="s">
        <v>3</v>
      </c>
      <c r="X281" s="7" t="s">
        <v>3</v>
      </c>
      <c r="Y281" s="7" t="s">
        <v>3</v>
      </c>
      <c r="Z281" s="7" t="s">
        <v>3</v>
      </c>
      <c r="AA281" s="7" t="s">
        <v>3</v>
      </c>
      <c r="AB281" s="7" t="s">
        <v>3</v>
      </c>
      <c r="AC281" s="7" t="s">
        <v>3</v>
      </c>
      <c r="AD281" s="7" t="s">
        <v>3</v>
      </c>
      <c r="AE281" s="7" t="s">
        <v>3</v>
      </c>
      <c r="AF281" s="7" t="s">
        <v>3</v>
      </c>
      <c r="AG281" s="7" t="s">
        <v>3</v>
      </c>
      <c r="AH281" s="7" t="s">
        <v>3</v>
      </c>
      <c r="AI281" s="7"/>
      <c r="AJ281" s="7"/>
      <c r="AK281" s="7"/>
      <c r="AL281" s="7"/>
      <c r="AM281" s="7"/>
      <c r="AN281" s="7">
        <v>55722485</v>
      </c>
    </row>
    <row r="285" spans="1:5" ht="12.75">
      <c r="A285">
        <v>65</v>
      </c>
      <c r="C285">
        <v>1</v>
      </c>
      <c r="D285">
        <v>0</v>
      </c>
      <c r="E285">
        <v>245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C5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7" ht="12.75">
      <c r="A1">
        <v>0</v>
      </c>
      <c r="B1" t="s">
        <v>0</v>
      </c>
      <c r="D1" t="s">
        <v>283</v>
      </c>
      <c r="F1">
        <v>0</v>
      </c>
      <c r="G1">
        <v>0</v>
      </c>
      <c r="H1">
        <v>0</v>
      </c>
      <c r="I1" t="s">
        <v>2</v>
      </c>
      <c r="K1">
        <v>1</v>
      </c>
      <c r="L1">
        <v>58091</v>
      </c>
      <c r="M1">
        <v>10</v>
      </c>
      <c r="N1">
        <v>11</v>
      </c>
      <c r="O1">
        <v>5</v>
      </c>
      <c r="P1">
        <v>3</v>
      </c>
      <c r="Q1">
        <v>2</v>
      </c>
    </row>
    <row r="12" spans="1:133" ht="12.75">
      <c r="A12" s="1">
        <v>1</v>
      </c>
      <c r="B12" s="1">
        <v>55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131083</v>
      </c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4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3</v>
      </c>
      <c r="AG12" s="1" t="s">
        <v>3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>
        <v>2</v>
      </c>
      <c r="BC12" s="1"/>
      <c r="BD12" s="1"/>
      <c r="BE12" s="1"/>
      <c r="BF12" s="1"/>
      <c r="BG12" s="1"/>
      <c r="BH12" s="1" t="s">
        <v>12</v>
      </c>
      <c r="BI12" s="1" t="s">
        <v>13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14</v>
      </c>
      <c r="BZ12" s="1" t="s">
        <v>15</v>
      </c>
      <c r="CA12" s="1" t="s">
        <v>16</v>
      </c>
      <c r="CB12" s="1" t="s">
        <v>16</v>
      </c>
      <c r="CC12" s="1" t="s">
        <v>16</v>
      </c>
      <c r="CD12" s="1" t="s">
        <v>16</v>
      </c>
      <c r="CE12" s="1" t="s">
        <v>17</v>
      </c>
      <c r="CF12" s="1">
        <v>0</v>
      </c>
      <c r="CG12" s="1">
        <v>0</v>
      </c>
      <c r="CH12" s="1">
        <v>403185672</v>
      </c>
      <c r="CI12" s="1" t="s">
        <v>3</v>
      </c>
      <c r="CJ12" s="1" t="s">
        <v>3</v>
      </c>
      <c r="CK12" s="1">
        <v>9</v>
      </c>
      <c r="CL12" s="1"/>
      <c r="CM12" s="1"/>
      <c r="CN12" s="1"/>
      <c r="CO12" s="1"/>
      <c r="CP12" s="1"/>
      <c r="CQ12" s="1" t="s">
        <v>363</v>
      </c>
      <c r="CR12" s="1" t="s">
        <v>18</v>
      </c>
      <c r="CS12" s="1">
        <v>44551</v>
      </c>
      <c r="CT12" s="1">
        <v>395</v>
      </c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5" ht="12.75">
      <c r="A14" s="1">
        <v>22</v>
      </c>
      <c r="B14" s="1">
        <v>1</v>
      </c>
      <c r="C14" s="1">
        <v>0</v>
      </c>
      <c r="D14" s="1">
        <v>55722483</v>
      </c>
      <c r="E14" s="1">
        <v>55722484</v>
      </c>
      <c r="F14" s="1">
        <v>2</v>
      </c>
      <c r="G14" s="1">
        <v>1</v>
      </c>
      <c r="H14" s="1"/>
      <c r="I14" s="1"/>
      <c r="J14" s="1"/>
      <c r="K14" s="1"/>
      <c r="L14" s="1"/>
      <c r="M14" s="1"/>
      <c r="N14" s="1"/>
      <c r="O14" s="1"/>
    </row>
    <row r="16" spans="1:86" ht="12.75">
      <c r="A16" s="8">
        <v>3</v>
      </c>
      <c r="B16" s="8">
        <v>0</v>
      </c>
      <c r="C16" s="8" t="s">
        <v>3</v>
      </c>
      <c r="D16" s="8" t="s">
        <v>3</v>
      </c>
      <c r="E16" s="9">
        <f>ROUND((Source!F198)/1000,2)</f>
        <v>28.25</v>
      </c>
      <c r="F16" s="9">
        <f>ROUND((Source!F199)/1000,2)</f>
        <v>0</v>
      </c>
      <c r="G16" s="9">
        <f>ROUND((Source!F190)/1000,2)</f>
        <v>0</v>
      </c>
      <c r="H16" s="9">
        <f>ROUND((Source!F200)/1000+(Source!F201)/1000,2)</f>
        <v>0</v>
      </c>
      <c r="I16" s="9">
        <f>E16+F16+G16+H16</f>
        <v>28.25</v>
      </c>
      <c r="J16" s="9">
        <f>ROUND((Source!F196+Source!F195)/1000,2)</f>
        <v>6.4</v>
      </c>
      <c r="T16" s="10">
        <f>ROUND((Source!P198)/1000,2)</f>
        <v>666.66</v>
      </c>
      <c r="U16" s="10">
        <f>ROUND((Source!P199)/1000,2)</f>
        <v>0</v>
      </c>
      <c r="V16" s="10">
        <f>ROUND((Source!P190)/1000,2)</f>
        <v>0</v>
      </c>
      <c r="W16" s="10">
        <f>ROUND((Source!P200)/1000+(Source!P201)/1000,2)</f>
        <v>0</v>
      </c>
      <c r="X16" s="10">
        <f>T16+U16+V16+W16</f>
        <v>666.66</v>
      </c>
      <c r="Y16" s="10">
        <f>ROUND((Source!P196+Source!P195)/1000,2)</f>
        <v>246.99</v>
      </c>
      <c r="AI16" s="8">
        <v>0</v>
      </c>
      <c r="AJ16" s="8">
        <v>-1</v>
      </c>
      <c r="AK16" s="8" t="s">
        <v>3</v>
      </c>
      <c r="AL16" s="8" t="s">
        <v>3</v>
      </c>
      <c r="AM16" s="8" t="s">
        <v>3</v>
      </c>
      <c r="AN16" s="8">
        <v>0</v>
      </c>
      <c r="AO16" s="8" t="s">
        <v>3</v>
      </c>
      <c r="AP16" s="8" t="s">
        <v>3</v>
      </c>
      <c r="AT16" s="9">
        <v>19747.56</v>
      </c>
      <c r="AU16" s="9">
        <v>12444.37</v>
      </c>
      <c r="AV16" s="9">
        <v>0</v>
      </c>
      <c r="AW16" s="9">
        <v>0</v>
      </c>
      <c r="AX16" s="9">
        <v>0</v>
      </c>
      <c r="AY16" s="9">
        <v>1063.73</v>
      </c>
      <c r="AZ16" s="9">
        <v>209.09</v>
      </c>
      <c r="BA16" s="9">
        <v>6191.240000000001</v>
      </c>
      <c r="BB16" s="9">
        <v>28245.53</v>
      </c>
      <c r="BC16" s="9">
        <v>0</v>
      </c>
      <c r="BD16" s="9">
        <v>0</v>
      </c>
      <c r="BE16" s="9">
        <v>0</v>
      </c>
      <c r="BF16" s="9">
        <v>678.594446</v>
      </c>
      <c r="BG16" s="9">
        <v>17.580772</v>
      </c>
      <c r="BH16" s="9">
        <v>0</v>
      </c>
      <c r="BI16" s="9">
        <v>5787.67</v>
      </c>
      <c r="BJ16" s="9">
        <v>2710.3</v>
      </c>
      <c r="BR16" s="10">
        <v>338723.72</v>
      </c>
      <c r="BS16" s="10">
        <v>84870.6</v>
      </c>
      <c r="BT16" s="10">
        <v>0</v>
      </c>
      <c r="BU16" s="10">
        <v>0</v>
      </c>
      <c r="BV16" s="10">
        <v>0</v>
      </c>
      <c r="BW16" s="10">
        <v>14285.67</v>
      </c>
      <c r="BX16" s="10">
        <v>8068.45</v>
      </c>
      <c r="BY16" s="10">
        <v>238919.78999999998</v>
      </c>
      <c r="BZ16" s="10">
        <v>666660.06</v>
      </c>
      <c r="CA16" s="10">
        <v>0</v>
      </c>
      <c r="CB16" s="10">
        <v>0</v>
      </c>
      <c r="CC16" s="10">
        <v>0</v>
      </c>
      <c r="CD16" s="10">
        <v>678.594446</v>
      </c>
      <c r="CE16" s="10">
        <v>17.580772</v>
      </c>
      <c r="CF16" s="10">
        <v>0</v>
      </c>
      <c r="CG16" s="10">
        <v>223345.77</v>
      </c>
      <c r="CH16" s="10">
        <v>104590.57</v>
      </c>
    </row>
    <row r="18" spans="1:40" ht="12.75">
      <c r="A18">
        <v>51</v>
      </c>
      <c r="E18" s="6">
        <f>SUMIF(A16:A17,3,E16:E17)</f>
        <v>28.25</v>
      </c>
      <c r="F18" s="6">
        <f>SUMIF(A16:A17,3,F16:F17)</f>
        <v>0</v>
      </c>
      <c r="G18" s="6">
        <f>SUMIF(A16:A17,3,G16:G17)</f>
        <v>0</v>
      </c>
      <c r="H18" s="6">
        <f>SUMIF(A16:A17,3,H16:H17)</f>
        <v>0</v>
      </c>
      <c r="I18" s="6">
        <f>SUMIF(A16:A17,3,I16:I17)</f>
        <v>28.25</v>
      </c>
      <c r="J18" s="6">
        <f>SUMIF(A16:A17,3,J16:J17)</f>
        <v>6.4</v>
      </c>
      <c r="K18" s="6"/>
      <c r="L18" s="6"/>
      <c r="M18" s="6"/>
      <c r="N18" s="6"/>
      <c r="O18" s="6"/>
      <c r="P18" s="6"/>
      <c r="Q18" s="6"/>
      <c r="R18" s="6"/>
      <c r="S18" s="6"/>
      <c r="T18" s="3">
        <f>SUMIF(A16:A17,3,T16:T17)</f>
        <v>666.66</v>
      </c>
      <c r="U18" s="3">
        <f>SUMIF(A16:A17,3,U16:U17)</f>
        <v>0</v>
      </c>
      <c r="V18" s="3">
        <f>SUMIF(A16:A17,3,V16:V17)</f>
        <v>0</v>
      </c>
      <c r="W18" s="3">
        <f>SUMIF(A16:A17,3,W16:W17)</f>
        <v>0</v>
      </c>
      <c r="X18" s="3">
        <f>SUMIF(A16:A17,3,X16:X17)</f>
        <v>666.66</v>
      </c>
      <c r="Y18" s="3">
        <f>SUMIF(A16:A17,3,Y16:Y17)</f>
        <v>246.99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16" ht="12.75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19747.56</v>
      </c>
      <c r="G20" s="5" t="s">
        <v>101</v>
      </c>
      <c r="H20" s="5" t="s">
        <v>102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338723.72</v>
      </c>
    </row>
    <row r="21" spans="1:16" ht="12.75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12444.37</v>
      </c>
      <c r="G21" s="5" t="s">
        <v>103</v>
      </c>
      <c r="H21" s="5" t="s">
        <v>104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84870.6</v>
      </c>
    </row>
    <row r="22" spans="1:16" ht="12.75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105</v>
      </c>
      <c r="H22" s="5" t="s">
        <v>106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16" ht="12.75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12444.37</v>
      </c>
      <c r="G23" s="5" t="s">
        <v>107</v>
      </c>
      <c r="H23" s="5" t="s">
        <v>108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84870.6</v>
      </c>
    </row>
    <row r="24" spans="1:16" ht="12.75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12444.37</v>
      </c>
      <c r="G24" s="5" t="s">
        <v>109</v>
      </c>
      <c r="H24" s="5" t="s">
        <v>110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84870.6</v>
      </c>
    </row>
    <row r="25" spans="1:16" ht="12.75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111</v>
      </c>
      <c r="H25" s="5" t="s">
        <v>112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16" ht="12.75">
      <c r="A26" s="5">
        <v>50</v>
      </c>
      <c r="B26" s="5">
        <v>1</v>
      </c>
      <c r="C26" s="5">
        <v>0</v>
      </c>
      <c r="D26" s="5">
        <v>1</v>
      </c>
      <c r="E26" s="5">
        <v>228</v>
      </c>
      <c r="F26" s="5">
        <v>12444.37</v>
      </c>
      <c r="G26" s="5" t="s">
        <v>113</v>
      </c>
      <c r="H26" s="5" t="s">
        <v>114</v>
      </c>
      <c r="I26" s="5"/>
      <c r="J26" s="5"/>
      <c r="K26" s="5">
        <v>228</v>
      </c>
      <c r="L26" s="5">
        <v>7</v>
      </c>
      <c r="M26" s="5">
        <v>0</v>
      </c>
      <c r="N26" s="5" t="s">
        <v>3</v>
      </c>
      <c r="O26" s="5">
        <v>2</v>
      </c>
      <c r="P26" s="5">
        <v>84870.6</v>
      </c>
    </row>
    <row r="27" spans="1:16" ht="12.75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115</v>
      </c>
      <c r="H27" s="5" t="s">
        <v>116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16" ht="12.75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117</v>
      </c>
      <c r="H28" s="5" t="s">
        <v>118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16" ht="12.75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119</v>
      </c>
      <c r="H29" s="5" t="s">
        <v>120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16" ht="12.75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1063.7299999999998</v>
      </c>
      <c r="G30" s="5" t="s">
        <v>121</v>
      </c>
      <c r="H30" s="5" t="s">
        <v>122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14285.67</v>
      </c>
    </row>
    <row r="31" spans="1:16" ht="12.75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123</v>
      </c>
      <c r="H31" s="5" t="s">
        <v>124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16" ht="12.75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209.09</v>
      </c>
      <c r="G32" s="5" t="s">
        <v>125</v>
      </c>
      <c r="H32" s="5" t="s">
        <v>126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8068.450000000001</v>
      </c>
    </row>
    <row r="33" spans="1:16" ht="12.75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6191.240000000001</v>
      </c>
      <c r="G33" s="5" t="s">
        <v>127</v>
      </c>
      <c r="H33" s="5" t="s">
        <v>128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238919.78999999998</v>
      </c>
    </row>
    <row r="34" spans="1:16" ht="12.75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129</v>
      </c>
      <c r="H34" s="5" t="s">
        <v>130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ht="12.75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28245.53</v>
      </c>
      <c r="G35" s="5" t="s">
        <v>131</v>
      </c>
      <c r="H35" s="5" t="s">
        <v>132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666660.06</v>
      </c>
    </row>
    <row r="36" spans="1:16" ht="12.75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0</v>
      </c>
      <c r="G36" s="5" t="s">
        <v>133</v>
      </c>
      <c r="H36" s="5" t="s">
        <v>134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0</v>
      </c>
    </row>
    <row r="37" spans="1:16" ht="12.75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0</v>
      </c>
      <c r="G37" s="5" t="s">
        <v>135</v>
      </c>
      <c r="H37" s="5" t="s">
        <v>136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0</v>
      </c>
    </row>
    <row r="38" spans="1:16" ht="12.75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137</v>
      </c>
      <c r="H38" s="5" t="s">
        <v>138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ht="12.75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139</v>
      </c>
      <c r="H39" s="5" t="s">
        <v>140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ht="12.75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678.594446</v>
      </c>
      <c r="G40" s="5" t="s">
        <v>141</v>
      </c>
      <c r="H40" s="5" t="s">
        <v>142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678.594446</v>
      </c>
    </row>
    <row r="41" spans="1:16" ht="12.75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17.580772</v>
      </c>
      <c r="G41" s="5" t="s">
        <v>143</v>
      </c>
      <c r="H41" s="5" t="s">
        <v>144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17.580772</v>
      </c>
    </row>
    <row r="42" spans="1:16" ht="12.75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145</v>
      </c>
      <c r="H42" s="5" t="s">
        <v>146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ht="12.75">
      <c r="A43" s="5">
        <v>50</v>
      </c>
      <c r="B43" s="5">
        <v>0</v>
      </c>
      <c r="C43" s="5">
        <v>0</v>
      </c>
      <c r="D43" s="5">
        <v>1</v>
      </c>
      <c r="E43" s="5">
        <v>233</v>
      </c>
      <c r="F43" s="5">
        <v>48.22</v>
      </c>
      <c r="G43" s="5" t="s">
        <v>147</v>
      </c>
      <c r="H43" s="5" t="s">
        <v>148</v>
      </c>
      <c r="I43" s="5"/>
      <c r="J43" s="5"/>
      <c r="K43" s="5">
        <v>233</v>
      </c>
      <c r="L43" s="5">
        <v>24</v>
      </c>
      <c r="M43" s="5">
        <v>3</v>
      </c>
      <c r="N43" s="5" t="s">
        <v>3</v>
      </c>
      <c r="O43" s="5">
        <v>2</v>
      </c>
      <c r="P43" s="5">
        <v>647.66</v>
      </c>
    </row>
    <row r="44" spans="1:16" ht="12.75">
      <c r="A44" s="5">
        <v>50</v>
      </c>
      <c r="B44" s="5">
        <v>0</v>
      </c>
      <c r="C44" s="5">
        <v>0</v>
      </c>
      <c r="D44" s="5">
        <v>1</v>
      </c>
      <c r="E44" s="5">
        <v>210</v>
      </c>
      <c r="F44" s="5">
        <v>5787.67</v>
      </c>
      <c r="G44" s="5" t="s">
        <v>149</v>
      </c>
      <c r="H44" s="5" t="s">
        <v>150</v>
      </c>
      <c r="I44" s="5"/>
      <c r="J44" s="5"/>
      <c r="K44" s="5">
        <v>210</v>
      </c>
      <c r="L44" s="5">
        <v>25</v>
      </c>
      <c r="M44" s="5">
        <v>3</v>
      </c>
      <c r="N44" s="5" t="s">
        <v>3</v>
      </c>
      <c r="O44" s="5">
        <v>2</v>
      </c>
      <c r="P44" s="5">
        <v>223345.77</v>
      </c>
    </row>
    <row r="45" spans="1:16" ht="12.75">
      <c r="A45" s="5">
        <v>50</v>
      </c>
      <c r="B45" s="5">
        <v>0</v>
      </c>
      <c r="C45" s="5">
        <v>0</v>
      </c>
      <c r="D45" s="5">
        <v>1</v>
      </c>
      <c r="E45" s="5">
        <v>211</v>
      </c>
      <c r="F45" s="5">
        <v>2710.3</v>
      </c>
      <c r="G45" s="5" t="s">
        <v>151</v>
      </c>
      <c r="H45" s="5" t="s">
        <v>152</v>
      </c>
      <c r="I45" s="5"/>
      <c r="J45" s="5"/>
      <c r="K45" s="5">
        <v>211</v>
      </c>
      <c r="L45" s="5">
        <v>26</v>
      </c>
      <c r="M45" s="5">
        <v>3</v>
      </c>
      <c r="N45" s="5" t="s">
        <v>3</v>
      </c>
      <c r="O45" s="5">
        <v>2</v>
      </c>
      <c r="P45" s="5">
        <v>104590.57</v>
      </c>
    </row>
    <row r="46" spans="1:16" ht="12.75">
      <c r="A46" s="5">
        <v>50</v>
      </c>
      <c r="B46" s="5">
        <v>0</v>
      </c>
      <c r="C46" s="5">
        <v>0</v>
      </c>
      <c r="D46" s="5">
        <v>1</v>
      </c>
      <c r="E46" s="5">
        <v>0</v>
      </c>
      <c r="F46" s="5">
        <v>28245.530000000002</v>
      </c>
      <c r="G46" s="5" t="s">
        <v>153</v>
      </c>
      <c r="H46" s="5" t="s">
        <v>154</v>
      </c>
      <c r="I46" s="5"/>
      <c r="J46" s="5"/>
      <c r="K46" s="5">
        <v>224</v>
      </c>
      <c r="L46" s="5">
        <v>27</v>
      </c>
      <c r="M46" s="5">
        <v>3</v>
      </c>
      <c r="N46" s="5" t="s">
        <v>3</v>
      </c>
      <c r="O46" s="5">
        <v>2</v>
      </c>
      <c r="P46" s="5">
        <v>666660.06</v>
      </c>
    </row>
    <row r="47" spans="1:16" ht="12.75">
      <c r="A47" s="5">
        <v>50</v>
      </c>
      <c r="B47" s="5">
        <v>0</v>
      </c>
      <c r="C47" s="5">
        <v>0</v>
      </c>
      <c r="D47" s="5">
        <v>2</v>
      </c>
      <c r="E47" s="5">
        <v>0</v>
      </c>
      <c r="F47" s="5">
        <v>12444.37</v>
      </c>
      <c r="G47" s="5" t="s">
        <v>203</v>
      </c>
      <c r="H47" s="5" t="s">
        <v>203</v>
      </c>
      <c r="I47" s="5"/>
      <c r="J47" s="5"/>
      <c r="K47" s="5">
        <v>212</v>
      </c>
      <c r="L47" s="5">
        <v>28</v>
      </c>
      <c r="M47" s="5">
        <v>3</v>
      </c>
      <c r="N47" s="5" t="s">
        <v>3</v>
      </c>
      <c r="O47" s="5">
        <v>2</v>
      </c>
      <c r="P47" s="5">
        <v>84870.6</v>
      </c>
    </row>
    <row r="48" spans="1:16" ht="12.75">
      <c r="A48" s="5">
        <v>50</v>
      </c>
      <c r="B48" s="5">
        <v>0</v>
      </c>
      <c r="C48" s="5">
        <v>0</v>
      </c>
      <c r="D48" s="5">
        <v>2</v>
      </c>
      <c r="E48" s="5">
        <v>0</v>
      </c>
      <c r="F48" s="5">
        <v>28245.53</v>
      </c>
      <c r="G48" s="5" t="s">
        <v>210</v>
      </c>
      <c r="H48" s="5" t="s">
        <v>153</v>
      </c>
      <c r="I48" s="5"/>
      <c r="J48" s="5"/>
      <c r="K48" s="5">
        <v>212</v>
      </c>
      <c r="L48" s="5">
        <v>29</v>
      </c>
      <c r="M48" s="5">
        <v>3</v>
      </c>
      <c r="N48" s="5" t="s">
        <v>3</v>
      </c>
      <c r="O48" s="5">
        <v>2</v>
      </c>
      <c r="P48" s="5">
        <v>666660.06</v>
      </c>
    </row>
    <row r="49" spans="1:16" ht="12.75">
      <c r="A49" s="5">
        <v>50</v>
      </c>
      <c r="B49" s="5">
        <v>1</v>
      </c>
      <c r="C49" s="5">
        <v>0</v>
      </c>
      <c r="D49" s="5">
        <v>2</v>
      </c>
      <c r="E49" s="5">
        <v>0</v>
      </c>
      <c r="F49" s="5">
        <v>5649.11</v>
      </c>
      <c r="G49" s="5" t="s">
        <v>211</v>
      </c>
      <c r="H49" s="5" t="s">
        <v>207</v>
      </c>
      <c r="I49" s="5"/>
      <c r="J49" s="5"/>
      <c r="K49" s="5">
        <v>212</v>
      </c>
      <c r="L49" s="5">
        <v>32</v>
      </c>
      <c r="M49" s="5">
        <v>0</v>
      </c>
      <c r="N49" s="5" t="s">
        <v>3</v>
      </c>
      <c r="O49" s="5">
        <v>2</v>
      </c>
      <c r="P49" s="5">
        <v>133332.01</v>
      </c>
    </row>
    <row r="50" spans="1:16" ht="12.75">
      <c r="A50" s="5">
        <v>50</v>
      </c>
      <c r="B50" s="5">
        <v>1</v>
      </c>
      <c r="C50" s="5">
        <v>0</v>
      </c>
      <c r="D50" s="5">
        <v>2</v>
      </c>
      <c r="E50" s="5">
        <v>224</v>
      </c>
      <c r="F50" s="5">
        <v>33894.64</v>
      </c>
      <c r="G50" s="5" t="s">
        <v>212</v>
      </c>
      <c r="H50" s="5" t="s">
        <v>208</v>
      </c>
      <c r="I50" s="5"/>
      <c r="J50" s="5"/>
      <c r="K50" s="5">
        <v>212</v>
      </c>
      <c r="L50" s="5">
        <v>33</v>
      </c>
      <c r="M50" s="5">
        <v>0</v>
      </c>
      <c r="N50" s="5" t="s">
        <v>3</v>
      </c>
      <c r="O50" s="5">
        <v>2</v>
      </c>
      <c r="P50" s="5">
        <v>799992.07</v>
      </c>
    </row>
    <row r="52" ht="12.75">
      <c r="A52">
        <v>-1</v>
      </c>
    </row>
    <row r="55" spans="1:15" ht="12.75">
      <c r="A55" s="4">
        <v>75</v>
      </c>
      <c r="B55" s="4" t="s">
        <v>280</v>
      </c>
      <c r="C55" s="4">
        <v>2000</v>
      </c>
      <c r="D55" s="4">
        <v>0</v>
      </c>
      <c r="E55" s="4">
        <v>1</v>
      </c>
      <c r="F55" s="4"/>
      <c r="G55" s="4">
        <v>0</v>
      </c>
      <c r="H55" s="4">
        <v>1</v>
      </c>
      <c r="I55" s="4">
        <v>0</v>
      </c>
      <c r="J55" s="4">
        <v>1</v>
      </c>
      <c r="K55" s="4">
        <v>0</v>
      </c>
      <c r="L55" s="4">
        <v>0</v>
      </c>
      <c r="M55" s="4">
        <v>0</v>
      </c>
      <c r="N55" s="4">
        <v>55722483</v>
      </c>
      <c r="O55" s="4">
        <v>1</v>
      </c>
    </row>
    <row r="56" spans="1:15" ht="12.75">
      <c r="A56" s="4">
        <v>75</v>
      </c>
      <c r="B56" s="4" t="s">
        <v>281</v>
      </c>
      <c r="C56" s="4">
        <v>2023</v>
      </c>
      <c r="D56" s="4">
        <v>4</v>
      </c>
      <c r="E56" s="4">
        <v>0</v>
      </c>
      <c r="F56" s="4">
        <v>0</v>
      </c>
      <c r="G56" s="4">
        <v>0</v>
      </c>
      <c r="H56" s="4">
        <v>1</v>
      </c>
      <c r="I56" s="4">
        <v>0</v>
      </c>
      <c r="J56" s="4">
        <v>1</v>
      </c>
      <c r="K56" s="4">
        <v>0</v>
      </c>
      <c r="L56" s="4">
        <v>0</v>
      </c>
      <c r="M56" s="4">
        <v>1</v>
      </c>
      <c r="N56" s="4">
        <v>55722484</v>
      </c>
      <c r="O56" s="4">
        <v>2</v>
      </c>
    </row>
    <row r="57" spans="1:40" ht="12.75">
      <c r="A57" s="7">
        <v>3</v>
      </c>
      <c r="B57" s="7" t="s">
        <v>282</v>
      </c>
      <c r="C57" s="7">
        <v>1</v>
      </c>
      <c r="D57" s="7">
        <v>6.82</v>
      </c>
      <c r="E57" s="7">
        <v>13.43</v>
      </c>
      <c r="F57" s="7">
        <v>38.59</v>
      </c>
      <c r="G57" s="7">
        <v>38.59</v>
      </c>
      <c r="H57" s="7">
        <v>1</v>
      </c>
      <c r="I57" s="7">
        <v>1</v>
      </c>
      <c r="J57" s="7">
        <v>2</v>
      </c>
      <c r="K57" s="7">
        <v>1</v>
      </c>
      <c r="L57" s="7">
        <v>13.43</v>
      </c>
      <c r="M57" s="7">
        <v>1</v>
      </c>
      <c r="N57" s="7">
        <v>6.82</v>
      </c>
      <c r="O57" s="7">
        <v>1</v>
      </c>
      <c r="P57" s="7">
        <v>1</v>
      </c>
      <c r="Q57" s="7">
        <v>1</v>
      </c>
      <c r="R57" s="7">
        <v>13.43</v>
      </c>
      <c r="S57" s="7" t="s">
        <v>32</v>
      </c>
      <c r="T57" s="7" t="s">
        <v>3</v>
      </c>
      <c r="U57" s="7" t="s">
        <v>3</v>
      </c>
      <c r="V57" s="7" t="s">
        <v>3</v>
      </c>
      <c r="W57" s="7" t="s">
        <v>3</v>
      </c>
      <c r="X57" s="7" t="s">
        <v>3</v>
      </c>
      <c r="Y57" s="7" t="s">
        <v>3</v>
      </c>
      <c r="Z57" s="7" t="s">
        <v>3</v>
      </c>
      <c r="AA57" s="7" t="s">
        <v>3</v>
      </c>
      <c r="AB57" s="7" t="s">
        <v>3</v>
      </c>
      <c r="AC57" s="7" t="s">
        <v>3</v>
      </c>
      <c r="AD57" s="7" t="s">
        <v>3</v>
      </c>
      <c r="AE57" s="7" t="s">
        <v>3</v>
      </c>
      <c r="AF57" s="7" t="s">
        <v>3</v>
      </c>
      <c r="AG57" s="7" t="s">
        <v>3</v>
      </c>
      <c r="AH57" s="7" t="s">
        <v>3</v>
      </c>
      <c r="AI57" s="7"/>
      <c r="AJ57" s="7"/>
      <c r="AK57" s="7"/>
      <c r="AL57" s="7"/>
      <c r="AM57" s="7"/>
      <c r="AN57" s="7">
        <v>55722485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C10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7" ht="12.75">
      <c r="A1">
        <f>ROW(Source!A28)</f>
        <v>28</v>
      </c>
      <c r="B1">
        <v>55722483</v>
      </c>
      <c r="C1">
        <v>55723225</v>
      </c>
      <c r="D1">
        <v>37822895</v>
      </c>
      <c r="E1">
        <v>70</v>
      </c>
      <c r="F1">
        <v>1</v>
      </c>
      <c r="G1">
        <v>1</v>
      </c>
      <c r="H1">
        <v>1</v>
      </c>
      <c r="I1" t="s">
        <v>284</v>
      </c>
      <c r="K1" t="s">
        <v>285</v>
      </c>
      <c r="L1">
        <v>1191</v>
      </c>
      <c r="N1">
        <v>1013</v>
      </c>
      <c r="O1" t="s">
        <v>286</v>
      </c>
      <c r="P1" t="s">
        <v>286</v>
      </c>
      <c r="Q1">
        <v>1</v>
      </c>
      <c r="W1">
        <v>0</v>
      </c>
      <c r="X1">
        <v>-961628416</v>
      </c>
      <c r="Y1">
        <v>34.51</v>
      </c>
      <c r="AA1">
        <v>0</v>
      </c>
      <c r="AB1">
        <v>0</v>
      </c>
      <c r="AC1">
        <v>0</v>
      </c>
      <c r="AD1">
        <v>8.46</v>
      </c>
      <c r="AE1">
        <v>0</v>
      </c>
      <c r="AF1">
        <v>0</v>
      </c>
      <c r="AG1">
        <v>0</v>
      </c>
      <c r="AH1">
        <v>8.46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T1">
        <v>34.51</v>
      </c>
      <c r="AV1">
        <v>1</v>
      </c>
      <c r="AW1">
        <v>2</v>
      </c>
      <c r="AX1">
        <v>55723228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Y1*Source!I28</f>
        <v>3.7960999999999996</v>
      </c>
      <c r="CY1">
        <f>AD1</f>
        <v>8.46</v>
      </c>
      <c r="CZ1">
        <f>AH1</f>
        <v>8.46</v>
      </c>
      <c r="DA1">
        <f>AL1</f>
        <v>1</v>
      </c>
      <c r="DB1">
        <f>ROUND(ROUND(AT1*CZ1,2),2)</f>
        <v>291.95</v>
      </c>
      <c r="DC1">
        <f>ROUND(ROUND(AT1*AG1,2),2)</f>
        <v>0</v>
      </c>
    </row>
    <row r="2" spans="1:107" ht="12.75">
      <c r="A2">
        <f>ROW(Source!A28)</f>
        <v>28</v>
      </c>
      <c r="B2">
        <v>55722483</v>
      </c>
      <c r="C2">
        <v>55723225</v>
      </c>
      <c r="D2">
        <v>53634987</v>
      </c>
      <c r="E2">
        <v>70</v>
      </c>
      <c r="F2">
        <v>1</v>
      </c>
      <c r="G2">
        <v>1</v>
      </c>
      <c r="H2">
        <v>3</v>
      </c>
      <c r="I2" t="s">
        <v>34</v>
      </c>
      <c r="K2" t="s">
        <v>35</v>
      </c>
      <c r="L2">
        <v>1348</v>
      </c>
      <c r="N2">
        <v>1009</v>
      </c>
      <c r="O2" t="s">
        <v>36</v>
      </c>
      <c r="P2" t="s">
        <v>36</v>
      </c>
      <c r="Q2">
        <v>1000</v>
      </c>
      <c r="W2">
        <v>0</v>
      </c>
      <c r="X2">
        <v>-1296435862</v>
      </c>
      <c r="Y2">
        <v>0.356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0</v>
      </c>
      <c r="AP2">
        <v>0</v>
      </c>
      <c r="AQ2">
        <v>0</v>
      </c>
      <c r="AR2">
        <v>0</v>
      </c>
      <c r="AT2">
        <v>0.356</v>
      </c>
      <c r="AV2">
        <v>0</v>
      </c>
      <c r="AW2">
        <v>2</v>
      </c>
      <c r="AX2">
        <v>55723229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Y2*Source!I28</f>
        <v>0.03916</v>
      </c>
      <c r="CY2">
        <f>AA2</f>
        <v>0</v>
      </c>
      <c r="CZ2">
        <f>AE2</f>
        <v>0</v>
      </c>
      <c r="DA2">
        <f>AI2</f>
        <v>1</v>
      </c>
      <c r="DB2">
        <f>ROUND(ROUND(AT2*CZ2,2),2)</f>
        <v>0</v>
      </c>
      <c r="DC2">
        <f>ROUND(ROUND(AT2*AG2,2),2)</f>
        <v>0</v>
      </c>
    </row>
    <row r="3" spans="1:107" ht="12.75">
      <c r="A3">
        <f>ROW(Source!A29)</f>
        <v>29</v>
      </c>
      <c r="B3">
        <v>55722484</v>
      </c>
      <c r="C3">
        <v>55723225</v>
      </c>
      <c r="D3">
        <v>37822895</v>
      </c>
      <c r="E3">
        <v>70</v>
      </c>
      <c r="F3">
        <v>1</v>
      </c>
      <c r="G3">
        <v>1</v>
      </c>
      <c r="H3">
        <v>1</v>
      </c>
      <c r="I3" t="s">
        <v>284</v>
      </c>
      <c r="K3" t="s">
        <v>285</v>
      </c>
      <c r="L3">
        <v>1191</v>
      </c>
      <c r="N3">
        <v>1013</v>
      </c>
      <c r="O3" t="s">
        <v>286</v>
      </c>
      <c r="P3" t="s">
        <v>286</v>
      </c>
      <c r="Q3">
        <v>1</v>
      </c>
      <c r="W3">
        <v>0</v>
      </c>
      <c r="X3">
        <v>-961628416</v>
      </c>
      <c r="Y3">
        <v>34.51</v>
      </c>
      <c r="AA3">
        <v>0</v>
      </c>
      <c r="AB3">
        <v>0</v>
      </c>
      <c r="AC3">
        <v>0</v>
      </c>
      <c r="AD3">
        <v>326.47</v>
      </c>
      <c r="AE3">
        <v>0</v>
      </c>
      <c r="AF3">
        <v>0</v>
      </c>
      <c r="AG3">
        <v>0</v>
      </c>
      <c r="AH3">
        <v>8.46</v>
      </c>
      <c r="AI3">
        <v>1</v>
      </c>
      <c r="AJ3">
        <v>1</v>
      </c>
      <c r="AK3">
        <v>1</v>
      </c>
      <c r="AL3">
        <v>38.59</v>
      </c>
      <c r="AN3">
        <v>0</v>
      </c>
      <c r="AO3">
        <v>1</v>
      </c>
      <c r="AP3">
        <v>0</v>
      </c>
      <c r="AQ3">
        <v>0</v>
      </c>
      <c r="AR3">
        <v>0</v>
      </c>
      <c r="AT3">
        <v>34.51</v>
      </c>
      <c r="AV3">
        <v>1</v>
      </c>
      <c r="AW3">
        <v>2</v>
      </c>
      <c r="AX3">
        <v>55723228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Y3*Source!I29</f>
        <v>3.7960999999999996</v>
      </c>
      <c r="CY3">
        <f>AD3</f>
        <v>326.47</v>
      </c>
      <c r="CZ3">
        <f>AH3</f>
        <v>8.46</v>
      </c>
      <c r="DA3">
        <f>AL3</f>
        <v>38.59</v>
      </c>
      <c r="DB3">
        <f>ROUND(ROUND(AT3*CZ3,2),2)</f>
        <v>291.95</v>
      </c>
      <c r="DC3">
        <f>ROUND(ROUND(AT3*AG3,2),2)</f>
        <v>0</v>
      </c>
    </row>
    <row r="4" spans="1:107" ht="12.75">
      <c r="A4">
        <f>ROW(Source!A29)</f>
        <v>29</v>
      </c>
      <c r="B4">
        <v>55722484</v>
      </c>
      <c r="C4">
        <v>55723225</v>
      </c>
      <c r="D4">
        <v>53634987</v>
      </c>
      <c r="E4">
        <v>70</v>
      </c>
      <c r="F4">
        <v>1</v>
      </c>
      <c r="G4">
        <v>1</v>
      </c>
      <c r="H4">
        <v>3</v>
      </c>
      <c r="I4" t="s">
        <v>34</v>
      </c>
      <c r="K4" t="s">
        <v>35</v>
      </c>
      <c r="L4">
        <v>1348</v>
      </c>
      <c r="N4">
        <v>1009</v>
      </c>
      <c r="O4" t="s">
        <v>36</v>
      </c>
      <c r="P4" t="s">
        <v>36</v>
      </c>
      <c r="Q4">
        <v>1000</v>
      </c>
      <c r="W4">
        <v>0</v>
      </c>
      <c r="X4">
        <v>-1296435862</v>
      </c>
      <c r="Y4">
        <v>0.356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6.82</v>
      </c>
      <c r="AJ4">
        <v>1</v>
      </c>
      <c r="AK4">
        <v>1</v>
      </c>
      <c r="AL4">
        <v>1</v>
      </c>
      <c r="AN4">
        <v>0</v>
      </c>
      <c r="AO4">
        <v>0</v>
      </c>
      <c r="AP4">
        <v>0</v>
      </c>
      <c r="AQ4">
        <v>0</v>
      </c>
      <c r="AR4">
        <v>0</v>
      </c>
      <c r="AT4">
        <v>0.356</v>
      </c>
      <c r="AV4">
        <v>0</v>
      </c>
      <c r="AW4">
        <v>2</v>
      </c>
      <c r="AX4">
        <v>55723229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Y4*Source!I29</f>
        <v>0.03916</v>
      </c>
      <c r="CY4">
        <f>AA4</f>
        <v>0</v>
      </c>
      <c r="CZ4">
        <f>AE4</f>
        <v>0</v>
      </c>
      <c r="DA4">
        <f>AI4</f>
        <v>6.82</v>
      </c>
      <c r="DB4">
        <f>ROUND(ROUND(AT4*CZ4,2),2)</f>
        <v>0</v>
      </c>
      <c r="DC4">
        <f>ROUND(ROUND(AT4*AG4,2),2)</f>
        <v>0</v>
      </c>
    </row>
    <row r="5" spans="1:107" ht="12.75">
      <c r="A5">
        <f>ROW(Source!A32)</f>
        <v>32</v>
      </c>
      <c r="B5">
        <v>55722483</v>
      </c>
      <c r="C5">
        <v>55723231</v>
      </c>
      <c r="D5">
        <v>37822912</v>
      </c>
      <c r="E5">
        <v>70</v>
      </c>
      <c r="F5">
        <v>1</v>
      </c>
      <c r="G5">
        <v>1</v>
      </c>
      <c r="H5">
        <v>1</v>
      </c>
      <c r="I5" t="s">
        <v>287</v>
      </c>
      <c r="K5" t="s">
        <v>288</v>
      </c>
      <c r="L5">
        <v>1191</v>
      </c>
      <c r="N5">
        <v>1013</v>
      </c>
      <c r="O5" t="s">
        <v>286</v>
      </c>
      <c r="P5" t="s">
        <v>286</v>
      </c>
      <c r="Q5">
        <v>1</v>
      </c>
      <c r="W5">
        <v>0</v>
      </c>
      <c r="X5">
        <v>-2012709214</v>
      </c>
      <c r="Y5">
        <v>129.6119</v>
      </c>
      <c r="AA5">
        <v>0</v>
      </c>
      <c r="AB5">
        <v>0</v>
      </c>
      <c r="AC5">
        <v>0</v>
      </c>
      <c r="AD5">
        <v>9.4</v>
      </c>
      <c r="AE5">
        <v>0</v>
      </c>
      <c r="AF5">
        <v>0</v>
      </c>
      <c r="AG5">
        <v>0</v>
      </c>
      <c r="AH5">
        <v>9.4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1</v>
      </c>
      <c r="AQ5">
        <v>0</v>
      </c>
      <c r="AR5">
        <v>0</v>
      </c>
      <c r="AT5">
        <v>102.46</v>
      </c>
      <c r="AU5" t="s">
        <v>42</v>
      </c>
      <c r="AV5">
        <v>1</v>
      </c>
      <c r="AW5">
        <v>2</v>
      </c>
      <c r="AX5">
        <v>55723237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Y5*Source!I32</f>
        <v>305.884084</v>
      </c>
      <c r="CY5">
        <f>AD5</f>
        <v>9.4</v>
      </c>
      <c r="CZ5">
        <f>AH5</f>
        <v>9.4</v>
      </c>
      <c r="DA5">
        <f>AL5</f>
        <v>1</v>
      </c>
      <c r="DB5">
        <f>ROUND((ROUND(AT5*CZ5,2)*ROUND((1.15*1.1),7)),2)</f>
        <v>1218.35</v>
      </c>
      <c r="DC5">
        <f>ROUND((ROUND(AT5*AG5,2)*ROUND((1.15*1.1),7)),2)</f>
        <v>0</v>
      </c>
    </row>
    <row r="6" spans="1:107" ht="12.75">
      <c r="A6">
        <f>ROW(Source!A32)</f>
        <v>32</v>
      </c>
      <c r="B6">
        <v>55722483</v>
      </c>
      <c r="C6">
        <v>55723231</v>
      </c>
      <c r="D6">
        <v>37822850</v>
      </c>
      <c r="E6">
        <v>70</v>
      </c>
      <c r="F6">
        <v>1</v>
      </c>
      <c r="G6">
        <v>1</v>
      </c>
      <c r="H6">
        <v>1</v>
      </c>
      <c r="I6" t="s">
        <v>289</v>
      </c>
      <c r="K6" t="s">
        <v>290</v>
      </c>
      <c r="L6">
        <v>1191</v>
      </c>
      <c r="N6">
        <v>1013</v>
      </c>
      <c r="O6" t="s">
        <v>286</v>
      </c>
      <c r="P6" t="s">
        <v>286</v>
      </c>
      <c r="Q6">
        <v>1</v>
      </c>
      <c r="W6">
        <v>0</v>
      </c>
      <c r="X6">
        <v>-1417349443</v>
      </c>
      <c r="Y6">
        <v>6.675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1</v>
      </c>
      <c r="AQ6">
        <v>0</v>
      </c>
      <c r="AR6">
        <v>0</v>
      </c>
      <c r="AT6">
        <v>5.34</v>
      </c>
      <c r="AU6" t="s">
        <v>41</v>
      </c>
      <c r="AV6">
        <v>2</v>
      </c>
      <c r="AW6">
        <v>2</v>
      </c>
      <c r="AX6">
        <v>55723238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Y6*Source!I32</f>
        <v>15.752999999999998</v>
      </c>
      <c r="CY6">
        <f>AD6</f>
        <v>0</v>
      </c>
      <c r="CZ6">
        <f>AH6</f>
        <v>0</v>
      </c>
      <c r="DA6">
        <f>AL6</f>
        <v>1</v>
      </c>
      <c r="DB6">
        <f>ROUND((ROUND(AT6*CZ6,2)*ROUND(1.25,7)),2)</f>
        <v>0</v>
      </c>
      <c r="DC6">
        <f>ROUND((ROUND(AT6*AG6,2)*ROUND(1.25,7)),2)</f>
        <v>0</v>
      </c>
    </row>
    <row r="7" spans="1:107" ht="12.75">
      <c r="A7">
        <f>ROW(Source!A32)</f>
        <v>32</v>
      </c>
      <c r="B7">
        <v>55722483</v>
      </c>
      <c r="C7">
        <v>55723231</v>
      </c>
      <c r="D7">
        <v>53792191</v>
      </c>
      <c r="E7">
        <v>1</v>
      </c>
      <c r="F7">
        <v>1</v>
      </c>
      <c r="G7">
        <v>1</v>
      </c>
      <c r="H7">
        <v>2</v>
      </c>
      <c r="I7" t="s">
        <v>291</v>
      </c>
      <c r="J7" t="s">
        <v>292</v>
      </c>
      <c r="K7" t="s">
        <v>293</v>
      </c>
      <c r="L7">
        <v>1367</v>
      </c>
      <c r="N7">
        <v>1011</v>
      </c>
      <c r="O7" t="s">
        <v>294</v>
      </c>
      <c r="P7" t="s">
        <v>294</v>
      </c>
      <c r="Q7">
        <v>1</v>
      </c>
      <c r="W7">
        <v>0</v>
      </c>
      <c r="X7">
        <v>1232162608</v>
      </c>
      <c r="Y7">
        <v>0.95</v>
      </c>
      <c r="AA7">
        <v>0</v>
      </c>
      <c r="AB7">
        <v>31.26</v>
      </c>
      <c r="AC7">
        <v>13.5</v>
      </c>
      <c r="AD7">
        <v>0</v>
      </c>
      <c r="AE7">
        <v>0</v>
      </c>
      <c r="AF7">
        <v>31.26</v>
      </c>
      <c r="AG7">
        <v>13.5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T7">
        <v>0.76</v>
      </c>
      <c r="AU7" t="s">
        <v>41</v>
      </c>
      <c r="AV7">
        <v>0</v>
      </c>
      <c r="AW7">
        <v>2</v>
      </c>
      <c r="AX7">
        <v>55723239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Y7*Source!I32</f>
        <v>2.242</v>
      </c>
      <c r="CY7">
        <f>AB7</f>
        <v>31.26</v>
      </c>
      <c r="CZ7">
        <f>AF7</f>
        <v>31.26</v>
      </c>
      <c r="DA7">
        <f>AJ7</f>
        <v>1</v>
      </c>
      <c r="DB7">
        <f>ROUND((ROUND(AT7*CZ7,2)*ROUND(1.25,7)),2)</f>
        <v>29.7</v>
      </c>
      <c r="DC7">
        <f>ROUND((ROUND(AT7*AG7,2)*ROUND(1.25,7)),2)</f>
        <v>12.83</v>
      </c>
    </row>
    <row r="8" spans="1:107" ht="12.75">
      <c r="A8">
        <f>ROW(Source!A32)</f>
        <v>32</v>
      </c>
      <c r="B8">
        <v>55722483</v>
      </c>
      <c r="C8">
        <v>55723231</v>
      </c>
      <c r="D8">
        <v>53792927</v>
      </c>
      <c r="E8">
        <v>1</v>
      </c>
      <c r="F8">
        <v>1</v>
      </c>
      <c r="G8">
        <v>1</v>
      </c>
      <c r="H8">
        <v>2</v>
      </c>
      <c r="I8" t="s">
        <v>295</v>
      </c>
      <c r="J8" t="s">
        <v>296</v>
      </c>
      <c r="K8" t="s">
        <v>297</v>
      </c>
      <c r="L8">
        <v>1367</v>
      </c>
      <c r="N8">
        <v>1011</v>
      </c>
      <c r="O8" t="s">
        <v>294</v>
      </c>
      <c r="P8" t="s">
        <v>294</v>
      </c>
      <c r="Q8">
        <v>1</v>
      </c>
      <c r="W8">
        <v>0</v>
      </c>
      <c r="X8">
        <v>509054691</v>
      </c>
      <c r="Y8">
        <v>5.725</v>
      </c>
      <c r="AA8">
        <v>0</v>
      </c>
      <c r="AB8">
        <v>65.71</v>
      </c>
      <c r="AC8">
        <v>11.6</v>
      </c>
      <c r="AD8">
        <v>0</v>
      </c>
      <c r="AE8">
        <v>0</v>
      </c>
      <c r="AF8">
        <v>65.71</v>
      </c>
      <c r="AG8">
        <v>11.6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1</v>
      </c>
      <c r="AQ8">
        <v>0</v>
      </c>
      <c r="AR8">
        <v>0</v>
      </c>
      <c r="AT8">
        <v>4.58</v>
      </c>
      <c r="AU8" t="s">
        <v>41</v>
      </c>
      <c r="AV8">
        <v>0</v>
      </c>
      <c r="AW8">
        <v>2</v>
      </c>
      <c r="AX8">
        <v>55723240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Y8*Source!I32</f>
        <v>13.511</v>
      </c>
      <c r="CY8">
        <f>AB8</f>
        <v>65.71</v>
      </c>
      <c r="CZ8">
        <f>AF8</f>
        <v>65.71</v>
      </c>
      <c r="DA8">
        <f>AJ8</f>
        <v>1</v>
      </c>
      <c r="DB8">
        <f>ROUND((ROUND(AT8*CZ8,2)*ROUND(1.25,7)),2)</f>
        <v>376.19</v>
      </c>
      <c r="DC8">
        <f>ROUND((ROUND(AT8*AG8,2)*ROUND(1.25,7)),2)</f>
        <v>66.41</v>
      </c>
    </row>
    <row r="9" spans="1:107" ht="12.75">
      <c r="A9">
        <f>ROW(Source!A32)</f>
        <v>32</v>
      </c>
      <c r="B9">
        <v>55722483</v>
      </c>
      <c r="C9">
        <v>55723231</v>
      </c>
      <c r="D9">
        <v>53642417</v>
      </c>
      <c r="E9">
        <v>1</v>
      </c>
      <c r="F9">
        <v>1</v>
      </c>
      <c r="G9">
        <v>1</v>
      </c>
      <c r="H9">
        <v>3</v>
      </c>
      <c r="I9" t="s">
        <v>76</v>
      </c>
      <c r="J9" t="s">
        <v>78</v>
      </c>
      <c r="K9" t="s">
        <v>77</v>
      </c>
      <c r="L9">
        <v>1327</v>
      </c>
      <c r="N9">
        <v>1005</v>
      </c>
      <c r="O9" t="s">
        <v>72</v>
      </c>
      <c r="P9" t="s">
        <v>72</v>
      </c>
      <c r="Q9">
        <v>1</v>
      </c>
      <c r="W9">
        <v>1</v>
      </c>
      <c r="X9">
        <v>-952132946</v>
      </c>
      <c r="Y9">
        <v>-103</v>
      </c>
      <c r="AA9">
        <v>51.8</v>
      </c>
      <c r="AB9">
        <v>0</v>
      </c>
      <c r="AC9">
        <v>0</v>
      </c>
      <c r="AD9">
        <v>0</v>
      </c>
      <c r="AE9">
        <v>51.8</v>
      </c>
      <c r="AF9">
        <v>0</v>
      </c>
      <c r="AG9">
        <v>0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T9">
        <v>-103</v>
      </c>
      <c r="AV9">
        <v>0</v>
      </c>
      <c r="AW9">
        <v>2</v>
      </c>
      <c r="AX9">
        <v>55723241</v>
      </c>
      <c r="AY9">
        <v>1</v>
      </c>
      <c r="AZ9">
        <v>6144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Y9*Source!I32</f>
        <v>-243.07999999999998</v>
      </c>
      <c r="CY9">
        <f aca="true" t="shared" si="0" ref="CY9:CY20">AA9</f>
        <v>51.8</v>
      </c>
      <c r="CZ9">
        <f aca="true" t="shared" si="1" ref="CZ9:CZ20">AE9</f>
        <v>51.8</v>
      </c>
      <c r="DA9">
        <f aca="true" t="shared" si="2" ref="DA9:DA20">AI9</f>
        <v>1</v>
      </c>
      <c r="DB9">
        <f aca="true" t="shared" si="3" ref="DB9:DB20">ROUND(ROUND(AT9*CZ9,2),2)</f>
        <v>-5335.4</v>
      </c>
      <c r="DC9">
        <f aca="true" t="shared" si="4" ref="DC9:DC20">ROUND(ROUND(AT9*AG9,2),2)</f>
        <v>0</v>
      </c>
    </row>
    <row r="10" spans="1:107" ht="12.75">
      <c r="A10">
        <f>ROW(Source!A32)</f>
        <v>32</v>
      </c>
      <c r="B10">
        <v>55722483</v>
      </c>
      <c r="C10">
        <v>55723231</v>
      </c>
      <c r="D10">
        <v>53642417</v>
      </c>
      <c r="E10">
        <v>1</v>
      </c>
      <c r="F10">
        <v>1</v>
      </c>
      <c r="G10">
        <v>1</v>
      </c>
      <c r="H10">
        <v>3</v>
      </c>
      <c r="I10" t="s">
        <v>76</v>
      </c>
      <c r="J10" t="s">
        <v>78</v>
      </c>
      <c r="K10" t="s">
        <v>77</v>
      </c>
      <c r="L10">
        <v>1327</v>
      </c>
      <c r="N10">
        <v>1005</v>
      </c>
      <c r="O10" t="s">
        <v>72</v>
      </c>
      <c r="P10" t="s">
        <v>72</v>
      </c>
      <c r="Q10">
        <v>1</v>
      </c>
      <c r="W10">
        <v>0</v>
      </c>
      <c r="X10">
        <v>-952132946</v>
      </c>
      <c r="Y10">
        <v>39.440678</v>
      </c>
      <c r="AA10">
        <v>51.8</v>
      </c>
      <c r="AB10">
        <v>0</v>
      </c>
      <c r="AC10">
        <v>0</v>
      </c>
      <c r="AD10">
        <v>0</v>
      </c>
      <c r="AE10">
        <v>51.8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0</v>
      </c>
      <c r="AP10">
        <v>0</v>
      </c>
      <c r="AQ10">
        <v>0</v>
      </c>
      <c r="AR10">
        <v>0</v>
      </c>
      <c r="AT10">
        <v>39.440678</v>
      </c>
      <c r="AV10">
        <v>0</v>
      </c>
      <c r="AW10">
        <v>1</v>
      </c>
      <c r="AX10">
        <v>-1</v>
      </c>
      <c r="AY10">
        <v>0</v>
      </c>
      <c r="AZ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Y10*Source!I32</f>
        <v>93.08000007999999</v>
      </c>
      <c r="CY10">
        <f t="shared" si="0"/>
        <v>51.8</v>
      </c>
      <c r="CZ10">
        <f t="shared" si="1"/>
        <v>51.8</v>
      </c>
      <c r="DA10">
        <f t="shared" si="2"/>
        <v>1</v>
      </c>
      <c r="DB10">
        <f t="shared" si="3"/>
        <v>2043.03</v>
      </c>
      <c r="DC10">
        <f t="shared" si="4"/>
        <v>0</v>
      </c>
    </row>
    <row r="11" spans="1:107" ht="12.75">
      <c r="A11">
        <f>ROW(Source!A32)</f>
        <v>32</v>
      </c>
      <c r="B11">
        <v>55722483</v>
      </c>
      <c r="C11">
        <v>55723231</v>
      </c>
      <c r="D11">
        <v>0</v>
      </c>
      <c r="E11">
        <v>0</v>
      </c>
      <c r="F11">
        <v>1</v>
      </c>
      <c r="G11">
        <v>1</v>
      </c>
      <c r="H11">
        <v>3</v>
      </c>
      <c r="I11" t="s">
        <v>52</v>
      </c>
      <c r="K11" t="s">
        <v>53</v>
      </c>
      <c r="L11">
        <v>1371</v>
      </c>
      <c r="N11">
        <v>1013</v>
      </c>
      <c r="O11" t="s">
        <v>54</v>
      </c>
      <c r="P11" t="s">
        <v>54</v>
      </c>
      <c r="Q11">
        <v>1</v>
      </c>
      <c r="W11">
        <v>0</v>
      </c>
      <c r="X11">
        <v>-1320945665</v>
      </c>
      <c r="Y11">
        <v>13.559322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0</v>
      </c>
      <c r="AP11">
        <v>0</v>
      </c>
      <c r="AQ11">
        <v>0</v>
      </c>
      <c r="AR11">
        <v>0</v>
      </c>
      <c r="AT11">
        <v>13.559322</v>
      </c>
      <c r="AV11">
        <v>0</v>
      </c>
      <c r="AW11">
        <v>1</v>
      </c>
      <c r="AX11">
        <v>-1</v>
      </c>
      <c r="AY11">
        <v>0</v>
      </c>
      <c r="AZ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Y11*Source!I32</f>
        <v>31.999999919999997</v>
      </c>
      <c r="CY11">
        <f t="shared" si="0"/>
        <v>0</v>
      </c>
      <c r="CZ11">
        <f t="shared" si="1"/>
        <v>0</v>
      </c>
      <c r="DA11">
        <f t="shared" si="2"/>
        <v>1</v>
      </c>
      <c r="DB11">
        <f t="shared" si="3"/>
        <v>0</v>
      </c>
      <c r="DC11">
        <f t="shared" si="4"/>
        <v>0</v>
      </c>
    </row>
    <row r="12" spans="1:107" ht="12.75">
      <c r="A12">
        <f>ROW(Source!A32)</f>
        <v>32</v>
      </c>
      <c r="B12">
        <v>55722483</v>
      </c>
      <c r="C12">
        <v>55723231</v>
      </c>
      <c r="D12">
        <v>0</v>
      </c>
      <c r="E12">
        <v>1</v>
      </c>
      <c r="F12">
        <v>1</v>
      </c>
      <c r="G12">
        <v>1</v>
      </c>
      <c r="H12">
        <v>3</v>
      </c>
      <c r="I12" t="s">
        <v>52</v>
      </c>
      <c r="K12" t="s">
        <v>59</v>
      </c>
      <c r="L12">
        <v>1371</v>
      </c>
      <c r="N12">
        <v>1013</v>
      </c>
      <c r="O12" t="s">
        <v>54</v>
      </c>
      <c r="P12" t="s">
        <v>54</v>
      </c>
      <c r="Q12">
        <v>1</v>
      </c>
      <c r="W12">
        <v>0</v>
      </c>
      <c r="X12">
        <v>1031016784</v>
      </c>
      <c r="Y12">
        <v>0.847458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0</v>
      </c>
      <c r="AP12">
        <v>0</v>
      </c>
      <c r="AQ12">
        <v>0</v>
      </c>
      <c r="AR12">
        <v>0</v>
      </c>
      <c r="AT12">
        <v>0.847458</v>
      </c>
      <c r="AV12">
        <v>0</v>
      </c>
      <c r="AW12">
        <v>1</v>
      </c>
      <c r="AX12">
        <v>-1</v>
      </c>
      <c r="AY12">
        <v>0</v>
      </c>
      <c r="AZ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Y12*Source!I32</f>
        <v>2.00000088</v>
      </c>
      <c r="CY12">
        <f t="shared" si="0"/>
        <v>0</v>
      </c>
      <c r="CZ12">
        <f t="shared" si="1"/>
        <v>0</v>
      </c>
      <c r="DA12">
        <f t="shared" si="2"/>
        <v>1</v>
      </c>
      <c r="DB12">
        <f t="shared" si="3"/>
        <v>0</v>
      </c>
      <c r="DC12">
        <f t="shared" si="4"/>
        <v>0</v>
      </c>
    </row>
    <row r="13" spans="1:107" ht="12.75">
      <c r="A13">
        <f>ROW(Source!A32)</f>
        <v>32</v>
      </c>
      <c r="B13">
        <v>55722483</v>
      </c>
      <c r="C13">
        <v>55723231</v>
      </c>
      <c r="D13">
        <v>0</v>
      </c>
      <c r="E13">
        <v>1</v>
      </c>
      <c r="F13">
        <v>1</v>
      </c>
      <c r="G13">
        <v>1</v>
      </c>
      <c r="H13">
        <v>3</v>
      </c>
      <c r="I13" t="s">
        <v>52</v>
      </c>
      <c r="K13" t="s">
        <v>61</v>
      </c>
      <c r="L13">
        <v>1371</v>
      </c>
      <c r="N13">
        <v>1013</v>
      </c>
      <c r="O13" t="s">
        <v>54</v>
      </c>
      <c r="P13" t="s">
        <v>54</v>
      </c>
      <c r="Q13">
        <v>1</v>
      </c>
      <c r="W13">
        <v>0</v>
      </c>
      <c r="X13">
        <v>-593500999</v>
      </c>
      <c r="Y13">
        <v>80.508475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0</v>
      </c>
      <c r="AP13">
        <v>0</v>
      </c>
      <c r="AQ13">
        <v>0</v>
      </c>
      <c r="AR13">
        <v>0</v>
      </c>
      <c r="AT13">
        <v>80.508475</v>
      </c>
      <c r="AV13">
        <v>0</v>
      </c>
      <c r="AW13">
        <v>1</v>
      </c>
      <c r="AX13">
        <v>-1</v>
      </c>
      <c r="AY13">
        <v>0</v>
      </c>
      <c r="AZ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Y13*Source!I32</f>
        <v>190.000001</v>
      </c>
      <c r="CY13">
        <f t="shared" si="0"/>
        <v>0</v>
      </c>
      <c r="CZ13">
        <f t="shared" si="1"/>
        <v>0</v>
      </c>
      <c r="DA13">
        <f t="shared" si="2"/>
        <v>1</v>
      </c>
      <c r="DB13">
        <f t="shared" si="3"/>
        <v>0</v>
      </c>
      <c r="DC13">
        <f t="shared" si="4"/>
        <v>0</v>
      </c>
    </row>
    <row r="14" spans="1:107" ht="12.75">
      <c r="A14">
        <f>ROW(Source!A32)</f>
        <v>32</v>
      </c>
      <c r="B14">
        <v>55722483</v>
      </c>
      <c r="C14">
        <v>55723231</v>
      </c>
      <c r="D14">
        <v>0</v>
      </c>
      <c r="E14">
        <v>1</v>
      </c>
      <c r="F14">
        <v>1</v>
      </c>
      <c r="G14">
        <v>1</v>
      </c>
      <c r="H14">
        <v>3</v>
      </c>
      <c r="I14" t="s">
        <v>52</v>
      </c>
      <c r="K14" t="s">
        <v>63</v>
      </c>
      <c r="L14">
        <v>1371</v>
      </c>
      <c r="N14">
        <v>1013</v>
      </c>
      <c r="O14" t="s">
        <v>54</v>
      </c>
      <c r="P14" t="s">
        <v>54</v>
      </c>
      <c r="Q14">
        <v>1</v>
      </c>
      <c r="W14">
        <v>0</v>
      </c>
      <c r="X14">
        <v>-1332956592</v>
      </c>
      <c r="Y14">
        <v>8.474576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0</v>
      </c>
      <c r="AP14">
        <v>0</v>
      </c>
      <c r="AQ14">
        <v>0</v>
      </c>
      <c r="AR14">
        <v>0</v>
      </c>
      <c r="AT14">
        <v>8.474576</v>
      </c>
      <c r="AV14">
        <v>0</v>
      </c>
      <c r="AW14">
        <v>1</v>
      </c>
      <c r="AX14">
        <v>-1</v>
      </c>
      <c r="AY14">
        <v>0</v>
      </c>
      <c r="AZ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Y14*Source!I32</f>
        <v>19.99999936</v>
      </c>
      <c r="CY14">
        <f t="shared" si="0"/>
        <v>0</v>
      </c>
      <c r="CZ14">
        <f t="shared" si="1"/>
        <v>0</v>
      </c>
      <c r="DA14">
        <f t="shared" si="2"/>
        <v>1</v>
      </c>
      <c r="DB14">
        <f t="shared" si="3"/>
        <v>0</v>
      </c>
      <c r="DC14">
        <f t="shared" si="4"/>
        <v>0</v>
      </c>
    </row>
    <row r="15" spans="1:107" ht="12.75">
      <c r="A15">
        <f>ROW(Source!A32)</f>
        <v>32</v>
      </c>
      <c r="B15">
        <v>55722483</v>
      </c>
      <c r="C15">
        <v>55723231</v>
      </c>
      <c r="D15">
        <v>0</v>
      </c>
      <c r="E15">
        <v>1</v>
      </c>
      <c r="F15">
        <v>1</v>
      </c>
      <c r="G15">
        <v>1</v>
      </c>
      <c r="H15">
        <v>3</v>
      </c>
      <c r="I15" t="s">
        <v>52</v>
      </c>
      <c r="K15" t="s">
        <v>65</v>
      </c>
      <c r="L15">
        <v>1371</v>
      </c>
      <c r="N15">
        <v>1013</v>
      </c>
      <c r="O15" t="s">
        <v>54</v>
      </c>
      <c r="P15" t="s">
        <v>54</v>
      </c>
      <c r="Q15">
        <v>1</v>
      </c>
      <c r="W15">
        <v>0</v>
      </c>
      <c r="X15">
        <v>-1240923795</v>
      </c>
      <c r="Y15">
        <v>80.508475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0</v>
      </c>
      <c r="AP15">
        <v>0</v>
      </c>
      <c r="AQ15">
        <v>0</v>
      </c>
      <c r="AR15">
        <v>0</v>
      </c>
      <c r="AT15">
        <v>80.508475</v>
      </c>
      <c r="AV15">
        <v>0</v>
      </c>
      <c r="AW15">
        <v>1</v>
      </c>
      <c r="AX15">
        <v>-1</v>
      </c>
      <c r="AY15">
        <v>0</v>
      </c>
      <c r="AZ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Y15*Source!I32</f>
        <v>190.000001</v>
      </c>
      <c r="CY15">
        <f t="shared" si="0"/>
        <v>0</v>
      </c>
      <c r="CZ15">
        <f t="shared" si="1"/>
        <v>0</v>
      </c>
      <c r="DA15">
        <f t="shared" si="2"/>
        <v>1</v>
      </c>
      <c r="DB15">
        <f t="shared" si="3"/>
        <v>0</v>
      </c>
      <c r="DC15">
        <f t="shared" si="4"/>
        <v>0</v>
      </c>
    </row>
    <row r="16" spans="1:107" ht="12.75">
      <c r="A16">
        <f>ROW(Source!A32)</f>
        <v>32</v>
      </c>
      <c r="B16">
        <v>55722483</v>
      </c>
      <c r="C16">
        <v>55723231</v>
      </c>
      <c r="D16">
        <v>0</v>
      </c>
      <c r="E16">
        <v>1</v>
      </c>
      <c r="F16">
        <v>1</v>
      </c>
      <c r="G16">
        <v>1</v>
      </c>
      <c r="H16">
        <v>3</v>
      </c>
      <c r="I16" t="s">
        <v>52</v>
      </c>
      <c r="K16" t="s">
        <v>67</v>
      </c>
      <c r="L16">
        <v>1371</v>
      </c>
      <c r="N16">
        <v>1013</v>
      </c>
      <c r="O16" t="s">
        <v>54</v>
      </c>
      <c r="P16" t="s">
        <v>54</v>
      </c>
      <c r="Q16">
        <v>1</v>
      </c>
      <c r="W16">
        <v>0</v>
      </c>
      <c r="X16">
        <v>220597244</v>
      </c>
      <c r="Y16">
        <v>11.864407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0</v>
      </c>
      <c r="AP16">
        <v>0</v>
      </c>
      <c r="AQ16">
        <v>0</v>
      </c>
      <c r="AR16">
        <v>0</v>
      </c>
      <c r="AT16">
        <v>11.864407</v>
      </c>
      <c r="AV16">
        <v>0</v>
      </c>
      <c r="AW16">
        <v>1</v>
      </c>
      <c r="AX16">
        <v>-1</v>
      </c>
      <c r="AY16">
        <v>0</v>
      </c>
      <c r="AZ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Y16*Source!I32</f>
        <v>28.000000519999997</v>
      </c>
      <c r="CY16">
        <f t="shared" si="0"/>
        <v>0</v>
      </c>
      <c r="CZ16">
        <f t="shared" si="1"/>
        <v>0</v>
      </c>
      <c r="DA16">
        <f t="shared" si="2"/>
        <v>1</v>
      </c>
      <c r="DB16">
        <f t="shared" si="3"/>
        <v>0</v>
      </c>
      <c r="DC16">
        <f t="shared" si="4"/>
        <v>0</v>
      </c>
    </row>
    <row r="17" spans="1:107" ht="12.75">
      <c r="A17">
        <f>ROW(Source!A32)</f>
        <v>32</v>
      </c>
      <c r="B17">
        <v>55722483</v>
      </c>
      <c r="C17">
        <v>55723231</v>
      </c>
      <c r="D17">
        <v>0</v>
      </c>
      <c r="E17">
        <v>1</v>
      </c>
      <c r="F17">
        <v>1</v>
      </c>
      <c r="G17">
        <v>1</v>
      </c>
      <c r="H17">
        <v>3</v>
      </c>
      <c r="I17" t="s">
        <v>52</v>
      </c>
      <c r="K17" t="s">
        <v>69</v>
      </c>
      <c r="L17">
        <v>1371</v>
      </c>
      <c r="N17">
        <v>1013</v>
      </c>
      <c r="O17" t="s">
        <v>54</v>
      </c>
      <c r="P17" t="s">
        <v>54</v>
      </c>
      <c r="Q17">
        <v>1</v>
      </c>
      <c r="W17">
        <v>0</v>
      </c>
      <c r="X17">
        <v>933089995</v>
      </c>
      <c r="Y17">
        <v>10.59322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0</v>
      </c>
      <c r="AP17">
        <v>0</v>
      </c>
      <c r="AQ17">
        <v>0</v>
      </c>
      <c r="AR17">
        <v>0</v>
      </c>
      <c r="AT17">
        <v>10.59322</v>
      </c>
      <c r="AV17">
        <v>0</v>
      </c>
      <c r="AW17">
        <v>1</v>
      </c>
      <c r="AX17">
        <v>-1</v>
      </c>
      <c r="AY17">
        <v>0</v>
      </c>
      <c r="AZ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Y17*Source!I32</f>
        <v>24.9999992</v>
      </c>
      <c r="CY17">
        <f t="shared" si="0"/>
        <v>0</v>
      </c>
      <c r="CZ17">
        <f t="shared" si="1"/>
        <v>0</v>
      </c>
      <c r="DA17">
        <f t="shared" si="2"/>
        <v>1</v>
      </c>
      <c r="DB17">
        <f t="shared" si="3"/>
        <v>0</v>
      </c>
      <c r="DC17">
        <f t="shared" si="4"/>
        <v>0</v>
      </c>
    </row>
    <row r="18" spans="1:107" ht="12.75">
      <c r="A18">
        <f>ROW(Source!A32)</f>
        <v>32</v>
      </c>
      <c r="B18">
        <v>55722483</v>
      </c>
      <c r="C18">
        <v>55723231</v>
      </c>
      <c r="D18">
        <v>0</v>
      </c>
      <c r="E18">
        <v>0</v>
      </c>
      <c r="F18">
        <v>1</v>
      </c>
      <c r="G18">
        <v>1</v>
      </c>
      <c r="H18">
        <v>3</v>
      </c>
      <c r="I18" t="s">
        <v>52</v>
      </c>
      <c r="K18" t="s">
        <v>71</v>
      </c>
      <c r="L18">
        <v>1327</v>
      </c>
      <c r="N18">
        <v>1005</v>
      </c>
      <c r="O18" t="s">
        <v>72</v>
      </c>
      <c r="P18" t="s">
        <v>72</v>
      </c>
      <c r="Q18">
        <v>1</v>
      </c>
      <c r="W18">
        <v>0</v>
      </c>
      <c r="X18">
        <v>-554993894</v>
      </c>
      <c r="Y18">
        <v>57.966102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0</v>
      </c>
      <c r="AP18">
        <v>0</v>
      </c>
      <c r="AQ18">
        <v>0</v>
      </c>
      <c r="AR18">
        <v>0</v>
      </c>
      <c r="AT18">
        <v>57.966102</v>
      </c>
      <c r="AV18">
        <v>0</v>
      </c>
      <c r="AW18">
        <v>1</v>
      </c>
      <c r="AX18">
        <v>-1</v>
      </c>
      <c r="AY18">
        <v>0</v>
      </c>
      <c r="AZ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Y18*Source!I32</f>
        <v>136.80000071999999</v>
      </c>
      <c r="CY18">
        <f t="shared" si="0"/>
        <v>0</v>
      </c>
      <c r="CZ18">
        <f t="shared" si="1"/>
        <v>0</v>
      </c>
      <c r="DA18">
        <f t="shared" si="2"/>
        <v>1</v>
      </c>
      <c r="DB18">
        <f t="shared" si="3"/>
        <v>0</v>
      </c>
      <c r="DC18">
        <f t="shared" si="4"/>
        <v>0</v>
      </c>
    </row>
    <row r="19" spans="1:107" ht="12.75">
      <c r="A19">
        <f>ROW(Source!A32)</f>
        <v>32</v>
      </c>
      <c r="B19">
        <v>55722483</v>
      </c>
      <c r="C19">
        <v>55723231</v>
      </c>
      <c r="D19">
        <v>0</v>
      </c>
      <c r="E19">
        <v>1</v>
      </c>
      <c r="F19">
        <v>1</v>
      </c>
      <c r="G19">
        <v>1</v>
      </c>
      <c r="H19">
        <v>3</v>
      </c>
      <c r="I19" t="s">
        <v>52</v>
      </c>
      <c r="K19" t="s">
        <v>74</v>
      </c>
      <c r="L19">
        <v>1327</v>
      </c>
      <c r="N19">
        <v>1005</v>
      </c>
      <c r="O19" t="s">
        <v>72</v>
      </c>
      <c r="P19" t="s">
        <v>72</v>
      </c>
      <c r="Q19">
        <v>1</v>
      </c>
      <c r="W19">
        <v>0</v>
      </c>
      <c r="X19">
        <v>-325392107</v>
      </c>
      <c r="Y19">
        <v>5.644068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0</v>
      </c>
      <c r="AP19">
        <v>0</v>
      </c>
      <c r="AQ19">
        <v>0</v>
      </c>
      <c r="AR19">
        <v>0</v>
      </c>
      <c r="AT19">
        <v>5.644068</v>
      </c>
      <c r="AV19">
        <v>0</v>
      </c>
      <c r="AW19">
        <v>1</v>
      </c>
      <c r="AX19">
        <v>-1</v>
      </c>
      <c r="AY19">
        <v>0</v>
      </c>
      <c r="AZ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Y19*Source!I32</f>
        <v>13.32000048</v>
      </c>
      <c r="CY19">
        <f t="shared" si="0"/>
        <v>0</v>
      </c>
      <c r="CZ19">
        <f t="shared" si="1"/>
        <v>0</v>
      </c>
      <c r="DA19">
        <f t="shared" si="2"/>
        <v>1</v>
      </c>
      <c r="DB19">
        <f t="shared" si="3"/>
        <v>0</v>
      </c>
      <c r="DC19">
        <f t="shared" si="4"/>
        <v>0</v>
      </c>
    </row>
    <row r="20" spans="1:107" ht="12.75">
      <c r="A20">
        <f>ROW(Source!A32)</f>
        <v>32</v>
      </c>
      <c r="B20">
        <v>55722483</v>
      </c>
      <c r="C20">
        <v>55723231</v>
      </c>
      <c r="D20">
        <v>0</v>
      </c>
      <c r="E20">
        <v>1</v>
      </c>
      <c r="F20">
        <v>1</v>
      </c>
      <c r="G20">
        <v>1</v>
      </c>
      <c r="H20">
        <v>3</v>
      </c>
      <c r="I20" t="s">
        <v>52</v>
      </c>
      <c r="K20" t="s">
        <v>57</v>
      </c>
      <c r="L20">
        <v>1371</v>
      </c>
      <c r="N20">
        <v>1013</v>
      </c>
      <c r="O20" t="s">
        <v>54</v>
      </c>
      <c r="P20" t="s">
        <v>54</v>
      </c>
      <c r="Q20">
        <v>1</v>
      </c>
      <c r="W20">
        <v>0</v>
      </c>
      <c r="X20">
        <v>436627676</v>
      </c>
      <c r="Y20">
        <v>338.983051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0</v>
      </c>
      <c r="AP20">
        <v>0</v>
      </c>
      <c r="AQ20">
        <v>0</v>
      </c>
      <c r="AR20">
        <v>0</v>
      </c>
      <c r="AT20">
        <v>338.983051</v>
      </c>
      <c r="AV20">
        <v>0</v>
      </c>
      <c r="AW20">
        <v>1</v>
      </c>
      <c r="AX20">
        <v>-1</v>
      </c>
      <c r="AY20">
        <v>0</v>
      </c>
      <c r="AZ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Y20*Source!I32</f>
        <v>800.00000036</v>
      </c>
      <c r="CY20">
        <f t="shared" si="0"/>
        <v>0</v>
      </c>
      <c r="CZ20">
        <f t="shared" si="1"/>
        <v>0</v>
      </c>
      <c r="DA20">
        <f t="shared" si="2"/>
        <v>1</v>
      </c>
      <c r="DB20">
        <f t="shared" si="3"/>
        <v>0</v>
      </c>
      <c r="DC20">
        <f t="shared" si="4"/>
        <v>0</v>
      </c>
    </row>
    <row r="21" spans="1:107" ht="12.75">
      <c r="A21">
        <f>ROW(Source!A33)</f>
        <v>33</v>
      </c>
      <c r="B21">
        <v>55722484</v>
      </c>
      <c r="C21">
        <v>55723231</v>
      </c>
      <c r="D21">
        <v>37822912</v>
      </c>
      <c r="E21">
        <v>70</v>
      </c>
      <c r="F21">
        <v>1</v>
      </c>
      <c r="G21">
        <v>1</v>
      </c>
      <c r="H21">
        <v>1</v>
      </c>
      <c r="I21" t="s">
        <v>287</v>
      </c>
      <c r="K21" t="s">
        <v>288</v>
      </c>
      <c r="L21">
        <v>1191</v>
      </c>
      <c r="N21">
        <v>1013</v>
      </c>
      <c r="O21" t="s">
        <v>286</v>
      </c>
      <c r="P21" t="s">
        <v>286</v>
      </c>
      <c r="Q21">
        <v>1</v>
      </c>
      <c r="W21">
        <v>0</v>
      </c>
      <c r="X21">
        <v>-2012709214</v>
      </c>
      <c r="Y21">
        <v>129.6119</v>
      </c>
      <c r="AA21">
        <v>0</v>
      </c>
      <c r="AB21">
        <v>0</v>
      </c>
      <c r="AC21">
        <v>0</v>
      </c>
      <c r="AD21">
        <v>362.75</v>
      </c>
      <c r="AE21">
        <v>0</v>
      </c>
      <c r="AF21">
        <v>0</v>
      </c>
      <c r="AG21">
        <v>0</v>
      </c>
      <c r="AH21">
        <v>9.4</v>
      </c>
      <c r="AI21">
        <v>1</v>
      </c>
      <c r="AJ21">
        <v>1</v>
      </c>
      <c r="AK21">
        <v>1</v>
      </c>
      <c r="AL21">
        <v>38.59</v>
      </c>
      <c r="AN21">
        <v>0</v>
      </c>
      <c r="AO21">
        <v>1</v>
      </c>
      <c r="AP21">
        <v>1</v>
      </c>
      <c r="AQ21">
        <v>0</v>
      </c>
      <c r="AR21">
        <v>0</v>
      </c>
      <c r="AT21">
        <v>102.46</v>
      </c>
      <c r="AU21" t="s">
        <v>42</v>
      </c>
      <c r="AV21">
        <v>1</v>
      </c>
      <c r="AW21">
        <v>2</v>
      </c>
      <c r="AX21">
        <v>55723237</v>
      </c>
      <c r="AY21">
        <v>1</v>
      </c>
      <c r="AZ21">
        <v>0</v>
      </c>
      <c r="BA21">
        <v>10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Y21*Source!I33</f>
        <v>305.884084</v>
      </c>
      <c r="CY21">
        <f>AD21</f>
        <v>362.75</v>
      </c>
      <c r="CZ21">
        <f>AH21</f>
        <v>9.4</v>
      </c>
      <c r="DA21">
        <f>AL21</f>
        <v>38.59</v>
      </c>
      <c r="DB21">
        <f>ROUND((ROUND(AT21*CZ21,2)*ROUND((1.15*1.1),7)),2)</f>
        <v>1218.35</v>
      </c>
      <c r="DC21">
        <f>ROUND((ROUND(AT21*AG21,2)*ROUND((1.15*1.1),7)),2)</f>
        <v>0</v>
      </c>
    </row>
    <row r="22" spans="1:107" ht="12.75">
      <c r="A22">
        <f>ROW(Source!A33)</f>
        <v>33</v>
      </c>
      <c r="B22">
        <v>55722484</v>
      </c>
      <c r="C22">
        <v>55723231</v>
      </c>
      <c r="D22">
        <v>37822850</v>
      </c>
      <c r="E22">
        <v>70</v>
      </c>
      <c r="F22">
        <v>1</v>
      </c>
      <c r="G22">
        <v>1</v>
      </c>
      <c r="H22">
        <v>1</v>
      </c>
      <c r="I22" t="s">
        <v>289</v>
      </c>
      <c r="K22" t="s">
        <v>290</v>
      </c>
      <c r="L22">
        <v>1191</v>
      </c>
      <c r="N22">
        <v>1013</v>
      </c>
      <c r="O22" t="s">
        <v>286</v>
      </c>
      <c r="P22" t="s">
        <v>286</v>
      </c>
      <c r="Q22">
        <v>1</v>
      </c>
      <c r="W22">
        <v>0</v>
      </c>
      <c r="X22">
        <v>-1417349443</v>
      </c>
      <c r="Y22">
        <v>6.675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38.59</v>
      </c>
      <c r="AL22">
        <v>1</v>
      </c>
      <c r="AN22">
        <v>0</v>
      </c>
      <c r="AO22">
        <v>1</v>
      </c>
      <c r="AP22">
        <v>1</v>
      </c>
      <c r="AQ22">
        <v>0</v>
      </c>
      <c r="AR22">
        <v>0</v>
      </c>
      <c r="AT22">
        <v>5.34</v>
      </c>
      <c r="AU22" t="s">
        <v>41</v>
      </c>
      <c r="AV22">
        <v>2</v>
      </c>
      <c r="AW22">
        <v>2</v>
      </c>
      <c r="AX22">
        <v>55723238</v>
      </c>
      <c r="AY22">
        <v>1</v>
      </c>
      <c r="AZ22">
        <v>0</v>
      </c>
      <c r="BA22">
        <v>11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Y22*Source!I33</f>
        <v>15.752999999999998</v>
      </c>
      <c r="CY22">
        <f>AD22</f>
        <v>0</v>
      </c>
      <c r="CZ22">
        <f>AH22</f>
        <v>0</v>
      </c>
      <c r="DA22">
        <f>AL22</f>
        <v>1</v>
      </c>
      <c r="DB22">
        <f>ROUND((ROUND(AT22*CZ22,2)*ROUND(1.25,7)),2)</f>
        <v>0</v>
      </c>
      <c r="DC22">
        <f>ROUND((ROUND(AT22*AG22,2)*ROUND(1.25,7)),2)</f>
        <v>0</v>
      </c>
    </row>
    <row r="23" spans="1:107" ht="12.75">
      <c r="A23">
        <f>ROW(Source!A33)</f>
        <v>33</v>
      </c>
      <c r="B23">
        <v>55722484</v>
      </c>
      <c r="C23">
        <v>55723231</v>
      </c>
      <c r="D23">
        <v>53792191</v>
      </c>
      <c r="E23">
        <v>1</v>
      </c>
      <c r="F23">
        <v>1</v>
      </c>
      <c r="G23">
        <v>1</v>
      </c>
      <c r="H23">
        <v>2</v>
      </c>
      <c r="I23" t="s">
        <v>291</v>
      </c>
      <c r="J23" t="s">
        <v>292</v>
      </c>
      <c r="K23" t="s">
        <v>293</v>
      </c>
      <c r="L23">
        <v>1367</v>
      </c>
      <c r="N23">
        <v>1011</v>
      </c>
      <c r="O23" t="s">
        <v>294</v>
      </c>
      <c r="P23" t="s">
        <v>294</v>
      </c>
      <c r="Q23">
        <v>1</v>
      </c>
      <c r="W23">
        <v>0</v>
      </c>
      <c r="X23">
        <v>1232162608</v>
      </c>
      <c r="Y23">
        <v>0.95</v>
      </c>
      <c r="AA23">
        <v>0</v>
      </c>
      <c r="AB23">
        <v>419.82</v>
      </c>
      <c r="AC23">
        <v>520.97</v>
      </c>
      <c r="AD23">
        <v>0</v>
      </c>
      <c r="AE23">
        <v>0</v>
      </c>
      <c r="AF23">
        <v>31.26</v>
      </c>
      <c r="AG23">
        <v>13.5</v>
      </c>
      <c r="AH23">
        <v>0</v>
      </c>
      <c r="AI23">
        <v>1</v>
      </c>
      <c r="AJ23">
        <v>13.43</v>
      </c>
      <c r="AK23">
        <v>38.59</v>
      </c>
      <c r="AL23">
        <v>1</v>
      </c>
      <c r="AN23">
        <v>0</v>
      </c>
      <c r="AO23">
        <v>1</v>
      </c>
      <c r="AP23">
        <v>1</v>
      </c>
      <c r="AQ23">
        <v>0</v>
      </c>
      <c r="AR23">
        <v>0</v>
      </c>
      <c r="AT23">
        <v>0.76</v>
      </c>
      <c r="AU23" t="s">
        <v>41</v>
      </c>
      <c r="AV23">
        <v>0</v>
      </c>
      <c r="AW23">
        <v>2</v>
      </c>
      <c r="AX23">
        <v>55723239</v>
      </c>
      <c r="AY23">
        <v>1</v>
      </c>
      <c r="AZ23">
        <v>0</v>
      </c>
      <c r="BA23">
        <v>12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Y23*Source!I33</f>
        <v>2.242</v>
      </c>
      <c r="CY23">
        <f>AB23</f>
        <v>419.82</v>
      </c>
      <c r="CZ23">
        <f>AF23</f>
        <v>31.26</v>
      </c>
      <c r="DA23">
        <f>AJ23</f>
        <v>13.43</v>
      </c>
      <c r="DB23">
        <f>ROUND((ROUND(AT23*CZ23,2)*ROUND(1.25,7)),2)</f>
        <v>29.7</v>
      </c>
      <c r="DC23">
        <f>ROUND((ROUND(AT23*AG23,2)*ROUND(1.25,7)),2)</f>
        <v>12.83</v>
      </c>
    </row>
    <row r="24" spans="1:107" ht="12.75">
      <c r="A24">
        <f>ROW(Source!A33)</f>
        <v>33</v>
      </c>
      <c r="B24">
        <v>55722484</v>
      </c>
      <c r="C24">
        <v>55723231</v>
      </c>
      <c r="D24">
        <v>53792927</v>
      </c>
      <c r="E24">
        <v>1</v>
      </c>
      <c r="F24">
        <v>1</v>
      </c>
      <c r="G24">
        <v>1</v>
      </c>
      <c r="H24">
        <v>2</v>
      </c>
      <c r="I24" t="s">
        <v>295</v>
      </c>
      <c r="J24" t="s">
        <v>296</v>
      </c>
      <c r="K24" t="s">
        <v>297</v>
      </c>
      <c r="L24">
        <v>1367</v>
      </c>
      <c r="N24">
        <v>1011</v>
      </c>
      <c r="O24" t="s">
        <v>294</v>
      </c>
      <c r="P24" t="s">
        <v>294</v>
      </c>
      <c r="Q24">
        <v>1</v>
      </c>
      <c r="W24">
        <v>0</v>
      </c>
      <c r="X24">
        <v>509054691</v>
      </c>
      <c r="Y24">
        <v>5.725</v>
      </c>
      <c r="AA24">
        <v>0</v>
      </c>
      <c r="AB24">
        <v>882.49</v>
      </c>
      <c r="AC24">
        <v>447.64</v>
      </c>
      <c r="AD24">
        <v>0</v>
      </c>
      <c r="AE24">
        <v>0</v>
      </c>
      <c r="AF24">
        <v>65.71</v>
      </c>
      <c r="AG24">
        <v>11.6</v>
      </c>
      <c r="AH24">
        <v>0</v>
      </c>
      <c r="AI24">
        <v>1</v>
      </c>
      <c r="AJ24">
        <v>13.43</v>
      </c>
      <c r="AK24">
        <v>38.59</v>
      </c>
      <c r="AL24">
        <v>1</v>
      </c>
      <c r="AN24">
        <v>0</v>
      </c>
      <c r="AO24">
        <v>1</v>
      </c>
      <c r="AP24">
        <v>1</v>
      </c>
      <c r="AQ24">
        <v>0</v>
      </c>
      <c r="AR24">
        <v>0</v>
      </c>
      <c r="AT24">
        <v>4.58</v>
      </c>
      <c r="AU24" t="s">
        <v>41</v>
      </c>
      <c r="AV24">
        <v>0</v>
      </c>
      <c r="AW24">
        <v>2</v>
      </c>
      <c r="AX24">
        <v>55723240</v>
      </c>
      <c r="AY24">
        <v>1</v>
      </c>
      <c r="AZ24">
        <v>0</v>
      </c>
      <c r="BA24">
        <v>13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Y24*Source!I33</f>
        <v>13.511</v>
      </c>
      <c r="CY24">
        <f>AB24</f>
        <v>882.49</v>
      </c>
      <c r="CZ24">
        <f>AF24</f>
        <v>65.71</v>
      </c>
      <c r="DA24">
        <f>AJ24</f>
        <v>13.43</v>
      </c>
      <c r="DB24">
        <f>ROUND((ROUND(AT24*CZ24,2)*ROUND(1.25,7)),2)</f>
        <v>376.19</v>
      </c>
      <c r="DC24">
        <f>ROUND((ROUND(AT24*AG24,2)*ROUND(1.25,7)),2)</f>
        <v>66.41</v>
      </c>
    </row>
    <row r="25" spans="1:107" ht="12.75">
      <c r="A25">
        <f>ROW(Source!A33)</f>
        <v>33</v>
      </c>
      <c r="B25">
        <v>55722484</v>
      </c>
      <c r="C25">
        <v>55723231</v>
      </c>
      <c r="D25">
        <v>53642417</v>
      </c>
      <c r="E25">
        <v>1</v>
      </c>
      <c r="F25">
        <v>1</v>
      </c>
      <c r="G25">
        <v>1</v>
      </c>
      <c r="H25">
        <v>3</v>
      </c>
      <c r="I25" t="s">
        <v>76</v>
      </c>
      <c r="J25" t="s">
        <v>78</v>
      </c>
      <c r="K25" t="s">
        <v>77</v>
      </c>
      <c r="L25">
        <v>1327</v>
      </c>
      <c r="N25">
        <v>1005</v>
      </c>
      <c r="O25" t="s">
        <v>72</v>
      </c>
      <c r="P25" t="s">
        <v>72</v>
      </c>
      <c r="Q25">
        <v>1</v>
      </c>
      <c r="W25">
        <v>1</v>
      </c>
      <c r="X25">
        <v>-952132946</v>
      </c>
      <c r="Y25">
        <v>-103</v>
      </c>
      <c r="AA25">
        <v>353.28</v>
      </c>
      <c r="AB25">
        <v>0</v>
      </c>
      <c r="AC25">
        <v>0</v>
      </c>
      <c r="AD25">
        <v>0</v>
      </c>
      <c r="AE25">
        <v>51.8</v>
      </c>
      <c r="AF25">
        <v>0</v>
      </c>
      <c r="AG25">
        <v>0</v>
      </c>
      <c r="AH25">
        <v>0</v>
      </c>
      <c r="AI25">
        <v>6.82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-103</v>
      </c>
      <c r="AV25">
        <v>0</v>
      </c>
      <c r="AW25">
        <v>2</v>
      </c>
      <c r="AX25">
        <v>55723241</v>
      </c>
      <c r="AY25">
        <v>1</v>
      </c>
      <c r="AZ25">
        <v>6144</v>
      </c>
      <c r="BA25">
        <v>14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Y25*Source!I33</f>
        <v>-243.07999999999998</v>
      </c>
      <c r="CY25">
        <f aca="true" t="shared" si="5" ref="CY25:CY36">AA25</f>
        <v>353.28</v>
      </c>
      <c r="CZ25">
        <f aca="true" t="shared" si="6" ref="CZ25:CZ36">AE25</f>
        <v>51.8</v>
      </c>
      <c r="DA25">
        <f aca="true" t="shared" si="7" ref="DA25:DA36">AI25</f>
        <v>6.82</v>
      </c>
      <c r="DB25">
        <f aca="true" t="shared" si="8" ref="DB25:DB48">ROUND(ROUND(AT25*CZ25,2),2)</f>
        <v>-5335.4</v>
      </c>
      <c r="DC25">
        <f aca="true" t="shared" si="9" ref="DC25:DC48">ROUND(ROUND(AT25*AG25,2),2)</f>
        <v>0</v>
      </c>
    </row>
    <row r="26" spans="1:107" ht="12.75">
      <c r="A26">
        <f>ROW(Source!A33)</f>
        <v>33</v>
      </c>
      <c r="B26">
        <v>55722484</v>
      </c>
      <c r="C26">
        <v>55723231</v>
      </c>
      <c r="D26">
        <v>53642417</v>
      </c>
      <c r="E26">
        <v>1</v>
      </c>
      <c r="F26">
        <v>1</v>
      </c>
      <c r="G26">
        <v>1</v>
      </c>
      <c r="H26">
        <v>3</v>
      </c>
      <c r="I26" t="s">
        <v>76</v>
      </c>
      <c r="J26" t="s">
        <v>78</v>
      </c>
      <c r="K26" t="s">
        <v>77</v>
      </c>
      <c r="L26">
        <v>1327</v>
      </c>
      <c r="N26">
        <v>1005</v>
      </c>
      <c r="O26" t="s">
        <v>72</v>
      </c>
      <c r="P26" t="s">
        <v>72</v>
      </c>
      <c r="Q26">
        <v>1</v>
      </c>
      <c r="W26">
        <v>0</v>
      </c>
      <c r="X26">
        <v>-952132946</v>
      </c>
      <c r="Y26">
        <v>39.440678</v>
      </c>
      <c r="AA26">
        <v>353.28</v>
      </c>
      <c r="AB26">
        <v>0</v>
      </c>
      <c r="AC26">
        <v>0</v>
      </c>
      <c r="AD26">
        <v>0</v>
      </c>
      <c r="AE26">
        <v>51.8</v>
      </c>
      <c r="AF26">
        <v>0</v>
      </c>
      <c r="AG26">
        <v>0</v>
      </c>
      <c r="AH26">
        <v>0</v>
      </c>
      <c r="AI26">
        <v>6.82</v>
      </c>
      <c r="AJ26">
        <v>1</v>
      </c>
      <c r="AK26">
        <v>1</v>
      </c>
      <c r="AL26">
        <v>1</v>
      </c>
      <c r="AN26">
        <v>0</v>
      </c>
      <c r="AO26">
        <v>0</v>
      </c>
      <c r="AP26">
        <v>0</v>
      </c>
      <c r="AQ26">
        <v>0</v>
      </c>
      <c r="AR26">
        <v>0</v>
      </c>
      <c r="AT26">
        <v>39.440678</v>
      </c>
      <c r="AV26">
        <v>0</v>
      </c>
      <c r="AW26">
        <v>1</v>
      </c>
      <c r="AX26">
        <v>-1</v>
      </c>
      <c r="AY26">
        <v>0</v>
      </c>
      <c r="AZ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Y26*Source!I33</f>
        <v>93.08000007999999</v>
      </c>
      <c r="CY26">
        <f t="shared" si="5"/>
        <v>353.28</v>
      </c>
      <c r="CZ26">
        <f t="shared" si="6"/>
        <v>51.8</v>
      </c>
      <c r="DA26">
        <f t="shared" si="7"/>
        <v>6.82</v>
      </c>
      <c r="DB26">
        <f t="shared" si="8"/>
        <v>2043.03</v>
      </c>
      <c r="DC26">
        <f t="shared" si="9"/>
        <v>0</v>
      </c>
    </row>
    <row r="27" spans="1:107" ht="12.75">
      <c r="A27">
        <f>ROW(Source!A33)</f>
        <v>33</v>
      </c>
      <c r="B27">
        <v>55722484</v>
      </c>
      <c r="C27">
        <v>55723231</v>
      </c>
      <c r="D27">
        <v>0</v>
      </c>
      <c r="E27">
        <v>0</v>
      </c>
      <c r="F27">
        <v>1</v>
      </c>
      <c r="G27">
        <v>1</v>
      </c>
      <c r="H27">
        <v>3</v>
      </c>
      <c r="I27" t="s">
        <v>52</v>
      </c>
      <c r="K27" t="s">
        <v>53</v>
      </c>
      <c r="L27">
        <v>1371</v>
      </c>
      <c r="N27">
        <v>1013</v>
      </c>
      <c r="O27" t="s">
        <v>54</v>
      </c>
      <c r="P27" t="s">
        <v>54</v>
      </c>
      <c r="Q27">
        <v>1</v>
      </c>
      <c r="W27">
        <v>0</v>
      </c>
      <c r="X27">
        <v>-1320945665</v>
      </c>
      <c r="Y27">
        <v>13.559322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0</v>
      </c>
      <c r="AP27">
        <v>0</v>
      </c>
      <c r="AQ27">
        <v>0</v>
      </c>
      <c r="AR27">
        <v>0</v>
      </c>
      <c r="AT27">
        <v>13.559322</v>
      </c>
      <c r="AV27">
        <v>0</v>
      </c>
      <c r="AW27">
        <v>1</v>
      </c>
      <c r="AX27">
        <v>-1</v>
      </c>
      <c r="AY27">
        <v>0</v>
      </c>
      <c r="AZ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Y27*Source!I33</f>
        <v>31.999999919999997</v>
      </c>
      <c r="CY27">
        <f t="shared" si="5"/>
        <v>0</v>
      </c>
      <c r="CZ27">
        <f t="shared" si="6"/>
        <v>0</v>
      </c>
      <c r="DA27">
        <f t="shared" si="7"/>
        <v>1</v>
      </c>
      <c r="DB27">
        <f t="shared" si="8"/>
        <v>0</v>
      </c>
      <c r="DC27">
        <f t="shared" si="9"/>
        <v>0</v>
      </c>
    </row>
    <row r="28" spans="1:107" ht="12.75">
      <c r="A28">
        <f>ROW(Source!A33)</f>
        <v>33</v>
      </c>
      <c r="B28">
        <v>55722484</v>
      </c>
      <c r="C28">
        <v>55723231</v>
      </c>
      <c r="D28">
        <v>0</v>
      </c>
      <c r="E28">
        <v>1</v>
      </c>
      <c r="F28">
        <v>1</v>
      </c>
      <c r="G28">
        <v>1</v>
      </c>
      <c r="H28">
        <v>3</v>
      </c>
      <c r="I28" t="s">
        <v>52</v>
      </c>
      <c r="K28" t="s">
        <v>59</v>
      </c>
      <c r="L28">
        <v>1371</v>
      </c>
      <c r="N28">
        <v>1013</v>
      </c>
      <c r="O28" t="s">
        <v>54</v>
      </c>
      <c r="P28" t="s">
        <v>54</v>
      </c>
      <c r="Q28">
        <v>1</v>
      </c>
      <c r="W28">
        <v>0</v>
      </c>
      <c r="X28">
        <v>1031016784</v>
      </c>
      <c r="Y28">
        <v>0.847458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0</v>
      </c>
      <c r="AP28">
        <v>0</v>
      </c>
      <c r="AQ28">
        <v>0</v>
      </c>
      <c r="AR28">
        <v>0</v>
      </c>
      <c r="AT28">
        <v>0.847458</v>
      </c>
      <c r="AV28">
        <v>0</v>
      </c>
      <c r="AW28">
        <v>1</v>
      </c>
      <c r="AX28">
        <v>-1</v>
      </c>
      <c r="AY28">
        <v>0</v>
      </c>
      <c r="AZ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2.00000088</v>
      </c>
      <c r="CY28">
        <f t="shared" si="5"/>
        <v>0</v>
      </c>
      <c r="CZ28">
        <f t="shared" si="6"/>
        <v>0</v>
      </c>
      <c r="DA28">
        <f t="shared" si="7"/>
        <v>1</v>
      </c>
      <c r="DB28">
        <f t="shared" si="8"/>
        <v>0</v>
      </c>
      <c r="DC28">
        <f t="shared" si="9"/>
        <v>0</v>
      </c>
    </row>
    <row r="29" spans="1:107" ht="12.75">
      <c r="A29">
        <f>ROW(Source!A33)</f>
        <v>33</v>
      </c>
      <c r="B29">
        <v>55722484</v>
      </c>
      <c r="C29">
        <v>55723231</v>
      </c>
      <c r="D29">
        <v>0</v>
      </c>
      <c r="E29">
        <v>1</v>
      </c>
      <c r="F29">
        <v>1</v>
      </c>
      <c r="G29">
        <v>1</v>
      </c>
      <c r="H29">
        <v>3</v>
      </c>
      <c r="I29" t="s">
        <v>52</v>
      </c>
      <c r="K29" t="s">
        <v>61</v>
      </c>
      <c r="L29">
        <v>1371</v>
      </c>
      <c r="N29">
        <v>1013</v>
      </c>
      <c r="O29" t="s">
        <v>54</v>
      </c>
      <c r="P29" t="s">
        <v>54</v>
      </c>
      <c r="Q29">
        <v>1</v>
      </c>
      <c r="W29">
        <v>0</v>
      </c>
      <c r="X29">
        <v>-593500999</v>
      </c>
      <c r="Y29">
        <v>80.508475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0</v>
      </c>
      <c r="AP29">
        <v>0</v>
      </c>
      <c r="AQ29">
        <v>0</v>
      </c>
      <c r="AR29">
        <v>0</v>
      </c>
      <c r="AT29">
        <v>80.508475</v>
      </c>
      <c r="AV29">
        <v>0</v>
      </c>
      <c r="AW29">
        <v>1</v>
      </c>
      <c r="AX29">
        <v>-1</v>
      </c>
      <c r="AY29">
        <v>0</v>
      </c>
      <c r="AZ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190.000001</v>
      </c>
      <c r="CY29">
        <f t="shared" si="5"/>
        <v>0</v>
      </c>
      <c r="CZ29">
        <f t="shared" si="6"/>
        <v>0</v>
      </c>
      <c r="DA29">
        <f t="shared" si="7"/>
        <v>1</v>
      </c>
      <c r="DB29">
        <f t="shared" si="8"/>
        <v>0</v>
      </c>
      <c r="DC29">
        <f t="shared" si="9"/>
        <v>0</v>
      </c>
    </row>
    <row r="30" spans="1:107" ht="12.75">
      <c r="A30">
        <f>ROW(Source!A33)</f>
        <v>33</v>
      </c>
      <c r="B30">
        <v>55722484</v>
      </c>
      <c r="C30">
        <v>55723231</v>
      </c>
      <c r="D30">
        <v>0</v>
      </c>
      <c r="E30">
        <v>1</v>
      </c>
      <c r="F30">
        <v>1</v>
      </c>
      <c r="G30">
        <v>1</v>
      </c>
      <c r="H30">
        <v>3</v>
      </c>
      <c r="I30" t="s">
        <v>52</v>
      </c>
      <c r="K30" t="s">
        <v>63</v>
      </c>
      <c r="L30">
        <v>1371</v>
      </c>
      <c r="N30">
        <v>1013</v>
      </c>
      <c r="O30" t="s">
        <v>54</v>
      </c>
      <c r="P30" t="s">
        <v>54</v>
      </c>
      <c r="Q30">
        <v>1</v>
      </c>
      <c r="W30">
        <v>0</v>
      </c>
      <c r="X30">
        <v>-1332956592</v>
      </c>
      <c r="Y30">
        <v>8.474576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0</v>
      </c>
      <c r="AP30">
        <v>0</v>
      </c>
      <c r="AQ30">
        <v>0</v>
      </c>
      <c r="AR30">
        <v>0</v>
      </c>
      <c r="AT30">
        <v>8.474576</v>
      </c>
      <c r="AV30">
        <v>0</v>
      </c>
      <c r="AW30">
        <v>1</v>
      </c>
      <c r="AX30">
        <v>-1</v>
      </c>
      <c r="AY30">
        <v>0</v>
      </c>
      <c r="AZ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19.99999936</v>
      </c>
      <c r="CY30">
        <f t="shared" si="5"/>
        <v>0</v>
      </c>
      <c r="CZ30">
        <f t="shared" si="6"/>
        <v>0</v>
      </c>
      <c r="DA30">
        <f t="shared" si="7"/>
        <v>1</v>
      </c>
      <c r="DB30">
        <f t="shared" si="8"/>
        <v>0</v>
      </c>
      <c r="DC30">
        <f t="shared" si="9"/>
        <v>0</v>
      </c>
    </row>
    <row r="31" spans="1:107" ht="12.75">
      <c r="A31">
        <f>ROW(Source!A33)</f>
        <v>33</v>
      </c>
      <c r="B31">
        <v>55722484</v>
      </c>
      <c r="C31">
        <v>55723231</v>
      </c>
      <c r="D31">
        <v>0</v>
      </c>
      <c r="E31">
        <v>1</v>
      </c>
      <c r="F31">
        <v>1</v>
      </c>
      <c r="G31">
        <v>1</v>
      </c>
      <c r="H31">
        <v>3</v>
      </c>
      <c r="I31" t="s">
        <v>52</v>
      </c>
      <c r="K31" t="s">
        <v>65</v>
      </c>
      <c r="L31">
        <v>1371</v>
      </c>
      <c r="N31">
        <v>1013</v>
      </c>
      <c r="O31" t="s">
        <v>54</v>
      </c>
      <c r="P31" t="s">
        <v>54</v>
      </c>
      <c r="Q31">
        <v>1</v>
      </c>
      <c r="W31">
        <v>0</v>
      </c>
      <c r="X31">
        <v>-1240923795</v>
      </c>
      <c r="Y31">
        <v>80.508475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0</v>
      </c>
      <c r="AP31">
        <v>0</v>
      </c>
      <c r="AQ31">
        <v>0</v>
      </c>
      <c r="AR31">
        <v>0</v>
      </c>
      <c r="AT31">
        <v>80.508475</v>
      </c>
      <c r="AV31">
        <v>0</v>
      </c>
      <c r="AW31">
        <v>1</v>
      </c>
      <c r="AX31">
        <v>-1</v>
      </c>
      <c r="AY31">
        <v>0</v>
      </c>
      <c r="AZ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Y31*Source!I33</f>
        <v>190.000001</v>
      </c>
      <c r="CY31">
        <f t="shared" si="5"/>
        <v>0</v>
      </c>
      <c r="CZ31">
        <f t="shared" si="6"/>
        <v>0</v>
      </c>
      <c r="DA31">
        <f t="shared" si="7"/>
        <v>1</v>
      </c>
      <c r="DB31">
        <f t="shared" si="8"/>
        <v>0</v>
      </c>
      <c r="DC31">
        <f t="shared" si="9"/>
        <v>0</v>
      </c>
    </row>
    <row r="32" spans="1:107" ht="12.75">
      <c r="A32">
        <f>ROW(Source!A33)</f>
        <v>33</v>
      </c>
      <c r="B32">
        <v>55722484</v>
      </c>
      <c r="C32">
        <v>55723231</v>
      </c>
      <c r="D32">
        <v>0</v>
      </c>
      <c r="E32">
        <v>1</v>
      </c>
      <c r="F32">
        <v>1</v>
      </c>
      <c r="G32">
        <v>1</v>
      </c>
      <c r="H32">
        <v>3</v>
      </c>
      <c r="I32" t="s">
        <v>52</v>
      </c>
      <c r="K32" t="s">
        <v>67</v>
      </c>
      <c r="L32">
        <v>1371</v>
      </c>
      <c r="N32">
        <v>1013</v>
      </c>
      <c r="O32" t="s">
        <v>54</v>
      </c>
      <c r="P32" t="s">
        <v>54</v>
      </c>
      <c r="Q32">
        <v>1</v>
      </c>
      <c r="W32">
        <v>0</v>
      </c>
      <c r="X32">
        <v>220597244</v>
      </c>
      <c r="Y32">
        <v>11.864407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0</v>
      </c>
      <c r="AP32">
        <v>0</v>
      </c>
      <c r="AQ32">
        <v>0</v>
      </c>
      <c r="AR32">
        <v>0</v>
      </c>
      <c r="AT32">
        <v>11.864407</v>
      </c>
      <c r="AV32">
        <v>0</v>
      </c>
      <c r="AW32">
        <v>1</v>
      </c>
      <c r="AX32">
        <v>-1</v>
      </c>
      <c r="AY32">
        <v>0</v>
      </c>
      <c r="AZ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Y32*Source!I33</f>
        <v>28.000000519999997</v>
      </c>
      <c r="CY32">
        <f t="shared" si="5"/>
        <v>0</v>
      </c>
      <c r="CZ32">
        <f t="shared" si="6"/>
        <v>0</v>
      </c>
      <c r="DA32">
        <f t="shared" si="7"/>
        <v>1</v>
      </c>
      <c r="DB32">
        <f t="shared" si="8"/>
        <v>0</v>
      </c>
      <c r="DC32">
        <f t="shared" si="9"/>
        <v>0</v>
      </c>
    </row>
    <row r="33" spans="1:107" ht="12.75">
      <c r="A33">
        <f>ROW(Source!A33)</f>
        <v>33</v>
      </c>
      <c r="B33">
        <v>55722484</v>
      </c>
      <c r="C33">
        <v>55723231</v>
      </c>
      <c r="D33">
        <v>0</v>
      </c>
      <c r="E33">
        <v>1</v>
      </c>
      <c r="F33">
        <v>1</v>
      </c>
      <c r="G33">
        <v>1</v>
      </c>
      <c r="H33">
        <v>3</v>
      </c>
      <c r="I33" t="s">
        <v>52</v>
      </c>
      <c r="K33" t="s">
        <v>69</v>
      </c>
      <c r="L33">
        <v>1371</v>
      </c>
      <c r="N33">
        <v>1013</v>
      </c>
      <c r="O33" t="s">
        <v>54</v>
      </c>
      <c r="P33" t="s">
        <v>54</v>
      </c>
      <c r="Q33">
        <v>1</v>
      </c>
      <c r="W33">
        <v>0</v>
      </c>
      <c r="X33">
        <v>933089995</v>
      </c>
      <c r="Y33">
        <v>10.59322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0</v>
      </c>
      <c r="AP33">
        <v>0</v>
      </c>
      <c r="AQ33">
        <v>0</v>
      </c>
      <c r="AR33">
        <v>0</v>
      </c>
      <c r="AT33">
        <v>10.59322</v>
      </c>
      <c r="AV33">
        <v>0</v>
      </c>
      <c r="AW33">
        <v>1</v>
      </c>
      <c r="AX33">
        <v>-1</v>
      </c>
      <c r="AY33">
        <v>0</v>
      </c>
      <c r="AZ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Y33*Source!I33</f>
        <v>24.9999992</v>
      </c>
      <c r="CY33">
        <f t="shared" si="5"/>
        <v>0</v>
      </c>
      <c r="CZ33">
        <f t="shared" si="6"/>
        <v>0</v>
      </c>
      <c r="DA33">
        <f t="shared" si="7"/>
        <v>1</v>
      </c>
      <c r="DB33">
        <f t="shared" si="8"/>
        <v>0</v>
      </c>
      <c r="DC33">
        <f t="shared" si="9"/>
        <v>0</v>
      </c>
    </row>
    <row r="34" spans="1:107" ht="12.75">
      <c r="A34">
        <f>ROW(Source!A33)</f>
        <v>33</v>
      </c>
      <c r="B34">
        <v>55722484</v>
      </c>
      <c r="C34">
        <v>55723231</v>
      </c>
      <c r="D34">
        <v>0</v>
      </c>
      <c r="E34">
        <v>0</v>
      </c>
      <c r="F34">
        <v>1</v>
      </c>
      <c r="G34">
        <v>1</v>
      </c>
      <c r="H34">
        <v>3</v>
      </c>
      <c r="I34" t="s">
        <v>52</v>
      </c>
      <c r="K34" t="s">
        <v>71</v>
      </c>
      <c r="L34">
        <v>1327</v>
      </c>
      <c r="N34">
        <v>1005</v>
      </c>
      <c r="O34" t="s">
        <v>72</v>
      </c>
      <c r="P34" t="s">
        <v>72</v>
      </c>
      <c r="Q34">
        <v>1</v>
      </c>
      <c r="W34">
        <v>0</v>
      </c>
      <c r="X34">
        <v>-554993894</v>
      </c>
      <c r="Y34">
        <v>57.966102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0</v>
      </c>
      <c r="AP34">
        <v>0</v>
      </c>
      <c r="AQ34">
        <v>0</v>
      </c>
      <c r="AR34">
        <v>0</v>
      </c>
      <c r="AT34">
        <v>57.966102</v>
      </c>
      <c r="AV34">
        <v>0</v>
      </c>
      <c r="AW34">
        <v>1</v>
      </c>
      <c r="AX34">
        <v>-1</v>
      </c>
      <c r="AY34">
        <v>0</v>
      </c>
      <c r="AZ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Y34*Source!I33</f>
        <v>136.80000071999999</v>
      </c>
      <c r="CY34">
        <f t="shared" si="5"/>
        <v>0</v>
      </c>
      <c r="CZ34">
        <f t="shared" si="6"/>
        <v>0</v>
      </c>
      <c r="DA34">
        <f t="shared" si="7"/>
        <v>1</v>
      </c>
      <c r="DB34">
        <f t="shared" si="8"/>
        <v>0</v>
      </c>
      <c r="DC34">
        <f t="shared" si="9"/>
        <v>0</v>
      </c>
    </row>
    <row r="35" spans="1:107" ht="12.75">
      <c r="A35">
        <f>ROW(Source!A33)</f>
        <v>33</v>
      </c>
      <c r="B35">
        <v>55722484</v>
      </c>
      <c r="C35">
        <v>55723231</v>
      </c>
      <c r="D35">
        <v>0</v>
      </c>
      <c r="E35">
        <v>1</v>
      </c>
      <c r="F35">
        <v>1</v>
      </c>
      <c r="G35">
        <v>1</v>
      </c>
      <c r="H35">
        <v>3</v>
      </c>
      <c r="I35" t="s">
        <v>52</v>
      </c>
      <c r="K35" t="s">
        <v>74</v>
      </c>
      <c r="L35">
        <v>1327</v>
      </c>
      <c r="N35">
        <v>1005</v>
      </c>
      <c r="O35" t="s">
        <v>72</v>
      </c>
      <c r="P35" t="s">
        <v>72</v>
      </c>
      <c r="Q35">
        <v>1</v>
      </c>
      <c r="W35">
        <v>0</v>
      </c>
      <c r="X35">
        <v>-325392107</v>
      </c>
      <c r="Y35">
        <v>5.644068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0</v>
      </c>
      <c r="AP35">
        <v>0</v>
      </c>
      <c r="AQ35">
        <v>0</v>
      </c>
      <c r="AR35">
        <v>0</v>
      </c>
      <c r="AT35">
        <v>5.644068</v>
      </c>
      <c r="AV35">
        <v>0</v>
      </c>
      <c r="AW35">
        <v>1</v>
      </c>
      <c r="AX35">
        <v>-1</v>
      </c>
      <c r="AY35">
        <v>0</v>
      </c>
      <c r="AZ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Y35*Source!I33</f>
        <v>13.32000048</v>
      </c>
      <c r="CY35">
        <f t="shared" si="5"/>
        <v>0</v>
      </c>
      <c r="CZ35">
        <f t="shared" si="6"/>
        <v>0</v>
      </c>
      <c r="DA35">
        <f t="shared" si="7"/>
        <v>1</v>
      </c>
      <c r="DB35">
        <f t="shared" si="8"/>
        <v>0</v>
      </c>
      <c r="DC35">
        <f t="shared" si="9"/>
        <v>0</v>
      </c>
    </row>
    <row r="36" spans="1:107" ht="12.75">
      <c r="A36">
        <f>ROW(Source!A33)</f>
        <v>33</v>
      </c>
      <c r="B36">
        <v>55722484</v>
      </c>
      <c r="C36">
        <v>55723231</v>
      </c>
      <c r="D36">
        <v>0</v>
      </c>
      <c r="E36">
        <v>1</v>
      </c>
      <c r="F36">
        <v>1</v>
      </c>
      <c r="G36">
        <v>1</v>
      </c>
      <c r="H36">
        <v>3</v>
      </c>
      <c r="I36" t="s">
        <v>52</v>
      </c>
      <c r="K36" t="s">
        <v>57</v>
      </c>
      <c r="L36">
        <v>1371</v>
      </c>
      <c r="N36">
        <v>1013</v>
      </c>
      <c r="O36" t="s">
        <v>54</v>
      </c>
      <c r="P36" t="s">
        <v>54</v>
      </c>
      <c r="Q36">
        <v>1</v>
      </c>
      <c r="W36">
        <v>0</v>
      </c>
      <c r="X36">
        <v>436627676</v>
      </c>
      <c r="Y36">
        <v>338.983051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0</v>
      </c>
      <c r="AP36">
        <v>0</v>
      </c>
      <c r="AQ36">
        <v>0</v>
      </c>
      <c r="AR36">
        <v>0</v>
      </c>
      <c r="AT36">
        <v>338.983051</v>
      </c>
      <c r="AV36">
        <v>0</v>
      </c>
      <c r="AW36">
        <v>1</v>
      </c>
      <c r="AX36">
        <v>-1</v>
      </c>
      <c r="AY36">
        <v>0</v>
      </c>
      <c r="AZ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Y36*Source!I33</f>
        <v>800.00000036</v>
      </c>
      <c r="CY36">
        <f t="shared" si="5"/>
        <v>0</v>
      </c>
      <c r="CZ36">
        <f t="shared" si="6"/>
        <v>0</v>
      </c>
      <c r="DA36">
        <f t="shared" si="7"/>
        <v>1</v>
      </c>
      <c r="DB36">
        <f t="shared" si="8"/>
        <v>0</v>
      </c>
      <c r="DC36">
        <f t="shared" si="9"/>
        <v>0</v>
      </c>
    </row>
    <row r="37" spans="1:107" ht="12.75">
      <c r="A37">
        <f>ROW(Source!A58)</f>
        <v>58</v>
      </c>
      <c r="B37">
        <v>55722483</v>
      </c>
      <c r="C37">
        <v>55723242</v>
      </c>
      <c r="D37">
        <v>37822902</v>
      </c>
      <c r="E37">
        <v>1</v>
      </c>
      <c r="F37">
        <v>1</v>
      </c>
      <c r="G37">
        <v>1</v>
      </c>
      <c r="H37">
        <v>1</v>
      </c>
      <c r="I37" t="s">
        <v>298</v>
      </c>
      <c r="K37" t="s">
        <v>299</v>
      </c>
      <c r="L37">
        <v>1191</v>
      </c>
      <c r="N37">
        <v>1013</v>
      </c>
      <c r="O37" t="s">
        <v>286</v>
      </c>
      <c r="P37" t="s">
        <v>286</v>
      </c>
      <c r="Q37">
        <v>1</v>
      </c>
      <c r="W37">
        <v>0</v>
      </c>
      <c r="X37">
        <v>-719309759</v>
      </c>
      <c r="Y37">
        <v>203.07</v>
      </c>
      <c r="AA37">
        <v>0</v>
      </c>
      <c r="AB37">
        <v>0</v>
      </c>
      <c r="AC37">
        <v>0</v>
      </c>
      <c r="AD37">
        <v>8.86</v>
      </c>
      <c r="AE37">
        <v>0</v>
      </c>
      <c r="AF37">
        <v>0</v>
      </c>
      <c r="AG37">
        <v>0</v>
      </c>
      <c r="AH37">
        <v>8.86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203.07</v>
      </c>
      <c r="AV37">
        <v>1</v>
      </c>
      <c r="AW37">
        <v>2</v>
      </c>
      <c r="AX37">
        <v>55723249</v>
      </c>
      <c r="AY37">
        <v>1</v>
      </c>
      <c r="AZ37">
        <v>0</v>
      </c>
      <c r="BA37">
        <v>15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Y37*Source!I58</f>
        <v>60.23056199999999</v>
      </c>
      <c r="CY37">
        <f>AD37</f>
        <v>8.86</v>
      </c>
      <c r="CZ37">
        <f>AH37</f>
        <v>8.86</v>
      </c>
      <c r="DA37">
        <f>AL37</f>
        <v>1</v>
      </c>
      <c r="DB37">
        <f t="shared" si="8"/>
        <v>1799.2</v>
      </c>
      <c r="DC37">
        <f t="shared" si="9"/>
        <v>0</v>
      </c>
    </row>
    <row r="38" spans="1:107" ht="12.75">
      <c r="A38">
        <f>ROW(Source!A58)</f>
        <v>58</v>
      </c>
      <c r="B38">
        <v>55722483</v>
      </c>
      <c r="C38">
        <v>55723242</v>
      </c>
      <c r="D38">
        <v>37822850</v>
      </c>
      <c r="E38">
        <v>1</v>
      </c>
      <c r="F38">
        <v>1</v>
      </c>
      <c r="G38">
        <v>1</v>
      </c>
      <c r="H38">
        <v>1</v>
      </c>
      <c r="I38" t="s">
        <v>289</v>
      </c>
      <c r="K38" t="s">
        <v>290</v>
      </c>
      <c r="L38">
        <v>1191</v>
      </c>
      <c r="N38">
        <v>1013</v>
      </c>
      <c r="O38" t="s">
        <v>286</v>
      </c>
      <c r="P38" t="s">
        <v>286</v>
      </c>
      <c r="Q38">
        <v>1</v>
      </c>
      <c r="W38">
        <v>0</v>
      </c>
      <c r="X38">
        <v>-1417349443</v>
      </c>
      <c r="Y38">
        <v>0.67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T38">
        <v>0.67</v>
      </c>
      <c r="AV38">
        <v>2</v>
      </c>
      <c r="AW38">
        <v>2</v>
      </c>
      <c r="AX38">
        <v>55723250</v>
      </c>
      <c r="AY38">
        <v>1</v>
      </c>
      <c r="AZ38">
        <v>0</v>
      </c>
      <c r="BA38">
        <v>16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Y38*Source!I58</f>
        <v>0.19872199999999998</v>
      </c>
      <c r="CY38">
        <f>AD38</f>
        <v>0</v>
      </c>
      <c r="CZ38">
        <f>AH38</f>
        <v>0</v>
      </c>
      <c r="DA38">
        <f>AL38</f>
        <v>1</v>
      </c>
      <c r="DB38">
        <f t="shared" si="8"/>
        <v>0</v>
      </c>
      <c r="DC38">
        <f t="shared" si="9"/>
        <v>0</v>
      </c>
    </row>
    <row r="39" spans="1:107" ht="12.75">
      <c r="A39">
        <f>ROW(Source!A58)</f>
        <v>58</v>
      </c>
      <c r="B39">
        <v>55722483</v>
      </c>
      <c r="C39">
        <v>55723242</v>
      </c>
      <c r="D39">
        <v>37909710</v>
      </c>
      <c r="E39">
        <v>1</v>
      </c>
      <c r="F39">
        <v>1</v>
      </c>
      <c r="G39">
        <v>1</v>
      </c>
      <c r="H39">
        <v>2</v>
      </c>
      <c r="I39" t="s">
        <v>291</v>
      </c>
      <c r="J39" t="s">
        <v>300</v>
      </c>
      <c r="K39" t="s">
        <v>293</v>
      </c>
      <c r="L39">
        <v>1368</v>
      </c>
      <c r="N39">
        <v>1011</v>
      </c>
      <c r="O39" t="s">
        <v>301</v>
      </c>
      <c r="P39" t="s">
        <v>301</v>
      </c>
      <c r="Q39">
        <v>1</v>
      </c>
      <c r="W39">
        <v>0</v>
      </c>
      <c r="X39">
        <v>1188625873</v>
      </c>
      <c r="Y39">
        <v>0.67</v>
      </c>
      <c r="AA39">
        <v>0</v>
      </c>
      <c r="AB39">
        <v>31.26</v>
      </c>
      <c r="AC39">
        <v>13.5</v>
      </c>
      <c r="AD39">
        <v>0</v>
      </c>
      <c r="AE39">
        <v>0</v>
      </c>
      <c r="AF39">
        <v>31.26</v>
      </c>
      <c r="AG39">
        <v>13.5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0.67</v>
      </c>
      <c r="AV39">
        <v>0</v>
      </c>
      <c r="AW39">
        <v>2</v>
      </c>
      <c r="AX39">
        <v>55723251</v>
      </c>
      <c r="AY39">
        <v>1</v>
      </c>
      <c r="AZ39">
        <v>0</v>
      </c>
      <c r="BA39">
        <v>17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Y39*Source!I58</f>
        <v>0.19872199999999998</v>
      </c>
      <c r="CY39">
        <f>AB39</f>
        <v>31.26</v>
      </c>
      <c r="CZ39">
        <f>AF39</f>
        <v>31.26</v>
      </c>
      <c r="DA39">
        <f>AJ39</f>
        <v>1</v>
      </c>
      <c r="DB39">
        <f t="shared" si="8"/>
        <v>20.94</v>
      </c>
      <c r="DC39">
        <f t="shared" si="9"/>
        <v>9.05</v>
      </c>
    </row>
    <row r="40" spans="1:107" ht="12.75">
      <c r="A40">
        <f>ROW(Source!A58)</f>
        <v>58</v>
      </c>
      <c r="B40">
        <v>55722483</v>
      </c>
      <c r="C40">
        <v>55723242</v>
      </c>
      <c r="D40">
        <v>37828873</v>
      </c>
      <c r="E40">
        <v>1</v>
      </c>
      <c r="F40">
        <v>1</v>
      </c>
      <c r="G40">
        <v>1</v>
      </c>
      <c r="H40">
        <v>3</v>
      </c>
      <c r="I40" t="s">
        <v>302</v>
      </c>
      <c r="J40" t="s">
        <v>303</v>
      </c>
      <c r="K40" t="s">
        <v>304</v>
      </c>
      <c r="L40">
        <v>1339</v>
      </c>
      <c r="N40">
        <v>1007</v>
      </c>
      <c r="O40" t="s">
        <v>305</v>
      </c>
      <c r="P40" t="s">
        <v>305</v>
      </c>
      <c r="Q40">
        <v>1</v>
      </c>
      <c r="W40">
        <v>0</v>
      </c>
      <c r="X40">
        <v>-1660354250</v>
      </c>
      <c r="Y40">
        <v>0.35</v>
      </c>
      <c r="AA40">
        <v>2.44</v>
      </c>
      <c r="AB40">
        <v>0</v>
      </c>
      <c r="AC40">
        <v>0</v>
      </c>
      <c r="AD40">
        <v>0</v>
      </c>
      <c r="AE40">
        <v>2.44</v>
      </c>
      <c r="AF40">
        <v>0</v>
      </c>
      <c r="AG40">
        <v>0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T40">
        <v>0.35</v>
      </c>
      <c r="AV40">
        <v>0</v>
      </c>
      <c r="AW40">
        <v>2</v>
      </c>
      <c r="AX40">
        <v>55723252</v>
      </c>
      <c r="AY40">
        <v>1</v>
      </c>
      <c r="AZ40">
        <v>0</v>
      </c>
      <c r="BA40">
        <v>18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Y40*Source!I58</f>
        <v>0.10380999999999999</v>
      </c>
      <c r="CY40">
        <f>AA40</f>
        <v>2.44</v>
      </c>
      <c r="CZ40">
        <f>AE40</f>
        <v>2.44</v>
      </c>
      <c r="DA40">
        <f>AI40</f>
        <v>1</v>
      </c>
      <c r="DB40">
        <f t="shared" si="8"/>
        <v>0.85</v>
      </c>
      <c r="DC40">
        <f t="shared" si="9"/>
        <v>0</v>
      </c>
    </row>
    <row r="41" spans="1:107" ht="12.75">
      <c r="A41">
        <f>ROW(Source!A58)</f>
        <v>58</v>
      </c>
      <c r="B41">
        <v>55722483</v>
      </c>
      <c r="C41">
        <v>55723242</v>
      </c>
      <c r="D41">
        <v>37826155</v>
      </c>
      <c r="E41">
        <v>17</v>
      </c>
      <c r="F41">
        <v>1</v>
      </c>
      <c r="G41">
        <v>1</v>
      </c>
      <c r="H41">
        <v>3</v>
      </c>
      <c r="I41" t="s">
        <v>89</v>
      </c>
      <c r="K41" t="s">
        <v>90</v>
      </c>
      <c r="L41">
        <v>1348</v>
      </c>
      <c r="N41">
        <v>1009</v>
      </c>
      <c r="O41" t="s">
        <v>36</v>
      </c>
      <c r="P41" t="s">
        <v>36</v>
      </c>
      <c r="Q41">
        <v>1000</v>
      </c>
      <c r="W41">
        <v>0</v>
      </c>
      <c r="X41">
        <v>-179832266</v>
      </c>
      <c r="Y41">
        <v>3.38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0</v>
      </c>
      <c r="AP41">
        <v>0</v>
      </c>
      <c r="AQ41">
        <v>0</v>
      </c>
      <c r="AR41">
        <v>0</v>
      </c>
      <c r="AT41">
        <v>3.38</v>
      </c>
      <c r="AV41">
        <v>0</v>
      </c>
      <c r="AW41">
        <v>2</v>
      </c>
      <c r="AX41">
        <v>55723253</v>
      </c>
      <c r="AY41">
        <v>1</v>
      </c>
      <c r="AZ41">
        <v>0</v>
      </c>
      <c r="BA41">
        <v>19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Y41*Source!I58</f>
        <v>1.002508</v>
      </c>
      <c r="CY41">
        <f>AA41</f>
        <v>0</v>
      </c>
      <c r="CZ41">
        <f>AE41</f>
        <v>0</v>
      </c>
      <c r="DA41">
        <f>AI41</f>
        <v>1</v>
      </c>
      <c r="DB41">
        <f t="shared" si="8"/>
        <v>0</v>
      </c>
      <c r="DC41">
        <f t="shared" si="9"/>
        <v>0</v>
      </c>
    </row>
    <row r="42" spans="1:107" ht="12.75">
      <c r="A42">
        <f>ROW(Source!A58)</f>
        <v>58</v>
      </c>
      <c r="B42">
        <v>55722483</v>
      </c>
      <c r="C42">
        <v>55723242</v>
      </c>
      <c r="D42">
        <v>37834409</v>
      </c>
      <c r="E42">
        <v>1</v>
      </c>
      <c r="F42">
        <v>1</v>
      </c>
      <c r="G42">
        <v>1</v>
      </c>
      <c r="H42">
        <v>3</v>
      </c>
      <c r="I42" t="s">
        <v>306</v>
      </c>
      <c r="J42" t="s">
        <v>307</v>
      </c>
      <c r="K42" t="s">
        <v>308</v>
      </c>
      <c r="L42">
        <v>1339</v>
      </c>
      <c r="N42">
        <v>1007</v>
      </c>
      <c r="O42" t="s">
        <v>305</v>
      </c>
      <c r="P42" t="s">
        <v>305</v>
      </c>
      <c r="Q42">
        <v>1</v>
      </c>
      <c r="W42">
        <v>0</v>
      </c>
      <c r="X42">
        <v>-1813551736</v>
      </c>
      <c r="Y42">
        <v>2.2</v>
      </c>
      <c r="AA42">
        <v>510.4</v>
      </c>
      <c r="AB42">
        <v>0</v>
      </c>
      <c r="AC42">
        <v>0</v>
      </c>
      <c r="AD42">
        <v>0</v>
      </c>
      <c r="AE42">
        <v>510.4</v>
      </c>
      <c r="AF42">
        <v>0</v>
      </c>
      <c r="AG42">
        <v>0</v>
      </c>
      <c r="AH42">
        <v>0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T42">
        <v>2.2</v>
      </c>
      <c r="AV42">
        <v>0</v>
      </c>
      <c r="AW42">
        <v>2</v>
      </c>
      <c r="AX42">
        <v>55723254</v>
      </c>
      <c r="AY42">
        <v>1</v>
      </c>
      <c r="AZ42">
        <v>0</v>
      </c>
      <c r="BA42">
        <v>20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Y42*Source!I58</f>
        <v>0.65252</v>
      </c>
      <c r="CY42">
        <f>AA42</f>
        <v>510.4</v>
      </c>
      <c r="CZ42">
        <f>AE42</f>
        <v>510.4</v>
      </c>
      <c r="DA42">
        <f>AI42</f>
        <v>1</v>
      </c>
      <c r="DB42">
        <f t="shared" si="8"/>
        <v>1122.88</v>
      </c>
      <c r="DC42">
        <f t="shared" si="9"/>
        <v>0</v>
      </c>
    </row>
    <row r="43" spans="1:107" ht="12.75">
      <c r="A43">
        <f>ROW(Source!A59)</f>
        <v>59</v>
      </c>
      <c r="B43">
        <v>55722484</v>
      </c>
      <c r="C43">
        <v>55723242</v>
      </c>
      <c r="D43">
        <v>37822902</v>
      </c>
      <c r="E43">
        <v>1</v>
      </c>
      <c r="F43">
        <v>1</v>
      </c>
      <c r="G43">
        <v>1</v>
      </c>
      <c r="H43">
        <v>1</v>
      </c>
      <c r="I43" t="s">
        <v>298</v>
      </c>
      <c r="K43" t="s">
        <v>299</v>
      </c>
      <c r="L43">
        <v>1191</v>
      </c>
      <c r="N43">
        <v>1013</v>
      </c>
      <c r="O43" t="s">
        <v>286</v>
      </c>
      <c r="P43" t="s">
        <v>286</v>
      </c>
      <c r="Q43">
        <v>1</v>
      </c>
      <c r="W43">
        <v>0</v>
      </c>
      <c r="X43">
        <v>-719309759</v>
      </c>
      <c r="Y43">
        <v>203.07</v>
      </c>
      <c r="AA43">
        <v>0</v>
      </c>
      <c r="AB43">
        <v>0</v>
      </c>
      <c r="AC43">
        <v>0</v>
      </c>
      <c r="AD43">
        <v>341.91</v>
      </c>
      <c r="AE43">
        <v>0</v>
      </c>
      <c r="AF43">
        <v>0</v>
      </c>
      <c r="AG43">
        <v>0</v>
      </c>
      <c r="AH43">
        <v>8.86</v>
      </c>
      <c r="AI43">
        <v>1</v>
      </c>
      <c r="AJ43">
        <v>1</v>
      </c>
      <c r="AK43">
        <v>1</v>
      </c>
      <c r="AL43">
        <v>38.59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203.07</v>
      </c>
      <c r="AV43">
        <v>1</v>
      </c>
      <c r="AW43">
        <v>2</v>
      </c>
      <c r="AX43">
        <v>55723249</v>
      </c>
      <c r="AY43">
        <v>1</v>
      </c>
      <c r="AZ43">
        <v>0</v>
      </c>
      <c r="BA43">
        <v>21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Y43*Source!I59</f>
        <v>60.23056199999999</v>
      </c>
      <c r="CY43">
        <f>AD43</f>
        <v>341.91</v>
      </c>
      <c r="CZ43">
        <f>AH43</f>
        <v>8.86</v>
      </c>
      <c r="DA43">
        <f>AL43</f>
        <v>38.59</v>
      </c>
      <c r="DB43">
        <f t="shared" si="8"/>
        <v>1799.2</v>
      </c>
      <c r="DC43">
        <f t="shared" si="9"/>
        <v>0</v>
      </c>
    </row>
    <row r="44" spans="1:107" ht="12.75">
      <c r="A44">
        <f>ROW(Source!A59)</f>
        <v>59</v>
      </c>
      <c r="B44">
        <v>55722484</v>
      </c>
      <c r="C44">
        <v>55723242</v>
      </c>
      <c r="D44">
        <v>37822850</v>
      </c>
      <c r="E44">
        <v>1</v>
      </c>
      <c r="F44">
        <v>1</v>
      </c>
      <c r="G44">
        <v>1</v>
      </c>
      <c r="H44">
        <v>1</v>
      </c>
      <c r="I44" t="s">
        <v>289</v>
      </c>
      <c r="K44" t="s">
        <v>290</v>
      </c>
      <c r="L44">
        <v>1191</v>
      </c>
      <c r="N44">
        <v>1013</v>
      </c>
      <c r="O44" t="s">
        <v>286</v>
      </c>
      <c r="P44" t="s">
        <v>286</v>
      </c>
      <c r="Q44">
        <v>1</v>
      </c>
      <c r="W44">
        <v>0</v>
      </c>
      <c r="X44">
        <v>-1417349443</v>
      </c>
      <c r="Y44">
        <v>0.67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38.59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T44">
        <v>0.67</v>
      </c>
      <c r="AV44">
        <v>2</v>
      </c>
      <c r="AW44">
        <v>2</v>
      </c>
      <c r="AX44">
        <v>55723250</v>
      </c>
      <c r="AY44">
        <v>1</v>
      </c>
      <c r="AZ44">
        <v>0</v>
      </c>
      <c r="BA44">
        <v>22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Y44*Source!I59</f>
        <v>0.19872199999999998</v>
      </c>
      <c r="CY44">
        <f>AD44</f>
        <v>0</v>
      </c>
      <c r="CZ44">
        <f>AH44</f>
        <v>0</v>
      </c>
      <c r="DA44">
        <f>AL44</f>
        <v>1</v>
      </c>
      <c r="DB44">
        <f t="shared" si="8"/>
        <v>0</v>
      </c>
      <c r="DC44">
        <f t="shared" si="9"/>
        <v>0</v>
      </c>
    </row>
    <row r="45" spans="1:107" ht="12.75">
      <c r="A45">
        <f>ROW(Source!A59)</f>
        <v>59</v>
      </c>
      <c r="B45">
        <v>55722484</v>
      </c>
      <c r="C45">
        <v>55723242</v>
      </c>
      <c r="D45">
        <v>37909710</v>
      </c>
      <c r="E45">
        <v>1</v>
      </c>
      <c r="F45">
        <v>1</v>
      </c>
      <c r="G45">
        <v>1</v>
      </c>
      <c r="H45">
        <v>2</v>
      </c>
      <c r="I45" t="s">
        <v>291</v>
      </c>
      <c r="J45" t="s">
        <v>300</v>
      </c>
      <c r="K45" t="s">
        <v>293</v>
      </c>
      <c r="L45">
        <v>1368</v>
      </c>
      <c r="N45">
        <v>1011</v>
      </c>
      <c r="O45" t="s">
        <v>301</v>
      </c>
      <c r="P45" t="s">
        <v>301</v>
      </c>
      <c r="Q45">
        <v>1</v>
      </c>
      <c r="W45">
        <v>0</v>
      </c>
      <c r="X45">
        <v>1188625873</v>
      </c>
      <c r="Y45">
        <v>0.67</v>
      </c>
      <c r="AA45">
        <v>0</v>
      </c>
      <c r="AB45">
        <v>419.82</v>
      </c>
      <c r="AC45">
        <v>520.97</v>
      </c>
      <c r="AD45">
        <v>0</v>
      </c>
      <c r="AE45">
        <v>0</v>
      </c>
      <c r="AF45">
        <v>31.26</v>
      </c>
      <c r="AG45">
        <v>13.5</v>
      </c>
      <c r="AH45">
        <v>0</v>
      </c>
      <c r="AI45">
        <v>1</v>
      </c>
      <c r="AJ45">
        <v>13.43</v>
      </c>
      <c r="AK45">
        <v>38.59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T45">
        <v>0.67</v>
      </c>
      <c r="AV45">
        <v>0</v>
      </c>
      <c r="AW45">
        <v>2</v>
      </c>
      <c r="AX45">
        <v>55723251</v>
      </c>
      <c r="AY45">
        <v>1</v>
      </c>
      <c r="AZ45">
        <v>0</v>
      </c>
      <c r="BA45">
        <v>23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Y45*Source!I59</f>
        <v>0.19872199999999998</v>
      </c>
      <c r="CY45">
        <f>AB45</f>
        <v>419.82</v>
      </c>
      <c r="CZ45">
        <f>AF45</f>
        <v>31.26</v>
      </c>
      <c r="DA45">
        <f>AJ45</f>
        <v>13.43</v>
      </c>
      <c r="DB45">
        <f t="shared" si="8"/>
        <v>20.94</v>
      </c>
      <c r="DC45">
        <f t="shared" si="9"/>
        <v>9.05</v>
      </c>
    </row>
    <row r="46" spans="1:107" ht="12.75">
      <c r="A46">
        <f>ROW(Source!A59)</f>
        <v>59</v>
      </c>
      <c r="B46">
        <v>55722484</v>
      </c>
      <c r="C46">
        <v>55723242</v>
      </c>
      <c r="D46">
        <v>37828873</v>
      </c>
      <c r="E46">
        <v>1</v>
      </c>
      <c r="F46">
        <v>1</v>
      </c>
      <c r="G46">
        <v>1</v>
      </c>
      <c r="H46">
        <v>3</v>
      </c>
      <c r="I46" t="s">
        <v>302</v>
      </c>
      <c r="J46" t="s">
        <v>303</v>
      </c>
      <c r="K46" t="s">
        <v>304</v>
      </c>
      <c r="L46">
        <v>1339</v>
      </c>
      <c r="N46">
        <v>1007</v>
      </c>
      <c r="O46" t="s">
        <v>305</v>
      </c>
      <c r="P46" t="s">
        <v>305</v>
      </c>
      <c r="Q46">
        <v>1</v>
      </c>
      <c r="W46">
        <v>0</v>
      </c>
      <c r="X46">
        <v>-1660354250</v>
      </c>
      <c r="Y46">
        <v>0.35</v>
      </c>
      <c r="AA46">
        <v>16.64</v>
      </c>
      <c r="AB46">
        <v>0</v>
      </c>
      <c r="AC46">
        <v>0</v>
      </c>
      <c r="AD46">
        <v>0</v>
      </c>
      <c r="AE46">
        <v>2.44</v>
      </c>
      <c r="AF46">
        <v>0</v>
      </c>
      <c r="AG46">
        <v>0</v>
      </c>
      <c r="AH46">
        <v>0</v>
      </c>
      <c r="AI46">
        <v>6.82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T46">
        <v>0.35</v>
      </c>
      <c r="AV46">
        <v>0</v>
      </c>
      <c r="AW46">
        <v>2</v>
      </c>
      <c r="AX46">
        <v>55723252</v>
      </c>
      <c r="AY46">
        <v>1</v>
      </c>
      <c r="AZ46">
        <v>0</v>
      </c>
      <c r="BA46">
        <v>24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Y46*Source!I59</f>
        <v>0.10380999999999999</v>
      </c>
      <c r="CY46">
        <f>AA46</f>
        <v>16.64</v>
      </c>
      <c r="CZ46">
        <f>AE46</f>
        <v>2.44</v>
      </c>
      <c r="DA46">
        <f>AI46</f>
        <v>6.82</v>
      </c>
      <c r="DB46">
        <f t="shared" si="8"/>
        <v>0.85</v>
      </c>
      <c r="DC46">
        <f t="shared" si="9"/>
        <v>0</v>
      </c>
    </row>
    <row r="47" spans="1:107" ht="12.75">
      <c r="A47">
        <f>ROW(Source!A59)</f>
        <v>59</v>
      </c>
      <c r="B47">
        <v>55722484</v>
      </c>
      <c r="C47">
        <v>55723242</v>
      </c>
      <c r="D47">
        <v>37826155</v>
      </c>
      <c r="E47">
        <v>17</v>
      </c>
      <c r="F47">
        <v>1</v>
      </c>
      <c r="G47">
        <v>1</v>
      </c>
      <c r="H47">
        <v>3</v>
      </c>
      <c r="I47" t="s">
        <v>89</v>
      </c>
      <c r="K47" t="s">
        <v>90</v>
      </c>
      <c r="L47">
        <v>1348</v>
      </c>
      <c r="N47">
        <v>1009</v>
      </c>
      <c r="O47" t="s">
        <v>36</v>
      </c>
      <c r="P47" t="s">
        <v>36</v>
      </c>
      <c r="Q47">
        <v>1000</v>
      </c>
      <c r="W47">
        <v>0</v>
      </c>
      <c r="X47">
        <v>-179832266</v>
      </c>
      <c r="Y47">
        <v>3.38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0</v>
      </c>
      <c r="AP47">
        <v>0</v>
      </c>
      <c r="AQ47">
        <v>0</v>
      </c>
      <c r="AR47">
        <v>0</v>
      </c>
      <c r="AT47">
        <v>3.38</v>
      </c>
      <c r="AV47">
        <v>0</v>
      </c>
      <c r="AW47">
        <v>2</v>
      </c>
      <c r="AX47">
        <v>55723253</v>
      </c>
      <c r="AY47">
        <v>1</v>
      </c>
      <c r="AZ47">
        <v>0</v>
      </c>
      <c r="BA47">
        <v>25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Y47*Source!I59</f>
        <v>1.002508</v>
      </c>
      <c r="CY47">
        <f>AA47</f>
        <v>0</v>
      </c>
      <c r="CZ47">
        <f>AE47</f>
        <v>0</v>
      </c>
      <c r="DA47">
        <f>AI47</f>
        <v>1</v>
      </c>
      <c r="DB47">
        <f t="shared" si="8"/>
        <v>0</v>
      </c>
      <c r="DC47">
        <f t="shared" si="9"/>
        <v>0</v>
      </c>
    </row>
    <row r="48" spans="1:107" ht="12.75">
      <c r="A48">
        <f>ROW(Source!A59)</f>
        <v>59</v>
      </c>
      <c r="B48">
        <v>55722484</v>
      </c>
      <c r="C48">
        <v>55723242</v>
      </c>
      <c r="D48">
        <v>37834409</v>
      </c>
      <c r="E48">
        <v>1</v>
      </c>
      <c r="F48">
        <v>1</v>
      </c>
      <c r="G48">
        <v>1</v>
      </c>
      <c r="H48">
        <v>3</v>
      </c>
      <c r="I48" t="s">
        <v>306</v>
      </c>
      <c r="J48" t="s">
        <v>307</v>
      </c>
      <c r="K48" t="s">
        <v>308</v>
      </c>
      <c r="L48">
        <v>1339</v>
      </c>
      <c r="N48">
        <v>1007</v>
      </c>
      <c r="O48" t="s">
        <v>305</v>
      </c>
      <c r="P48" t="s">
        <v>305</v>
      </c>
      <c r="Q48">
        <v>1</v>
      </c>
      <c r="W48">
        <v>0</v>
      </c>
      <c r="X48">
        <v>-1813551736</v>
      </c>
      <c r="Y48">
        <v>2.2</v>
      </c>
      <c r="AA48">
        <v>3480.93</v>
      </c>
      <c r="AB48">
        <v>0</v>
      </c>
      <c r="AC48">
        <v>0</v>
      </c>
      <c r="AD48">
        <v>0</v>
      </c>
      <c r="AE48">
        <v>510.4</v>
      </c>
      <c r="AF48">
        <v>0</v>
      </c>
      <c r="AG48">
        <v>0</v>
      </c>
      <c r="AH48">
        <v>0</v>
      </c>
      <c r="AI48">
        <v>6.82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T48">
        <v>2.2</v>
      </c>
      <c r="AV48">
        <v>0</v>
      </c>
      <c r="AW48">
        <v>2</v>
      </c>
      <c r="AX48">
        <v>55723254</v>
      </c>
      <c r="AY48">
        <v>1</v>
      </c>
      <c r="AZ48">
        <v>0</v>
      </c>
      <c r="BA48">
        <v>26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Y48*Source!I59</f>
        <v>0.65252</v>
      </c>
      <c r="CY48">
        <f>AA48</f>
        <v>3480.93</v>
      </c>
      <c r="CZ48">
        <f>AE48</f>
        <v>510.4</v>
      </c>
      <c r="DA48">
        <f>AI48</f>
        <v>6.82</v>
      </c>
      <c r="DB48">
        <f t="shared" si="8"/>
        <v>1122.88</v>
      </c>
      <c r="DC48">
        <f t="shared" si="9"/>
        <v>0</v>
      </c>
    </row>
    <row r="49" spans="1:107" ht="12.75">
      <c r="A49">
        <f>ROW(Source!A62)</f>
        <v>62</v>
      </c>
      <c r="B49">
        <v>55722483</v>
      </c>
      <c r="C49">
        <v>55723373</v>
      </c>
      <c r="D49">
        <v>53630075</v>
      </c>
      <c r="E49">
        <v>70</v>
      </c>
      <c r="F49">
        <v>1</v>
      </c>
      <c r="G49">
        <v>1</v>
      </c>
      <c r="H49">
        <v>1</v>
      </c>
      <c r="I49" t="s">
        <v>309</v>
      </c>
      <c r="K49" t="s">
        <v>310</v>
      </c>
      <c r="L49">
        <v>1191</v>
      </c>
      <c r="N49">
        <v>1013</v>
      </c>
      <c r="O49" t="s">
        <v>286</v>
      </c>
      <c r="P49" t="s">
        <v>286</v>
      </c>
      <c r="Q49">
        <v>1</v>
      </c>
      <c r="W49">
        <v>0</v>
      </c>
      <c r="X49">
        <v>-112797078</v>
      </c>
      <c r="Y49">
        <v>44.849999999999994</v>
      </c>
      <c r="AA49">
        <v>0</v>
      </c>
      <c r="AB49">
        <v>0</v>
      </c>
      <c r="AC49">
        <v>0</v>
      </c>
      <c r="AD49">
        <v>8.97</v>
      </c>
      <c r="AE49">
        <v>0</v>
      </c>
      <c r="AF49">
        <v>0</v>
      </c>
      <c r="AG49">
        <v>0</v>
      </c>
      <c r="AH49">
        <v>8.97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1</v>
      </c>
      <c r="AQ49">
        <v>0</v>
      </c>
      <c r="AR49">
        <v>0</v>
      </c>
      <c r="AT49">
        <v>39</v>
      </c>
      <c r="AU49" t="s">
        <v>95</v>
      </c>
      <c r="AV49">
        <v>1</v>
      </c>
      <c r="AW49">
        <v>2</v>
      </c>
      <c r="AX49">
        <v>55723374</v>
      </c>
      <c r="AY49">
        <v>1</v>
      </c>
      <c r="AZ49">
        <v>0</v>
      </c>
      <c r="BA49">
        <v>27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Y49*Source!I62</f>
        <v>291.525</v>
      </c>
      <c r="CY49">
        <f>AD49</f>
        <v>8.97</v>
      </c>
      <c r="CZ49">
        <f>AH49</f>
        <v>8.97</v>
      </c>
      <c r="DA49">
        <f>AL49</f>
        <v>1</v>
      </c>
      <c r="DB49">
        <f>ROUND((ROUND(AT49*CZ49,2)*ROUND(1.15,7)),2)</f>
        <v>402.3</v>
      </c>
      <c r="DC49">
        <f>ROUND((ROUND(AT49*AG49,2)*ROUND(1.15,7)),2)</f>
        <v>0</v>
      </c>
    </row>
    <row r="50" spans="1:107" ht="12.75">
      <c r="A50">
        <f>ROW(Source!A62)</f>
        <v>62</v>
      </c>
      <c r="B50">
        <v>55722483</v>
      </c>
      <c r="C50">
        <v>55723373</v>
      </c>
      <c r="D50">
        <v>53630257</v>
      </c>
      <c r="E50">
        <v>70</v>
      </c>
      <c r="F50">
        <v>1</v>
      </c>
      <c r="G50">
        <v>1</v>
      </c>
      <c r="H50">
        <v>1</v>
      </c>
      <c r="I50" t="s">
        <v>289</v>
      </c>
      <c r="K50" t="s">
        <v>290</v>
      </c>
      <c r="L50">
        <v>1191</v>
      </c>
      <c r="N50">
        <v>1013</v>
      </c>
      <c r="O50" t="s">
        <v>286</v>
      </c>
      <c r="P50" t="s">
        <v>286</v>
      </c>
      <c r="Q50">
        <v>1</v>
      </c>
      <c r="W50">
        <v>0</v>
      </c>
      <c r="X50">
        <v>-1417349443</v>
      </c>
      <c r="Y50">
        <v>0.21250000000000002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1</v>
      </c>
      <c r="AQ50">
        <v>0</v>
      </c>
      <c r="AR50">
        <v>0</v>
      </c>
      <c r="AT50">
        <v>0.17</v>
      </c>
      <c r="AU50" t="s">
        <v>41</v>
      </c>
      <c r="AV50">
        <v>2</v>
      </c>
      <c r="AW50">
        <v>2</v>
      </c>
      <c r="AX50">
        <v>55723375</v>
      </c>
      <c r="AY50">
        <v>1</v>
      </c>
      <c r="AZ50">
        <v>0</v>
      </c>
      <c r="BA50">
        <v>28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Y50*Source!I62</f>
        <v>1.38125</v>
      </c>
      <c r="CY50">
        <f>AD50</f>
        <v>0</v>
      </c>
      <c r="CZ50">
        <f>AH50</f>
        <v>0</v>
      </c>
      <c r="DA50">
        <f>AL50</f>
        <v>1</v>
      </c>
      <c r="DB50">
        <f>ROUND((ROUND(AT50*CZ50,2)*ROUND(1.25,7)),2)</f>
        <v>0</v>
      </c>
      <c r="DC50">
        <f>ROUND((ROUND(AT50*AG50,2)*ROUND(1.25,7)),2)</f>
        <v>0</v>
      </c>
    </row>
    <row r="51" spans="1:107" ht="12.75">
      <c r="A51">
        <f>ROW(Source!A62)</f>
        <v>62</v>
      </c>
      <c r="B51">
        <v>55722483</v>
      </c>
      <c r="C51">
        <v>55723373</v>
      </c>
      <c r="D51">
        <v>53792191</v>
      </c>
      <c r="E51">
        <v>1</v>
      </c>
      <c r="F51">
        <v>1</v>
      </c>
      <c r="G51">
        <v>1</v>
      </c>
      <c r="H51">
        <v>2</v>
      </c>
      <c r="I51" t="s">
        <v>291</v>
      </c>
      <c r="J51" t="s">
        <v>292</v>
      </c>
      <c r="K51" t="s">
        <v>293</v>
      </c>
      <c r="L51">
        <v>1367</v>
      </c>
      <c r="N51">
        <v>1011</v>
      </c>
      <c r="O51" t="s">
        <v>294</v>
      </c>
      <c r="P51" t="s">
        <v>294</v>
      </c>
      <c r="Q51">
        <v>1</v>
      </c>
      <c r="W51">
        <v>0</v>
      </c>
      <c r="X51">
        <v>1232162608</v>
      </c>
      <c r="Y51">
        <v>0.025</v>
      </c>
      <c r="AA51">
        <v>0</v>
      </c>
      <c r="AB51">
        <v>31.26</v>
      </c>
      <c r="AC51">
        <v>13.5</v>
      </c>
      <c r="AD51">
        <v>0</v>
      </c>
      <c r="AE51">
        <v>0</v>
      </c>
      <c r="AF51">
        <v>31.26</v>
      </c>
      <c r="AG51">
        <v>13.5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1</v>
      </c>
      <c r="AQ51">
        <v>0</v>
      </c>
      <c r="AR51">
        <v>0</v>
      </c>
      <c r="AT51">
        <v>0.02</v>
      </c>
      <c r="AU51" t="s">
        <v>41</v>
      </c>
      <c r="AV51">
        <v>0</v>
      </c>
      <c r="AW51">
        <v>2</v>
      </c>
      <c r="AX51">
        <v>55723376</v>
      </c>
      <c r="AY51">
        <v>1</v>
      </c>
      <c r="AZ51">
        <v>0</v>
      </c>
      <c r="BA51">
        <v>29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Y51*Source!I62</f>
        <v>0.1625</v>
      </c>
      <c r="CY51">
        <f>AB51</f>
        <v>31.26</v>
      </c>
      <c r="CZ51">
        <f>AF51</f>
        <v>31.26</v>
      </c>
      <c r="DA51">
        <f>AJ51</f>
        <v>1</v>
      </c>
      <c r="DB51">
        <f>ROUND((ROUND(AT51*CZ51,2)*ROUND(1.25,7)),2)</f>
        <v>0.79</v>
      </c>
      <c r="DC51">
        <f>ROUND((ROUND(AT51*AG51,2)*ROUND(1.25,7)),2)</f>
        <v>0.34</v>
      </c>
    </row>
    <row r="52" spans="1:107" ht="12.75">
      <c r="A52">
        <f>ROW(Source!A62)</f>
        <v>62</v>
      </c>
      <c r="B52">
        <v>55722483</v>
      </c>
      <c r="C52">
        <v>55723373</v>
      </c>
      <c r="D52">
        <v>53792927</v>
      </c>
      <c r="E52">
        <v>1</v>
      </c>
      <c r="F52">
        <v>1</v>
      </c>
      <c r="G52">
        <v>1</v>
      </c>
      <c r="H52">
        <v>2</v>
      </c>
      <c r="I52" t="s">
        <v>295</v>
      </c>
      <c r="J52" t="s">
        <v>296</v>
      </c>
      <c r="K52" t="s">
        <v>297</v>
      </c>
      <c r="L52">
        <v>1367</v>
      </c>
      <c r="N52">
        <v>1011</v>
      </c>
      <c r="O52" t="s">
        <v>294</v>
      </c>
      <c r="P52" t="s">
        <v>294</v>
      </c>
      <c r="Q52">
        <v>1</v>
      </c>
      <c r="W52">
        <v>0</v>
      </c>
      <c r="X52">
        <v>509054691</v>
      </c>
      <c r="Y52">
        <v>0.1875</v>
      </c>
      <c r="AA52">
        <v>0</v>
      </c>
      <c r="AB52">
        <v>65.71</v>
      </c>
      <c r="AC52">
        <v>11.6</v>
      </c>
      <c r="AD52">
        <v>0</v>
      </c>
      <c r="AE52">
        <v>0</v>
      </c>
      <c r="AF52">
        <v>65.71</v>
      </c>
      <c r="AG52">
        <v>11.6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1</v>
      </c>
      <c r="AQ52">
        <v>0</v>
      </c>
      <c r="AR52">
        <v>0</v>
      </c>
      <c r="AT52">
        <v>0.15</v>
      </c>
      <c r="AU52" t="s">
        <v>41</v>
      </c>
      <c r="AV52">
        <v>0</v>
      </c>
      <c r="AW52">
        <v>2</v>
      </c>
      <c r="AX52">
        <v>55723377</v>
      </c>
      <c r="AY52">
        <v>1</v>
      </c>
      <c r="AZ52">
        <v>0</v>
      </c>
      <c r="BA52">
        <v>30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Y52*Source!I62</f>
        <v>1.21875</v>
      </c>
      <c r="CY52">
        <f>AB52</f>
        <v>65.71</v>
      </c>
      <c r="CZ52">
        <f>AF52</f>
        <v>65.71</v>
      </c>
      <c r="DA52">
        <f>AJ52</f>
        <v>1</v>
      </c>
      <c r="DB52">
        <f>ROUND((ROUND(AT52*CZ52,2)*ROUND(1.25,7)),2)</f>
        <v>12.33</v>
      </c>
      <c r="DC52">
        <f>ROUND((ROUND(AT52*AG52,2)*ROUND(1.25,7)),2)</f>
        <v>2.18</v>
      </c>
    </row>
    <row r="53" spans="1:107" ht="12.75">
      <c r="A53">
        <f>ROW(Source!A62)</f>
        <v>62</v>
      </c>
      <c r="B53">
        <v>55722483</v>
      </c>
      <c r="C53">
        <v>55723373</v>
      </c>
      <c r="D53">
        <v>53645683</v>
      </c>
      <c r="E53">
        <v>1</v>
      </c>
      <c r="F53">
        <v>1</v>
      </c>
      <c r="G53">
        <v>1</v>
      </c>
      <c r="H53">
        <v>3</v>
      </c>
      <c r="I53" t="s">
        <v>311</v>
      </c>
      <c r="J53" t="s">
        <v>312</v>
      </c>
      <c r="K53" t="s">
        <v>313</v>
      </c>
      <c r="L53">
        <v>1327</v>
      </c>
      <c r="N53">
        <v>1005</v>
      </c>
      <c r="O53" t="s">
        <v>72</v>
      </c>
      <c r="P53" t="s">
        <v>72</v>
      </c>
      <c r="Q53">
        <v>1</v>
      </c>
      <c r="W53">
        <v>0</v>
      </c>
      <c r="X53">
        <v>105551837</v>
      </c>
      <c r="Y53">
        <v>0.84</v>
      </c>
      <c r="AA53">
        <v>72.32</v>
      </c>
      <c r="AB53">
        <v>0</v>
      </c>
      <c r="AC53">
        <v>0</v>
      </c>
      <c r="AD53">
        <v>0</v>
      </c>
      <c r="AE53">
        <v>72.32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T53">
        <v>0.84</v>
      </c>
      <c r="AV53">
        <v>0</v>
      </c>
      <c r="AW53">
        <v>2</v>
      </c>
      <c r="AX53">
        <v>55723378</v>
      </c>
      <c r="AY53">
        <v>1</v>
      </c>
      <c r="AZ53">
        <v>0</v>
      </c>
      <c r="BA53">
        <v>31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Y53*Source!I62</f>
        <v>5.46</v>
      </c>
      <c r="CY53">
        <f>AA53</f>
        <v>72.32</v>
      </c>
      <c r="CZ53">
        <f>AE53</f>
        <v>72.32</v>
      </c>
      <c r="DA53">
        <f>AI53</f>
        <v>1</v>
      </c>
      <c r="DB53">
        <f>ROUND(ROUND(AT53*CZ53,2),2)</f>
        <v>60.75</v>
      </c>
      <c r="DC53">
        <f>ROUND(ROUND(AT53*AG53,2),2)</f>
        <v>0</v>
      </c>
    </row>
    <row r="54" spans="1:107" ht="12.75">
      <c r="A54">
        <f>ROW(Source!A62)</f>
        <v>62</v>
      </c>
      <c r="B54">
        <v>55722483</v>
      </c>
      <c r="C54">
        <v>55723373</v>
      </c>
      <c r="D54">
        <v>53646032</v>
      </c>
      <c r="E54">
        <v>1</v>
      </c>
      <c r="F54">
        <v>1</v>
      </c>
      <c r="G54">
        <v>1</v>
      </c>
      <c r="H54">
        <v>3</v>
      </c>
      <c r="I54" t="s">
        <v>314</v>
      </c>
      <c r="J54" t="s">
        <v>315</v>
      </c>
      <c r="K54" t="s">
        <v>316</v>
      </c>
      <c r="L54">
        <v>1346</v>
      </c>
      <c r="N54">
        <v>1009</v>
      </c>
      <c r="O54" t="s">
        <v>317</v>
      </c>
      <c r="P54" t="s">
        <v>317</v>
      </c>
      <c r="Q54">
        <v>1</v>
      </c>
      <c r="W54">
        <v>0</v>
      </c>
      <c r="X54">
        <v>1052716416</v>
      </c>
      <c r="Y54">
        <v>0.31</v>
      </c>
      <c r="AA54">
        <v>1.82</v>
      </c>
      <c r="AB54">
        <v>0</v>
      </c>
      <c r="AC54">
        <v>0</v>
      </c>
      <c r="AD54">
        <v>0</v>
      </c>
      <c r="AE54">
        <v>1.82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T54">
        <v>0.31</v>
      </c>
      <c r="AV54">
        <v>0</v>
      </c>
      <c r="AW54">
        <v>2</v>
      </c>
      <c r="AX54">
        <v>55723379</v>
      </c>
      <c r="AY54">
        <v>1</v>
      </c>
      <c r="AZ54">
        <v>0</v>
      </c>
      <c r="BA54">
        <v>32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Y54*Source!I62</f>
        <v>2.015</v>
      </c>
      <c r="CY54">
        <f>AA54</f>
        <v>1.82</v>
      </c>
      <c r="CZ54">
        <f>AE54</f>
        <v>1.82</v>
      </c>
      <c r="DA54">
        <f>AI54</f>
        <v>1</v>
      </c>
      <c r="DB54">
        <f>ROUND(ROUND(AT54*CZ54,2),2)</f>
        <v>0.56</v>
      </c>
      <c r="DC54">
        <f>ROUND(ROUND(AT54*AG54,2),2)</f>
        <v>0</v>
      </c>
    </row>
    <row r="55" spans="1:107" ht="12.75">
      <c r="A55">
        <f>ROW(Source!A62)</f>
        <v>62</v>
      </c>
      <c r="B55">
        <v>55722483</v>
      </c>
      <c r="C55">
        <v>55723373</v>
      </c>
      <c r="D55">
        <v>51170434</v>
      </c>
      <c r="E55">
        <v>1</v>
      </c>
      <c r="F55">
        <v>1</v>
      </c>
      <c r="G55">
        <v>1</v>
      </c>
      <c r="H55">
        <v>3</v>
      </c>
      <c r="I55" t="s">
        <v>98</v>
      </c>
      <c r="J55" t="s">
        <v>100</v>
      </c>
      <c r="K55" t="s">
        <v>99</v>
      </c>
      <c r="L55">
        <v>1348</v>
      </c>
      <c r="N55">
        <v>1009</v>
      </c>
      <c r="O55" t="s">
        <v>36</v>
      </c>
      <c r="P55" t="s">
        <v>36</v>
      </c>
      <c r="Q55">
        <v>1000</v>
      </c>
      <c r="W55">
        <v>0</v>
      </c>
      <c r="X55">
        <v>2122879364</v>
      </c>
      <c r="Y55">
        <v>0.063</v>
      </c>
      <c r="AA55">
        <v>13287.69</v>
      </c>
      <c r="AB55">
        <v>0</v>
      </c>
      <c r="AC55">
        <v>0</v>
      </c>
      <c r="AD55">
        <v>0</v>
      </c>
      <c r="AE55">
        <v>13287.69</v>
      </c>
      <c r="AF55">
        <v>0</v>
      </c>
      <c r="AG55">
        <v>0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0</v>
      </c>
      <c r="AP55">
        <v>0</v>
      </c>
      <c r="AQ55">
        <v>0</v>
      </c>
      <c r="AR55">
        <v>0</v>
      </c>
      <c r="AT55">
        <v>0.063</v>
      </c>
      <c r="AV55">
        <v>0</v>
      </c>
      <c r="AW55">
        <v>1</v>
      </c>
      <c r="AX55">
        <v>-1</v>
      </c>
      <c r="AY55">
        <v>0</v>
      </c>
      <c r="AZ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Y55*Source!I62</f>
        <v>0.4095</v>
      </c>
      <c r="CY55">
        <f>AA55</f>
        <v>13287.69</v>
      </c>
      <c r="CZ55">
        <f>AE55</f>
        <v>13287.69</v>
      </c>
      <c r="DA55">
        <f>AI55</f>
        <v>1</v>
      </c>
      <c r="DB55">
        <f>ROUND(ROUND(AT55*CZ55,2),2)</f>
        <v>837.12</v>
      </c>
      <c r="DC55">
        <f>ROUND(ROUND(AT55*AG55,2),2)</f>
        <v>0</v>
      </c>
    </row>
    <row r="56" spans="1:107" ht="12.75">
      <c r="A56">
        <f>ROW(Source!A62)</f>
        <v>62</v>
      </c>
      <c r="B56">
        <v>55722483</v>
      </c>
      <c r="C56">
        <v>55723373</v>
      </c>
      <c r="D56">
        <v>53674846</v>
      </c>
      <c r="E56">
        <v>1</v>
      </c>
      <c r="F56">
        <v>1</v>
      </c>
      <c r="G56">
        <v>1</v>
      </c>
      <c r="H56">
        <v>3</v>
      </c>
      <c r="I56" t="s">
        <v>318</v>
      </c>
      <c r="J56" t="s">
        <v>319</v>
      </c>
      <c r="K56" t="s">
        <v>320</v>
      </c>
      <c r="L56">
        <v>1348</v>
      </c>
      <c r="N56">
        <v>1009</v>
      </c>
      <c r="O56" t="s">
        <v>36</v>
      </c>
      <c r="P56" t="s">
        <v>36</v>
      </c>
      <c r="Q56">
        <v>1000</v>
      </c>
      <c r="W56">
        <v>0</v>
      </c>
      <c r="X56">
        <v>-1516654830</v>
      </c>
      <c r="Y56">
        <v>0.051</v>
      </c>
      <c r="AA56">
        <v>4294</v>
      </c>
      <c r="AB56">
        <v>0</v>
      </c>
      <c r="AC56">
        <v>0</v>
      </c>
      <c r="AD56">
        <v>0</v>
      </c>
      <c r="AE56">
        <v>4294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0.051</v>
      </c>
      <c r="AV56">
        <v>0</v>
      </c>
      <c r="AW56">
        <v>2</v>
      </c>
      <c r="AX56">
        <v>55723381</v>
      </c>
      <c r="AY56">
        <v>1</v>
      </c>
      <c r="AZ56">
        <v>0</v>
      </c>
      <c r="BA56">
        <v>34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Y56*Source!I62</f>
        <v>0.33149999999999996</v>
      </c>
      <c r="CY56">
        <f>AA56</f>
        <v>4294</v>
      </c>
      <c r="CZ56">
        <f>AE56</f>
        <v>4294</v>
      </c>
      <c r="DA56">
        <f>AI56</f>
        <v>1</v>
      </c>
      <c r="DB56">
        <f>ROUND(ROUND(AT56*CZ56,2),2)</f>
        <v>218.99</v>
      </c>
      <c r="DC56">
        <f>ROUND(ROUND(AT56*AG56,2),2)</f>
        <v>0</v>
      </c>
    </row>
    <row r="57" spans="1:107" ht="12.75">
      <c r="A57">
        <f>ROW(Source!A63)</f>
        <v>63</v>
      </c>
      <c r="B57">
        <v>55722484</v>
      </c>
      <c r="C57">
        <v>55723373</v>
      </c>
      <c r="D57">
        <v>53630075</v>
      </c>
      <c r="E57">
        <v>70</v>
      </c>
      <c r="F57">
        <v>1</v>
      </c>
      <c r="G57">
        <v>1</v>
      </c>
      <c r="H57">
        <v>1</v>
      </c>
      <c r="I57" t="s">
        <v>309</v>
      </c>
      <c r="K57" t="s">
        <v>310</v>
      </c>
      <c r="L57">
        <v>1191</v>
      </c>
      <c r="N57">
        <v>1013</v>
      </c>
      <c r="O57" t="s">
        <v>286</v>
      </c>
      <c r="P57" t="s">
        <v>286</v>
      </c>
      <c r="Q57">
        <v>1</v>
      </c>
      <c r="W57">
        <v>0</v>
      </c>
      <c r="X57">
        <v>-112797078</v>
      </c>
      <c r="Y57">
        <v>44.849999999999994</v>
      </c>
      <c r="AA57">
        <v>0</v>
      </c>
      <c r="AB57">
        <v>0</v>
      </c>
      <c r="AC57">
        <v>0</v>
      </c>
      <c r="AD57">
        <v>346.15</v>
      </c>
      <c r="AE57">
        <v>0</v>
      </c>
      <c r="AF57">
        <v>0</v>
      </c>
      <c r="AG57">
        <v>0</v>
      </c>
      <c r="AH57">
        <v>8.97</v>
      </c>
      <c r="AI57">
        <v>1</v>
      </c>
      <c r="AJ57">
        <v>1</v>
      </c>
      <c r="AK57">
        <v>1</v>
      </c>
      <c r="AL57">
        <v>38.59</v>
      </c>
      <c r="AN57">
        <v>0</v>
      </c>
      <c r="AO57">
        <v>1</v>
      </c>
      <c r="AP57">
        <v>1</v>
      </c>
      <c r="AQ57">
        <v>0</v>
      </c>
      <c r="AR57">
        <v>0</v>
      </c>
      <c r="AT57">
        <v>39</v>
      </c>
      <c r="AU57" t="s">
        <v>95</v>
      </c>
      <c r="AV57">
        <v>1</v>
      </c>
      <c r="AW57">
        <v>2</v>
      </c>
      <c r="AX57">
        <v>55723374</v>
      </c>
      <c r="AY57">
        <v>1</v>
      </c>
      <c r="AZ57">
        <v>0</v>
      </c>
      <c r="BA57">
        <v>35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Y57*Source!I63</f>
        <v>291.525</v>
      </c>
      <c r="CY57">
        <f>AD57</f>
        <v>346.15</v>
      </c>
      <c r="CZ57">
        <f>AH57</f>
        <v>8.97</v>
      </c>
      <c r="DA57">
        <f>AL57</f>
        <v>38.59</v>
      </c>
      <c r="DB57">
        <f>ROUND((ROUND(AT57*CZ57,2)*ROUND(1.15,7)),2)</f>
        <v>402.3</v>
      </c>
      <c r="DC57">
        <f>ROUND((ROUND(AT57*AG57,2)*ROUND(1.15,7)),2)</f>
        <v>0</v>
      </c>
    </row>
    <row r="58" spans="1:107" ht="12.75">
      <c r="A58">
        <f>ROW(Source!A63)</f>
        <v>63</v>
      </c>
      <c r="B58">
        <v>55722484</v>
      </c>
      <c r="C58">
        <v>55723373</v>
      </c>
      <c r="D58">
        <v>53630257</v>
      </c>
      <c r="E58">
        <v>70</v>
      </c>
      <c r="F58">
        <v>1</v>
      </c>
      <c r="G58">
        <v>1</v>
      </c>
      <c r="H58">
        <v>1</v>
      </c>
      <c r="I58" t="s">
        <v>289</v>
      </c>
      <c r="K58" t="s">
        <v>290</v>
      </c>
      <c r="L58">
        <v>1191</v>
      </c>
      <c r="N58">
        <v>1013</v>
      </c>
      <c r="O58" t="s">
        <v>286</v>
      </c>
      <c r="P58" t="s">
        <v>286</v>
      </c>
      <c r="Q58">
        <v>1</v>
      </c>
      <c r="W58">
        <v>0</v>
      </c>
      <c r="X58">
        <v>-1417349443</v>
      </c>
      <c r="Y58">
        <v>0.21250000000000002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38.59</v>
      </c>
      <c r="AL58">
        <v>1</v>
      </c>
      <c r="AN58">
        <v>0</v>
      </c>
      <c r="AO58">
        <v>1</v>
      </c>
      <c r="AP58">
        <v>1</v>
      </c>
      <c r="AQ58">
        <v>0</v>
      </c>
      <c r="AR58">
        <v>0</v>
      </c>
      <c r="AT58">
        <v>0.17</v>
      </c>
      <c r="AU58" t="s">
        <v>41</v>
      </c>
      <c r="AV58">
        <v>2</v>
      </c>
      <c r="AW58">
        <v>2</v>
      </c>
      <c r="AX58">
        <v>55723375</v>
      </c>
      <c r="AY58">
        <v>1</v>
      </c>
      <c r="AZ58">
        <v>0</v>
      </c>
      <c r="BA58">
        <v>36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Y58*Source!I63</f>
        <v>1.38125</v>
      </c>
      <c r="CY58">
        <f>AD58</f>
        <v>0</v>
      </c>
      <c r="CZ58">
        <f>AH58</f>
        <v>0</v>
      </c>
      <c r="DA58">
        <f>AL58</f>
        <v>1</v>
      </c>
      <c r="DB58">
        <f>ROUND((ROUND(AT58*CZ58,2)*ROUND(1.25,7)),2)</f>
        <v>0</v>
      </c>
      <c r="DC58">
        <f>ROUND((ROUND(AT58*AG58,2)*ROUND(1.25,7)),2)</f>
        <v>0</v>
      </c>
    </row>
    <row r="59" spans="1:107" ht="12.75">
      <c r="A59">
        <f>ROW(Source!A63)</f>
        <v>63</v>
      </c>
      <c r="B59">
        <v>55722484</v>
      </c>
      <c r="C59">
        <v>55723373</v>
      </c>
      <c r="D59">
        <v>53792191</v>
      </c>
      <c r="E59">
        <v>1</v>
      </c>
      <c r="F59">
        <v>1</v>
      </c>
      <c r="G59">
        <v>1</v>
      </c>
      <c r="H59">
        <v>2</v>
      </c>
      <c r="I59" t="s">
        <v>291</v>
      </c>
      <c r="J59" t="s">
        <v>292</v>
      </c>
      <c r="K59" t="s">
        <v>293</v>
      </c>
      <c r="L59">
        <v>1367</v>
      </c>
      <c r="N59">
        <v>1011</v>
      </c>
      <c r="O59" t="s">
        <v>294</v>
      </c>
      <c r="P59" t="s">
        <v>294</v>
      </c>
      <c r="Q59">
        <v>1</v>
      </c>
      <c r="W59">
        <v>0</v>
      </c>
      <c r="X59">
        <v>1232162608</v>
      </c>
      <c r="Y59">
        <v>0.025</v>
      </c>
      <c r="AA59">
        <v>0</v>
      </c>
      <c r="AB59">
        <v>419.82</v>
      </c>
      <c r="AC59">
        <v>520.97</v>
      </c>
      <c r="AD59">
        <v>0</v>
      </c>
      <c r="AE59">
        <v>0</v>
      </c>
      <c r="AF59">
        <v>31.26</v>
      </c>
      <c r="AG59">
        <v>13.5</v>
      </c>
      <c r="AH59">
        <v>0</v>
      </c>
      <c r="AI59">
        <v>1</v>
      </c>
      <c r="AJ59">
        <v>13.43</v>
      </c>
      <c r="AK59">
        <v>38.59</v>
      </c>
      <c r="AL59">
        <v>1</v>
      </c>
      <c r="AN59">
        <v>0</v>
      </c>
      <c r="AO59">
        <v>1</v>
      </c>
      <c r="AP59">
        <v>1</v>
      </c>
      <c r="AQ59">
        <v>0</v>
      </c>
      <c r="AR59">
        <v>0</v>
      </c>
      <c r="AT59">
        <v>0.02</v>
      </c>
      <c r="AU59" t="s">
        <v>41</v>
      </c>
      <c r="AV59">
        <v>0</v>
      </c>
      <c r="AW59">
        <v>2</v>
      </c>
      <c r="AX59">
        <v>55723376</v>
      </c>
      <c r="AY59">
        <v>1</v>
      </c>
      <c r="AZ59">
        <v>0</v>
      </c>
      <c r="BA59">
        <v>37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Y59*Source!I63</f>
        <v>0.1625</v>
      </c>
      <c r="CY59">
        <f>AB59</f>
        <v>419.82</v>
      </c>
      <c r="CZ59">
        <f>AF59</f>
        <v>31.26</v>
      </c>
      <c r="DA59">
        <f>AJ59</f>
        <v>13.43</v>
      </c>
      <c r="DB59">
        <f>ROUND((ROUND(AT59*CZ59,2)*ROUND(1.25,7)),2)</f>
        <v>0.79</v>
      </c>
      <c r="DC59">
        <f>ROUND((ROUND(AT59*AG59,2)*ROUND(1.25,7)),2)</f>
        <v>0.34</v>
      </c>
    </row>
    <row r="60" spans="1:107" ht="12.75">
      <c r="A60">
        <f>ROW(Source!A63)</f>
        <v>63</v>
      </c>
      <c r="B60">
        <v>55722484</v>
      </c>
      <c r="C60">
        <v>55723373</v>
      </c>
      <c r="D60">
        <v>53792927</v>
      </c>
      <c r="E60">
        <v>1</v>
      </c>
      <c r="F60">
        <v>1</v>
      </c>
      <c r="G60">
        <v>1</v>
      </c>
      <c r="H60">
        <v>2</v>
      </c>
      <c r="I60" t="s">
        <v>295</v>
      </c>
      <c r="J60" t="s">
        <v>296</v>
      </c>
      <c r="K60" t="s">
        <v>297</v>
      </c>
      <c r="L60">
        <v>1367</v>
      </c>
      <c r="N60">
        <v>1011</v>
      </c>
      <c r="O60" t="s">
        <v>294</v>
      </c>
      <c r="P60" t="s">
        <v>294</v>
      </c>
      <c r="Q60">
        <v>1</v>
      </c>
      <c r="W60">
        <v>0</v>
      </c>
      <c r="X60">
        <v>509054691</v>
      </c>
      <c r="Y60">
        <v>0.1875</v>
      </c>
      <c r="AA60">
        <v>0</v>
      </c>
      <c r="AB60">
        <v>882.49</v>
      </c>
      <c r="AC60">
        <v>447.64</v>
      </c>
      <c r="AD60">
        <v>0</v>
      </c>
      <c r="AE60">
        <v>0</v>
      </c>
      <c r="AF60">
        <v>65.71</v>
      </c>
      <c r="AG60">
        <v>11.6</v>
      </c>
      <c r="AH60">
        <v>0</v>
      </c>
      <c r="AI60">
        <v>1</v>
      </c>
      <c r="AJ60">
        <v>13.43</v>
      </c>
      <c r="AK60">
        <v>38.59</v>
      </c>
      <c r="AL60">
        <v>1</v>
      </c>
      <c r="AN60">
        <v>0</v>
      </c>
      <c r="AO60">
        <v>1</v>
      </c>
      <c r="AP60">
        <v>1</v>
      </c>
      <c r="AQ60">
        <v>0</v>
      </c>
      <c r="AR60">
        <v>0</v>
      </c>
      <c r="AT60">
        <v>0.15</v>
      </c>
      <c r="AU60" t="s">
        <v>41</v>
      </c>
      <c r="AV60">
        <v>0</v>
      </c>
      <c r="AW60">
        <v>2</v>
      </c>
      <c r="AX60">
        <v>55723377</v>
      </c>
      <c r="AY60">
        <v>1</v>
      </c>
      <c r="AZ60">
        <v>0</v>
      </c>
      <c r="BA60">
        <v>38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Y60*Source!I63</f>
        <v>1.21875</v>
      </c>
      <c r="CY60">
        <f>AB60</f>
        <v>882.49</v>
      </c>
      <c r="CZ60">
        <f>AF60</f>
        <v>65.71</v>
      </c>
      <c r="DA60">
        <f>AJ60</f>
        <v>13.43</v>
      </c>
      <c r="DB60">
        <f>ROUND((ROUND(AT60*CZ60,2)*ROUND(1.25,7)),2)</f>
        <v>12.33</v>
      </c>
      <c r="DC60">
        <f>ROUND((ROUND(AT60*AG60,2)*ROUND(1.25,7)),2)</f>
        <v>2.18</v>
      </c>
    </row>
    <row r="61" spans="1:107" ht="12.75">
      <c r="A61">
        <f>ROW(Source!A63)</f>
        <v>63</v>
      </c>
      <c r="B61">
        <v>55722484</v>
      </c>
      <c r="C61">
        <v>55723373</v>
      </c>
      <c r="D61">
        <v>53645683</v>
      </c>
      <c r="E61">
        <v>1</v>
      </c>
      <c r="F61">
        <v>1</v>
      </c>
      <c r="G61">
        <v>1</v>
      </c>
      <c r="H61">
        <v>3</v>
      </c>
      <c r="I61" t="s">
        <v>311</v>
      </c>
      <c r="J61" t="s">
        <v>312</v>
      </c>
      <c r="K61" t="s">
        <v>313</v>
      </c>
      <c r="L61">
        <v>1327</v>
      </c>
      <c r="N61">
        <v>1005</v>
      </c>
      <c r="O61" t="s">
        <v>72</v>
      </c>
      <c r="P61" t="s">
        <v>72</v>
      </c>
      <c r="Q61">
        <v>1</v>
      </c>
      <c r="W61">
        <v>0</v>
      </c>
      <c r="X61">
        <v>105551837</v>
      </c>
      <c r="Y61">
        <v>0.84</v>
      </c>
      <c r="AA61">
        <v>493.22</v>
      </c>
      <c r="AB61">
        <v>0</v>
      </c>
      <c r="AC61">
        <v>0</v>
      </c>
      <c r="AD61">
        <v>0</v>
      </c>
      <c r="AE61">
        <v>72.32</v>
      </c>
      <c r="AF61">
        <v>0</v>
      </c>
      <c r="AG61">
        <v>0</v>
      </c>
      <c r="AH61">
        <v>0</v>
      </c>
      <c r="AI61">
        <v>6.82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T61">
        <v>0.84</v>
      </c>
      <c r="AV61">
        <v>0</v>
      </c>
      <c r="AW61">
        <v>2</v>
      </c>
      <c r="AX61">
        <v>55723378</v>
      </c>
      <c r="AY61">
        <v>1</v>
      </c>
      <c r="AZ61">
        <v>0</v>
      </c>
      <c r="BA61">
        <v>39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Y61*Source!I63</f>
        <v>5.46</v>
      </c>
      <c r="CY61">
        <f>AA61</f>
        <v>493.22</v>
      </c>
      <c r="CZ61">
        <f>AE61</f>
        <v>72.32</v>
      </c>
      <c r="DA61">
        <f>AI61</f>
        <v>6.82</v>
      </c>
      <c r="DB61">
        <f>ROUND(ROUND(AT61*CZ61,2),2)</f>
        <v>60.75</v>
      </c>
      <c r="DC61">
        <f>ROUND(ROUND(AT61*AG61,2),2)</f>
        <v>0</v>
      </c>
    </row>
    <row r="62" spans="1:107" ht="12.75">
      <c r="A62">
        <f>ROW(Source!A63)</f>
        <v>63</v>
      </c>
      <c r="B62">
        <v>55722484</v>
      </c>
      <c r="C62">
        <v>55723373</v>
      </c>
      <c r="D62">
        <v>53646032</v>
      </c>
      <c r="E62">
        <v>1</v>
      </c>
      <c r="F62">
        <v>1</v>
      </c>
      <c r="G62">
        <v>1</v>
      </c>
      <c r="H62">
        <v>3</v>
      </c>
      <c r="I62" t="s">
        <v>314</v>
      </c>
      <c r="J62" t="s">
        <v>315</v>
      </c>
      <c r="K62" t="s">
        <v>316</v>
      </c>
      <c r="L62">
        <v>1346</v>
      </c>
      <c r="N62">
        <v>1009</v>
      </c>
      <c r="O62" t="s">
        <v>317</v>
      </c>
      <c r="P62" t="s">
        <v>317</v>
      </c>
      <c r="Q62">
        <v>1</v>
      </c>
      <c r="W62">
        <v>0</v>
      </c>
      <c r="X62">
        <v>1052716416</v>
      </c>
      <c r="Y62">
        <v>0.31</v>
      </c>
      <c r="AA62">
        <v>12.41</v>
      </c>
      <c r="AB62">
        <v>0</v>
      </c>
      <c r="AC62">
        <v>0</v>
      </c>
      <c r="AD62">
        <v>0</v>
      </c>
      <c r="AE62">
        <v>1.82</v>
      </c>
      <c r="AF62">
        <v>0</v>
      </c>
      <c r="AG62">
        <v>0</v>
      </c>
      <c r="AH62">
        <v>0</v>
      </c>
      <c r="AI62">
        <v>6.82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T62">
        <v>0.31</v>
      </c>
      <c r="AV62">
        <v>0</v>
      </c>
      <c r="AW62">
        <v>2</v>
      </c>
      <c r="AX62">
        <v>55723379</v>
      </c>
      <c r="AY62">
        <v>1</v>
      </c>
      <c r="AZ62">
        <v>0</v>
      </c>
      <c r="BA62">
        <v>40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Y62*Source!I63</f>
        <v>2.015</v>
      </c>
      <c r="CY62">
        <f>AA62</f>
        <v>12.41</v>
      </c>
      <c r="CZ62">
        <f>AE62</f>
        <v>1.82</v>
      </c>
      <c r="DA62">
        <f>AI62</f>
        <v>6.82</v>
      </c>
      <c r="DB62">
        <f>ROUND(ROUND(AT62*CZ62,2),2)</f>
        <v>0.56</v>
      </c>
      <c r="DC62">
        <f>ROUND(ROUND(AT62*AG62,2),2)</f>
        <v>0</v>
      </c>
    </row>
    <row r="63" spans="1:107" ht="12.75">
      <c r="A63">
        <f>ROW(Source!A63)</f>
        <v>63</v>
      </c>
      <c r="B63">
        <v>55722484</v>
      </c>
      <c r="C63">
        <v>55723373</v>
      </c>
      <c r="D63">
        <v>51170434</v>
      </c>
      <c r="E63">
        <v>1</v>
      </c>
      <c r="F63">
        <v>1</v>
      </c>
      <c r="G63">
        <v>1</v>
      </c>
      <c r="H63">
        <v>3</v>
      </c>
      <c r="I63" t="s">
        <v>98</v>
      </c>
      <c r="J63" t="s">
        <v>100</v>
      </c>
      <c r="K63" t="s">
        <v>99</v>
      </c>
      <c r="L63">
        <v>1348</v>
      </c>
      <c r="N63">
        <v>1009</v>
      </c>
      <c r="O63" t="s">
        <v>36</v>
      </c>
      <c r="P63" t="s">
        <v>36</v>
      </c>
      <c r="Q63">
        <v>1000</v>
      </c>
      <c r="W63">
        <v>0</v>
      </c>
      <c r="X63">
        <v>2122879364</v>
      </c>
      <c r="Y63">
        <v>0.063</v>
      </c>
      <c r="AA63">
        <v>90622.05</v>
      </c>
      <c r="AB63">
        <v>0</v>
      </c>
      <c r="AC63">
        <v>0</v>
      </c>
      <c r="AD63">
        <v>0</v>
      </c>
      <c r="AE63">
        <v>13287.69</v>
      </c>
      <c r="AF63">
        <v>0</v>
      </c>
      <c r="AG63">
        <v>0</v>
      </c>
      <c r="AH63">
        <v>0</v>
      </c>
      <c r="AI63">
        <v>6.82</v>
      </c>
      <c r="AJ63">
        <v>1</v>
      </c>
      <c r="AK63">
        <v>1</v>
      </c>
      <c r="AL63">
        <v>1</v>
      </c>
      <c r="AN63">
        <v>0</v>
      </c>
      <c r="AO63">
        <v>0</v>
      </c>
      <c r="AP63">
        <v>0</v>
      </c>
      <c r="AQ63">
        <v>0</v>
      </c>
      <c r="AR63">
        <v>0</v>
      </c>
      <c r="AT63">
        <v>0.063</v>
      </c>
      <c r="AV63">
        <v>0</v>
      </c>
      <c r="AW63">
        <v>1</v>
      </c>
      <c r="AX63">
        <v>-1</v>
      </c>
      <c r="AY63">
        <v>0</v>
      </c>
      <c r="AZ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Y63*Source!I63</f>
        <v>0.4095</v>
      </c>
      <c r="CY63">
        <f>AA63</f>
        <v>90622.05</v>
      </c>
      <c r="CZ63">
        <f>AE63</f>
        <v>13287.69</v>
      </c>
      <c r="DA63">
        <f>AI63</f>
        <v>6.82</v>
      </c>
      <c r="DB63">
        <f>ROUND(ROUND(AT63*CZ63,2),2)</f>
        <v>837.12</v>
      </c>
      <c r="DC63">
        <f>ROUND(ROUND(AT63*AG63,2),2)</f>
        <v>0</v>
      </c>
    </row>
    <row r="64" spans="1:107" ht="12.75">
      <c r="A64">
        <f>ROW(Source!A63)</f>
        <v>63</v>
      </c>
      <c r="B64">
        <v>55722484</v>
      </c>
      <c r="C64">
        <v>55723373</v>
      </c>
      <c r="D64">
        <v>53674846</v>
      </c>
      <c r="E64">
        <v>1</v>
      </c>
      <c r="F64">
        <v>1</v>
      </c>
      <c r="G64">
        <v>1</v>
      </c>
      <c r="H64">
        <v>3</v>
      </c>
      <c r="I64" t="s">
        <v>318</v>
      </c>
      <c r="J64" t="s">
        <v>319</v>
      </c>
      <c r="K64" t="s">
        <v>320</v>
      </c>
      <c r="L64">
        <v>1348</v>
      </c>
      <c r="N64">
        <v>1009</v>
      </c>
      <c r="O64" t="s">
        <v>36</v>
      </c>
      <c r="P64" t="s">
        <v>36</v>
      </c>
      <c r="Q64">
        <v>1000</v>
      </c>
      <c r="W64">
        <v>0</v>
      </c>
      <c r="X64">
        <v>-1516654830</v>
      </c>
      <c r="Y64">
        <v>0.051</v>
      </c>
      <c r="AA64">
        <v>29285.08</v>
      </c>
      <c r="AB64">
        <v>0</v>
      </c>
      <c r="AC64">
        <v>0</v>
      </c>
      <c r="AD64">
        <v>0</v>
      </c>
      <c r="AE64">
        <v>4294</v>
      </c>
      <c r="AF64">
        <v>0</v>
      </c>
      <c r="AG64">
        <v>0</v>
      </c>
      <c r="AH64">
        <v>0</v>
      </c>
      <c r="AI64">
        <v>6.82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T64">
        <v>0.051</v>
      </c>
      <c r="AV64">
        <v>0</v>
      </c>
      <c r="AW64">
        <v>2</v>
      </c>
      <c r="AX64">
        <v>55723381</v>
      </c>
      <c r="AY64">
        <v>1</v>
      </c>
      <c r="AZ64">
        <v>0</v>
      </c>
      <c r="BA64">
        <v>42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Y64*Source!I63</f>
        <v>0.33149999999999996</v>
      </c>
      <c r="CY64">
        <f>AA64</f>
        <v>29285.08</v>
      </c>
      <c r="CZ64">
        <f>AE64</f>
        <v>4294</v>
      </c>
      <c r="DA64">
        <f>AI64</f>
        <v>6.82</v>
      </c>
      <c r="DB64">
        <f>ROUND(ROUND(AT64*CZ64,2),2)</f>
        <v>218.99</v>
      </c>
      <c r="DC64">
        <f>ROUND(ROUND(AT64*AG64,2),2)</f>
        <v>0</v>
      </c>
    </row>
    <row r="65" spans="1:107" ht="12.75">
      <c r="A65">
        <f>ROW(Source!A101)</f>
        <v>101</v>
      </c>
      <c r="B65">
        <v>55722483</v>
      </c>
      <c r="C65">
        <v>55723131</v>
      </c>
      <c r="D65">
        <v>37822883</v>
      </c>
      <c r="E65">
        <v>70</v>
      </c>
      <c r="F65">
        <v>1</v>
      </c>
      <c r="G65">
        <v>1</v>
      </c>
      <c r="H65">
        <v>1</v>
      </c>
      <c r="I65" t="s">
        <v>321</v>
      </c>
      <c r="K65" t="s">
        <v>322</v>
      </c>
      <c r="L65">
        <v>1191</v>
      </c>
      <c r="N65">
        <v>1013</v>
      </c>
      <c r="O65" t="s">
        <v>286</v>
      </c>
      <c r="P65" t="s">
        <v>286</v>
      </c>
      <c r="Q65">
        <v>1</v>
      </c>
      <c r="W65">
        <v>0</v>
      </c>
      <c r="X65">
        <v>1903864200</v>
      </c>
      <c r="Y65">
        <v>47.39</v>
      </c>
      <c r="AA65">
        <v>0</v>
      </c>
      <c r="AB65">
        <v>0</v>
      </c>
      <c r="AC65">
        <v>0</v>
      </c>
      <c r="AD65">
        <v>8.02</v>
      </c>
      <c r="AE65">
        <v>0</v>
      </c>
      <c r="AF65">
        <v>0</v>
      </c>
      <c r="AG65">
        <v>0</v>
      </c>
      <c r="AH65">
        <v>8.02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1</v>
      </c>
      <c r="AQ65">
        <v>0</v>
      </c>
      <c r="AR65">
        <v>0</v>
      </c>
      <c r="AT65">
        <v>67.7</v>
      </c>
      <c r="AU65" t="s">
        <v>163</v>
      </c>
      <c r="AV65">
        <v>1</v>
      </c>
      <c r="AW65">
        <v>2</v>
      </c>
      <c r="AX65">
        <v>55723139</v>
      </c>
      <c r="AY65">
        <v>1</v>
      </c>
      <c r="AZ65">
        <v>0</v>
      </c>
      <c r="BA65">
        <v>43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Y65*Source!I101</f>
        <v>3.3173000000000004</v>
      </c>
      <c r="CY65">
        <f>AD65</f>
        <v>8.02</v>
      </c>
      <c r="CZ65">
        <f>AH65</f>
        <v>8.02</v>
      </c>
      <c r="DA65">
        <f>AL65</f>
        <v>1</v>
      </c>
      <c r="DB65">
        <f>ROUND((ROUND(AT65*CZ65,2)*ROUND(0.7,7)),2)</f>
        <v>380.07</v>
      </c>
      <c r="DC65">
        <f>ROUND((ROUND(AT65*AG65,2)*ROUND(0.7,7)),2)</f>
        <v>0</v>
      </c>
    </row>
    <row r="66" spans="1:107" ht="12.75">
      <c r="A66">
        <f>ROW(Source!A101)</f>
        <v>101</v>
      </c>
      <c r="B66">
        <v>55722483</v>
      </c>
      <c r="C66">
        <v>55723131</v>
      </c>
      <c r="D66">
        <v>37822850</v>
      </c>
      <c r="E66">
        <v>70</v>
      </c>
      <c r="F66">
        <v>1</v>
      </c>
      <c r="G66">
        <v>1</v>
      </c>
      <c r="H66">
        <v>1</v>
      </c>
      <c r="I66" t="s">
        <v>289</v>
      </c>
      <c r="K66" t="s">
        <v>290</v>
      </c>
      <c r="L66">
        <v>1191</v>
      </c>
      <c r="N66">
        <v>1013</v>
      </c>
      <c r="O66" t="s">
        <v>286</v>
      </c>
      <c r="P66" t="s">
        <v>286</v>
      </c>
      <c r="Q66">
        <v>1</v>
      </c>
      <c r="W66">
        <v>0</v>
      </c>
      <c r="X66">
        <v>-1417349443</v>
      </c>
      <c r="Y66">
        <v>2.94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1</v>
      </c>
      <c r="AQ66">
        <v>0</v>
      </c>
      <c r="AR66">
        <v>0</v>
      </c>
      <c r="AT66">
        <v>4.2</v>
      </c>
      <c r="AU66" t="s">
        <v>163</v>
      </c>
      <c r="AV66">
        <v>2</v>
      </c>
      <c r="AW66">
        <v>2</v>
      </c>
      <c r="AX66">
        <v>55723140</v>
      </c>
      <c r="AY66">
        <v>1</v>
      </c>
      <c r="AZ66">
        <v>0</v>
      </c>
      <c r="BA66">
        <v>44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Y66*Source!I101</f>
        <v>0.2058</v>
      </c>
      <c r="CY66">
        <f>AD66</f>
        <v>0</v>
      </c>
      <c r="CZ66">
        <f>AH66</f>
        <v>0</v>
      </c>
      <c r="DA66">
        <f>AL66</f>
        <v>1</v>
      </c>
      <c r="DB66">
        <f>ROUND((ROUND(AT66*CZ66,2)*ROUND(0.7,7)),2)</f>
        <v>0</v>
      </c>
      <c r="DC66">
        <f>ROUND((ROUND(AT66*AG66,2)*ROUND(0.7,7)),2)</f>
        <v>0</v>
      </c>
    </row>
    <row r="67" spans="1:107" ht="12.75">
      <c r="A67">
        <f>ROW(Source!A101)</f>
        <v>101</v>
      </c>
      <c r="B67">
        <v>55722483</v>
      </c>
      <c r="C67">
        <v>55723131</v>
      </c>
      <c r="D67">
        <v>53792191</v>
      </c>
      <c r="E67">
        <v>1</v>
      </c>
      <c r="F67">
        <v>1</v>
      </c>
      <c r="G67">
        <v>1</v>
      </c>
      <c r="H67">
        <v>2</v>
      </c>
      <c r="I67" t="s">
        <v>291</v>
      </c>
      <c r="J67" t="s">
        <v>292</v>
      </c>
      <c r="K67" t="s">
        <v>293</v>
      </c>
      <c r="L67">
        <v>1367</v>
      </c>
      <c r="N67">
        <v>1011</v>
      </c>
      <c r="O67" t="s">
        <v>294</v>
      </c>
      <c r="P67" t="s">
        <v>294</v>
      </c>
      <c r="Q67">
        <v>1</v>
      </c>
      <c r="W67">
        <v>0</v>
      </c>
      <c r="X67">
        <v>1232162608</v>
      </c>
      <c r="Y67">
        <v>1.2109999999999999</v>
      </c>
      <c r="AA67">
        <v>0</v>
      </c>
      <c r="AB67">
        <v>31.26</v>
      </c>
      <c r="AC67">
        <v>13.5</v>
      </c>
      <c r="AD67">
        <v>0</v>
      </c>
      <c r="AE67">
        <v>0</v>
      </c>
      <c r="AF67">
        <v>31.26</v>
      </c>
      <c r="AG67">
        <v>13.5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1</v>
      </c>
      <c r="AQ67">
        <v>0</v>
      </c>
      <c r="AR67">
        <v>0</v>
      </c>
      <c r="AT67">
        <v>1.73</v>
      </c>
      <c r="AU67" t="s">
        <v>163</v>
      </c>
      <c r="AV67">
        <v>0</v>
      </c>
      <c r="AW67">
        <v>2</v>
      </c>
      <c r="AX67">
        <v>55723141</v>
      </c>
      <c r="AY67">
        <v>1</v>
      </c>
      <c r="AZ67">
        <v>0</v>
      </c>
      <c r="BA67">
        <v>45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Y67*Source!I101</f>
        <v>0.08477</v>
      </c>
      <c r="CY67">
        <f>AB67</f>
        <v>31.26</v>
      </c>
      <c r="CZ67">
        <f>AF67</f>
        <v>31.26</v>
      </c>
      <c r="DA67">
        <f>AJ67</f>
        <v>1</v>
      </c>
      <c r="DB67">
        <f>ROUND((ROUND(AT67*CZ67,2)*ROUND(0.7,7)),2)</f>
        <v>37.86</v>
      </c>
      <c r="DC67">
        <f>ROUND((ROUND(AT67*AG67,2)*ROUND(0.7,7)),2)</f>
        <v>16.35</v>
      </c>
    </row>
    <row r="68" spans="1:107" ht="12.75">
      <c r="A68">
        <f>ROW(Source!A101)</f>
        <v>101</v>
      </c>
      <c r="B68">
        <v>55722483</v>
      </c>
      <c r="C68">
        <v>55723131</v>
      </c>
      <c r="D68">
        <v>53792927</v>
      </c>
      <c r="E68">
        <v>1</v>
      </c>
      <c r="F68">
        <v>1</v>
      </c>
      <c r="G68">
        <v>1</v>
      </c>
      <c r="H68">
        <v>2</v>
      </c>
      <c r="I68" t="s">
        <v>295</v>
      </c>
      <c r="J68" t="s">
        <v>296</v>
      </c>
      <c r="K68" t="s">
        <v>297</v>
      </c>
      <c r="L68">
        <v>1367</v>
      </c>
      <c r="N68">
        <v>1011</v>
      </c>
      <c r="O68" t="s">
        <v>294</v>
      </c>
      <c r="P68" t="s">
        <v>294</v>
      </c>
      <c r="Q68">
        <v>1</v>
      </c>
      <c r="W68">
        <v>0</v>
      </c>
      <c r="X68">
        <v>509054691</v>
      </c>
      <c r="Y68">
        <v>1.729</v>
      </c>
      <c r="AA68">
        <v>0</v>
      </c>
      <c r="AB68">
        <v>65.71</v>
      </c>
      <c r="AC68">
        <v>11.6</v>
      </c>
      <c r="AD68">
        <v>0</v>
      </c>
      <c r="AE68">
        <v>0</v>
      </c>
      <c r="AF68">
        <v>65.71</v>
      </c>
      <c r="AG68">
        <v>11.6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1</v>
      </c>
      <c r="AQ68">
        <v>0</v>
      </c>
      <c r="AR68">
        <v>0</v>
      </c>
      <c r="AT68">
        <v>2.47</v>
      </c>
      <c r="AU68" t="s">
        <v>163</v>
      </c>
      <c r="AV68">
        <v>0</v>
      </c>
      <c r="AW68">
        <v>2</v>
      </c>
      <c r="AX68">
        <v>55723142</v>
      </c>
      <c r="AY68">
        <v>1</v>
      </c>
      <c r="AZ68">
        <v>0</v>
      </c>
      <c r="BA68">
        <v>46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Y68*Source!I101</f>
        <v>0.12103000000000001</v>
      </c>
      <c r="CY68">
        <f>AB68</f>
        <v>65.71</v>
      </c>
      <c r="CZ68">
        <f>AF68</f>
        <v>65.71</v>
      </c>
      <c r="DA68">
        <f>AJ68</f>
        <v>1</v>
      </c>
      <c r="DB68">
        <f>ROUND((ROUND(AT68*CZ68,2)*ROUND(0.7,7)),2)</f>
        <v>113.61</v>
      </c>
      <c r="DC68">
        <f>ROUND((ROUND(AT68*AG68,2)*ROUND(0.7,7)),2)</f>
        <v>20.06</v>
      </c>
    </row>
    <row r="69" spans="1:107" ht="12.75">
      <c r="A69">
        <f>ROW(Source!A101)</f>
        <v>101</v>
      </c>
      <c r="B69">
        <v>55722483</v>
      </c>
      <c r="C69">
        <v>55723131</v>
      </c>
      <c r="D69">
        <v>53644939</v>
      </c>
      <c r="E69">
        <v>1</v>
      </c>
      <c r="F69">
        <v>1</v>
      </c>
      <c r="G69">
        <v>1</v>
      </c>
      <c r="H69">
        <v>3</v>
      </c>
      <c r="I69" t="s">
        <v>323</v>
      </c>
      <c r="J69" t="s">
        <v>324</v>
      </c>
      <c r="K69" t="s">
        <v>325</v>
      </c>
      <c r="L69">
        <v>1348</v>
      </c>
      <c r="N69">
        <v>1009</v>
      </c>
      <c r="O69" t="s">
        <v>36</v>
      </c>
      <c r="P69" t="s">
        <v>36</v>
      </c>
      <c r="Q69">
        <v>1000</v>
      </c>
      <c r="W69">
        <v>0</v>
      </c>
      <c r="X69">
        <v>-45966985</v>
      </c>
      <c r="Y69">
        <v>0</v>
      </c>
      <c r="AA69">
        <v>11978</v>
      </c>
      <c r="AB69">
        <v>0</v>
      </c>
      <c r="AC69">
        <v>0</v>
      </c>
      <c r="AD69">
        <v>0</v>
      </c>
      <c r="AE69">
        <v>11978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1</v>
      </c>
      <c r="AQ69">
        <v>0</v>
      </c>
      <c r="AR69">
        <v>0</v>
      </c>
      <c r="AT69">
        <v>0.012</v>
      </c>
      <c r="AU69" t="s">
        <v>162</v>
      </c>
      <c r="AV69">
        <v>0</v>
      </c>
      <c r="AW69">
        <v>2</v>
      </c>
      <c r="AX69">
        <v>55723143</v>
      </c>
      <c r="AY69">
        <v>1</v>
      </c>
      <c r="AZ69">
        <v>0</v>
      </c>
      <c r="BA69">
        <v>47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Y69*Source!I101</f>
        <v>0</v>
      </c>
      <c r="CY69">
        <f>AA69</f>
        <v>11978</v>
      </c>
      <c r="CZ69">
        <f>AE69</f>
        <v>11978</v>
      </c>
      <c r="DA69">
        <f>AI69</f>
        <v>1</v>
      </c>
      <c r="DB69">
        <f>ROUND((ROUND(AT69*CZ69,2)*ROUND(0,7)),2)</f>
        <v>0</v>
      </c>
      <c r="DC69">
        <f>ROUND((ROUND(AT69*AG69,2)*ROUND(0,7)),2)</f>
        <v>0</v>
      </c>
    </row>
    <row r="70" spans="1:107" ht="12.75">
      <c r="A70">
        <f>ROW(Source!A101)</f>
        <v>101</v>
      </c>
      <c r="B70">
        <v>55722483</v>
      </c>
      <c r="C70">
        <v>55723131</v>
      </c>
      <c r="D70">
        <v>53660569</v>
      </c>
      <c r="E70">
        <v>1</v>
      </c>
      <c r="F70">
        <v>1</v>
      </c>
      <c r="G70">
        <v>1</v>
      </c>
      <c r="H70">
        <v>3</v>
      </c>
      <c r="I70" t="s">
        <v>326</v>
      </c>
      <c r="J70" t="s">
        <v>327</v>
      </c>
      <c r="K70" t="s">
        <v>328</v>
      </c>
      <c r="L70">
        <v>1348</v>
      </c>
      <c r="N70">
        <v>1009</v>
      </c>
      <c r="O70" t="s">
        <v>36</v>
      </c>
      <c r="P70" t="s">
        <v>36</v>
      </c>
      <c r="Q70">
        <v>1000</v>
      </c>
      <c r="W70">
        <v>0</v>
      </c>
      <c r="X70">
        <v>-807853778</v>
      </c>
      <c r="Y70">
        <v>0</v>
      </c>
      <c r="AA70">
        <v>5989</v>
      </c>
      <c r="AB70">
        <v>0</v>
      </c>
      <c r="AC70">
        <v>0</v>
      </c>
      <c r="AD70">
        <v>0</v>
      </c>
      <c r="AE70">
        <v>5989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1</v>
      </c>
      <c r="AQ70">
        <v>0</v>
      </c>
      <c r="AR70">
        <v>0</v>
      </c>
      <c r="AT70">
        <v>0.035</v>
      </c>
      <c r="AU70" t="s">
        <v>162</v>
      </c>
      <c r="AV70">
        <v>0</v>
      </c>
      <c r="AW70">
        <v>2</v>
      </c>
      <c r="AX70">
        <v>55723144</v>
      </c>
      <c r="AY70">
        <v>1</v>
      </c>
      <c r="AZ70">
        <v>0</v>
      </c>
      <c r="BA70">
        <v>48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Y70*Source!I101</f>
        <v>0</v>
      </c>
      <c r="CY70">
        <f>AA70</f>
        <v>5989</v>
      </c>
      <c r="CZ70">
        <f>AE70</f>
        <v>5989</v>
      </c>
      <c r="DA70">
        <f>AI70</f>
        <v>1</v>
      </c>
      <c r="DB70">
        <f>ROUND((ROUND(AT70*CZ70,2)*ROUND(0,7)),2)</f>
        <v>0</v>
      </c>
      <c r="DC70">
        <f>ROUND((ROUND(AT70*AG70,2)*ROUND(0,7)),2)</f>
        <v>0</v>
      </c>
    </row>
    <row r="71" spans="1:107" ht="12.75">
      <c r="A71">
        <f>ROW(Source!A101)</f>
        <v>101</v>
      </c>
      <c r="B71">
        <v>55722483</v>
      </c>
      <c r="C71">
        <v>55723131</v>
      </c>
      <c r="D71">
        <v>53666974</v>
      </c>
      <c r="E71">
        <v>1</v>
      </c>
      <c r="F71">
        <v>1</v>
      </c>
      <c r="G71">
        <v>1</v>
      </c>
      <c r="H71">
        <v>3</v>
      </c>
      <c r="I71" t="s">
        <v>329</v>
      </c>
      <c r="J71" t="s">
        <v>330</v>
      </c>
      <c r="K71" t="s">
        <v>331</v>
      </c>
      <c r="L71">
        <v>1301</v>
      </c>
      <c r="N71">
        <v>1003</v>
      </c>
      <c r="O71" t="s">
        <v>332</v>
      </c>
      <c r="P71" t="s">
        <v>332</v>
      </c>
      <c r="Q71">
        <v>1</v>
      </c>
      <c r="W71">
        <v>0</v>
      </c>
      <c r="X71">
        <v>1217145207</v>
      </c>
      <c r="Y71">
        <v>0</v>
      </c>
      <c r="AA71">
        <v>3.2</v>
      </c>
      <c r="AB71">
        <v>0</v>
      </c>
      <c r="AC71">
        <v>0</v>
      </c>
      <c r="AD71">
        <v>0</v>
      </c>
      <c r="AE71">
        <v>3.2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1</v>
      </c>
      <c r="AQ71">
        <v>0</v>
      </c>
      <c r="AR71">
        <v>0</v>
      </c>
      <c r="AT71">
        <v>400</v>
      </c>
      <c r="AU71" t="s">
        <v>162</v>
      </c>
      <c r="AV71">
        <v>0</v>
      </c>
      <c r="AW71">
        <v>2</v>
      </c>
      <c r="AX71">
        <v>55723146</v>
      </c>
      <c r="AY71">
        <v>1</v>
      </c>
      <c r="AZ71">
        <v>0</v>
      </c>
      <c r="BA71">
        <v>50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Y71*Source!I101</f>
        <v>0</v>
      </c>
      <c r="CY71">
        <f>AA71</f>
        <v>3.2</v>
      </c>
      <c r="CZ71">
        <f>AE71</f>
        <v>3.2</v>
      </c>
      <c r="DA71">
        <f>AI71</f>
        <v>1</v>
      </c>
      <c r="DB71">
        <f>ROUND((ROUND(AT71*CZ71,2)*ROUND(0,7)),2)</f>
        <v>0</v>
      </c>
      <c r="DC71">
        <f>ROUND((ROUND(AT71*AG71,2)*ROUND(0,7)),2)</f>
        <v>0</v>
      </c>
    </row>
    <row r="72" spans="1:107" ht="12.75">
      <c r="A72">
        <f>ROW(Source!A102)</f>
        <v>102</v>
      </c>
      <c r="B72">
        <v>55722484</v>
      </c>
      <c r="C72">
        <v>55723131</v>
      </c>
      <c r="D72">
        <v>37822883</v>
      </c>
      <c r="E72">
        <v>70</v>
      </c>
      <c r="F72">
        <v>1</v>
      </c>
      <c r="G72">
        <v>1</v>
      </c>
      <c r="H72">
        <v>1</v>
      </c>
      <c r="I72" t="s">
        <v>321</v>
      </c>
      <c r="K72" t="s">
        <v>322</v>
      </c>
      <c r="L72">
        <v>1191</v>
      </c>
      <c r="N72">
        <v>1013</v>
      </c>
      <c r="O72" t="s">
        <v>286</v>
      </c>
      <c r="P72" t="s">
        <v>286</v>
      </c>
      <c r="Q72">
        <v>1</v>
      </c>
      <c r="W72">
        <v>0</v>
      </c>
      <c r="X72">
        <v>1903864200</v>
      </c>
      <c r="Y72">
        <v>47.39</v>
      </c>
      <c r="AA72">
        <v>0</v>
      </c>
      <c r="AB72">
        <v>0</v>
      </c>
      <c r="AC72">
        <v>0</v>
      </c>
      <c r="AD72">
        <v>309.49</v>
      </c>
      <c r="AE72">
        <v>0</v>
      </c>
      <c r="AF72">
        <v>0</v>
      </c>
      <c r="AG72">
        <v>0</v>
      </c>
      <c r="AH72">
        <v>8.02</v>
      </c>
      <c r="AI72">
        <v>1</v>
      </c>
      <c r="AJ72">
        <v>1</v>
      </c>
      <c r="AK72">
        <v>1</v>
      </c>
      <c r="AL72">
        <v>38.59</v>
      </c>
      <c r="AN72">
        <v>0</v>
      </c>
      <c r="AO72">
        <v>1</v>
      </c>
      <c r="AP72">
        <v>1</v>
      </c>
      <c r="AQ72">
        <v>0</v>
      </c>
      <c r="AR72">
        <v>0</v>
      </c>
      <c r="AT72">
        <v>67.7</v>
      </c>
      <c r="AU72" t="s">
        <v>163</v>
      </c>
      <c r="AV72">
        <v>1</v>
      </c>
      <c r="AW72">
        <v>2</v>
      </c>
      <c r="AX72">
        <v>55723139</v>
      </c>
      <c r="AY72">
        <v>1</v>
      </c>
      <c r="AZ72">
        <v>0</v>
      </c>
      <c r="BA72">
        <v>51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Y72*Source!I102</f>
        <v>3.3173000000000004</v>
      </c>
      <c r="CY72">
        <f>AD72</f>
        <v>309.49</v>
      </c>
      <c r="CZ72">
        <f>AH72</f>
        <v>8.02</v>
      </c>
      <c r="DA72">
        <f>AL72</f>
        <v>38.59</v>
      </c>
      <c r="DB72">
        <f>ROUND((ROUND(AT72*CZ72,2)*ROUND(0.7,7)),2)</f>
        <v>380.07</v>
      </c>
      <c r="DC72">
        <f>ROUND((ROUND(AT72*AG72,2)*ROUND(0.7,7)),2)</f>
        <v>0</v>
      </c>
    </row>
    <row r="73" spans="1:107" ht="12.75">
      <c r="A73">
        <f>ROW(Source!A102)</f>
        <v>102</v>
      </c>
      <c r="B73">
        <v>55722484</v>
      </c>
      <c r="C73">
        <v>55723131</v>
      </c>
      <c r="D73">
        <v>37822850</v>
      </c>
      <c r="E73">
        <v>70</v>
      </c>
      <c r="F73">
        <v>1</v>
      </c>
      <c r="G73">
        <v>1</v>
      </c>
      <c r="H73">
        <v>1</v>
      </c>
      <c r="I73" t="s">
        <v>289</v>
      </c>
      <c r="K73" t="s">
        <v>290</v>
      </c>
      <c r="L73">
        <v>1191</v>
      </c>
      <c r="N73">
        <v>1013</v>
      </c>
      <c r="O73" t="s">
        <v>286</v>
      </c>
      <c r="P73" t="s">
        <v>286</v>
      </c>
      <c r="Q73">
        <v>1</v>
      </c>
      <c r="W73">
        <v>0</v>
      </c>
      <c r="X73">
        <v>-1417349443</v>
      </c>
      <c r="Y73">
        <v>2.94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38.59</v>
      </c>
      <c r="AL73">
        <v>1</v>
      </c>
      <c r="AN73">
        <v>0</v>
      </c>
      <c r="AO73">
        <v>1</v>
      </c>
      <c r="AP73">
        <v>1</v>
      </c>
      <c r="AQ73">
        <v>0</v>
      </c>
      <c r="AR73">
        <v>0</v>
      </c>
      <c r="AT73">
        <v>4.2</v>
      </c>
      <c r="AU73" t="s">
        <v>163</v>
      </c>
      <c r="AV73">
        <v>2</v>
      </c>
      <c r="AW73">
        <v>2</v>
      </c>
      <c r="AX73">
        <v>55723140</v>
      </c>
      <c r="AY73">
        <v>1</v>
      </c>
      <c r="AZ73">
        <v>0</v>
      </c>
      <c r="BA73">
        <v>52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Y73*Source!I102</f>
        <v>0.2058</v>
      </c>
      <c r="CY73">
        <f>AD73</f>
        <v>0</v>
      </c>
      <c r="CZ73">
        <f>AH73</f>
        <v>0</v>
      </c>
      <c r="DA73">
        <f>AL73</f>
        <v>1</v>
      </c>
      <c r="DB73">
        <f>ROUND((ROUND(AT73*CZ73,2)*ROUND(0.7,7)),2)</f>
        <v>0</v>
      </c>
      <c r="DC73">
        <f>ROUND((ROUND(AT73*AG73,2)*ROUND(0.7,7)),2)</f>
        <v>0</v>
      </c>
    </row>
    <row r="74" spans="1:107" ht="12.75">
      <c r="A74">
        <f>ROW(Source!A102)</f>
        <v>102</v>
      </c>
      <c r="B74">
        <v>55722484</v>
      </c>
      <c r="C74">
        <v>55723131</v>
      </c>
      <c r="D74">
        <v>53792191</v>
      </c>
      <c r="E74">
        <v>1</v>
      </c>
      <c r="F74">
        <v>1</v>
      </c>
      <c r="G74">
        <v>1</v>
      </c>
      <c r="H74">
        <v>2</v>
      </c>
      <c r="I74" t="s">
        <v>291</v>
      </c>
      <c r="J74" t="s">
        <v>292</v>
      </c>
      <c r="K74" t="s">
        <v>293</v>
      </c>
      <c r="L74">
        <v>1367</v>
      </c>
      <c r="N74">
        <v>1011</v>
      </c>
      <c r="O74" t="s">
        <v>294</v>
      </c>
      <c r="P74" t="s">
        <v>294</v>
      </c>
      <c r="Q74">
        <v>1</v>
      </c>
      <c r="W74">
        <v>0</v>
      </c>
      <c r="X74">
        <v>1232162608</v>
      </c>
      <c r="Y74">
        <v>1.2109999999999999</v>
      </c>
      <c r="AA74">
        <v>0</v>
      </c>
      <c r="AB74">
        <v>419.82</v>
      </c>
      <c r="AC74">
        <v>520.97</v>
      </c>
      <c r="AD74">
        <v>0</v>
      </c>
      <c r="AE74">
        <v>0</v>
      </c>
      <c r="AF74">
        <v>31.26</v>
      </c>
      <c r="AG74">
        <v>13.5</v>
      </c>
      <c r="AH74">
        <v>0</v>
      </c>
      <c r="AI74">
        <v>1</v>
      </c>
      <c r="AJ74">
        <v>13.43</v>
      </c>
      <c r="AK74">
        <v>38.59</v>
      </c>
      <c r="AL74">
        <v>1</v>
      </c>
      <c r="AN74">
        <v>0</v>
      </c>
      <c r="AO74">
        <v>1</v>
      </c>
      <c r="AP74">
        <v>1</v>
      </c>
      <c r="AQ74">
        <v>0</v>
      </c>
      <c r="AR74">
        <v>0</v>
      </c>
      <c r="AT74">
        <v>1.73</v>
      </c>
      <c r="AU74" t="s">
        <v>163</v>
      </c>
      <c r="AV74">
        <v>0</v>
      </c>
      <c r="AW74">
        <v>2</v>
      </c>
      <c r="AX74">
        <v>55723141</v>
      </c>
      <c r="AY74">
        <v>1</v>
      </c>
      <c r="AZ74">
        <v>0</v>
      </c>
      <c r="BA74">
        <v>53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Y74*Source!I102</f>
        <v>0.08477</v>
      </c>
      <c r="CY74">
        <f>AB74</f>
        <v>419.82</v>
      </c>
      <c r="CZ74">
        <f>AF74</f>
        <v>31.26</v>
      </c>
      <c r="DA74">
        <f>AJ74</f>
        <v>13.43</v>
      </c>
      <c r="DB74">
        <f>ROUND((ROUND(AT74*CZ74,2)*ROUND(0.7,7)),2)</f>
        <v>37.86</v>
      </c>
      <c r="DC74">
        <f>ROUND((ROUND(AT74*AG74,2)*ROUND(0.7,7)),2)</f>
        <v>16.35</v>
      </c>
    </row>
    <row r="75" spans="1:107" ht="12.75">
      <c r="A75">
        <f>ROW(Source!A102)</f>
        <v>102</v>
      </c>
      <c r="B75">
        <v>55722484</v>
      </c>
      <c r="C75">
        <v>55723131</v>
      </c>
      <c r="D75">
        <v>53792927</v>
      </c>
      <c r="E75">
        <v>1</v>
      </c>
      <c r="F75">
        <v>1</v>
      </c>
      <c r="G75">
        <v>1</v>
      </c>
      <c r="H75">
        <v>2</v>
      </c>
      <c r="I75" t="s">
        <v>295</v>
      </c>
      <c r="J75" t="s">
        <v>296</v>
      </c>
      <c r="K75" t="s">
        <v>297</v>
      </c>
      <c r="L75">
        <v>1367</v>
      </c>
      <c r="N75">
        <v>1011</v>
      </c>
      <c r="O75" t="s">
        <v>294</v>
      </c>
      <c r="P75" t="s">
        <v>294</v>
      </c>
      <c r="Q75">
        <v>1</v>
      </c>
      <c r="W75">
        <v>0</v>
      </c>
      <c r="X75">
        <v>509054691</v>
      </c>
      <c r="Y75">
        <v>1.729</v>
      </c>
      <c r="AA75">
        <v>0</v>
      </c>
      <c r="AB75">
        <v>882.49</v>
      </c>
      <c r="AC75">
        <v>447.64</v>
      </c>
      <c r="AD75">
        <v>0</v>
      </c>
      <c r="AE75">
        <v>0</v>
      </c>
      <c r="AF75">
        <v>65.71</v>
      </c>
      <c r="AG75">
        <v>11.6</v>
      </c>
      <c r="AH75">
        <v>0</v>
      </c>
      <c r="AI75">
        <v>1</v>
      </c>
      <c r="AJ75">
        <v>13.43</v>
      </c>
      <c r="AK75">
        <v>38.59</v>
      </c>
      <c r="AL75">
        <v>1</v>
      </c>
      <c r="AN75">
        <v>0</v>
      </c>
      <c r="AO75">
        <v>1</v>
      </c>
      <c r="AP75">
        <v>1</v>
      </c>
      <c r="AQ75">
        <v>0</v>
      </c>
      <c r="AR75">
        <v>0</v>
      </c>
      <c r="AT75">
        <v>2.47</v>
      </c>
      <c r="AU75" t="s">
        <v>163</v>
      </c>
      <c r="AV75">
        <v>0</v>
      </c>
      <c r="AW75">
        <v>2</v>
      </c>
      <c r="AX75">
        <v>55723142</v>
      </c>
      <c r="AY75">
        <v>1</v>
      </c>
      <c r="AZ75">
        <v>0</v>
      </c>
      <c r="BA75">
        <v>54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Y75*Source!I102</f>
        <v>0.12103000000000001</v>
      </c>
      <c r="CY75">
        <f>AB75</f>
        <v>882.49</v>
      </c>
      <c r="CZ75">
        <f>AF75</f>
        <v>65.71</v>
      </c>
      <c r="DA75">
        <f>AJ75</f>
        <v>13.43</v>
      </c>
      <c r="DB75">
        <f>ROUND((ROUND(AT75*CZ75,2)*ROUND(0.7,7)),2)</f>
        <v>113.61</v>
      </c>
      <c r="DC75">
        <f>ROUND((ROUND(AT75*AG75,2)*ROUND(0.7,7)),2)</f>
        <v>20.06</v>
      </c>
    </row>
    <row r="76" spans="1:107" ht="12.75">
      <c r="A76">
        <f>ROW(Source!A102)</f>
        <v>102</v>
      </c>
      <c r="B76">
        <v>55722484</v>
      </c>
      <c r="C76">
        <v>55723131</v>
      </c>
      <c r="D76">
        <v>53644939</v>
      </c>
      <c r="E76">
        <v>1</v>
      </c>
      <c r="F76">
        <v>1</v>
      </c>
      <c r="G76">
        <v>1</v>
      </c>
      <c r="H76">
        <v>3</v>
      </c>
      <c r="I76" t="s">
        <v>323</v>
      </c>
      <c r="J76" t="s">
        <v>324</v>
      </c>
      <c r="K76" t="s">
        <v>325</v>
      </c>
      <c r="L76">
        <v>1348</v>
      </c>
      <c r="N76">
        <v>1009</v>
      </c>
      <c r="O76" t="s">
        <v>36</v>
      </c>
      <c r="P76" t="s">
        <v>36</v>
      </c>
      <c r="Q76">
        <v>1000</v>
      </c>
      <c r="W76">
        <v>0</v>
      </c>
      <c r="X76">
        <v>-45966985</v>
      </c>
      <c r="Y76">
        <v>0</v>
      </c>
      <c r="AA76">
        <v>81689.96</v>
      </c>
      <c r="AB76">
        <v>0</v>
      </c>
      <c r="AC76">
        <v>0</v>
      </c>
      <c r="AD76">
        <v>0</v>
      </c>
      <c r="AE76">
        <v>11978</v>
      </c>
      <c r="AF76">
        <v>0</v>
      </c>
      <c r="AG76">
        <v>0</v>
      </c>
      <c r="AH76">
        <v>0</v>
      </c>
      <c r="AI76">
        <v>6.82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1</v>
      </c>
      <c r="AQ76">
        <v>0</v>
      </c>
      <c r="AR76">
        <v>0</v>
      </c>
      <c r="AT76">
        <v>0.012</v>
      </c>
      <c r="AU76" t="s">
        <v>162</v>
      </c>
      <c r="AV76">
        <v>0</v>
      </c>
      <c r="AW76">
        <v>2</v>
      </c>
      <c r="AX76">
        <v>55723143</v>
      </c>
      <c r="AY76">
        <v>1</v>
      </c>
      <c r="AZ76">
        <v>0</v>
      </c>
      <c r="BA76">
        <v>55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Y76*Source!I102</f>
        <v>0</v>
      </c>
      <c r="CY76">
        <f>AA76</f>
        <v>81689.96</v>
      </c>
      <c r="CZ76">
        <f>AE76</f>
        <v>11978</v>
      </c>
      <c r="DA76">
        <f>AI76</f>
        <v>6.82</v>
      </c>
      <c r="DB76">
        <f>ROUND((ROUND(AT76*CZ76,2)*ROUND(0,7)),2)</f>
        <v>0</v>
      </c>
      <c r="DC76">
        <f>ROUND((ROUND(AT76*AG76,2)*ROUND(0,7)),2)</f>
        <v>0</v>
      </c>
    </row>
    <row r="77" spans="1:107" ht="12.75">
      <c r="A77">
        <f>ROW(Source!A102)</f>
        <v>102</v>
      </c>
      <c r="B77">
        <v>55722484</v>
      </c>
      <c r="C77">
        <v>55723131</v>
      </c>
      <c r="D77">
        <v>53660569</v>
      </c>
      <c r="E77">
        <v>1</v>
      </c>
      <c r="F77">
        <v>1</v>
      </c>
      <c r="G77">
        <v>1</v>
      </c>
      <c r="H77">
        <v>3</v>
      </c>
      <c r="I77" t="s">
        <v>326</v>
      </c>
      <c r="J77" t="s">
        <v>327</v>
      </c>
      <c r="K77" t="s">
        <v>328</v>
      </c>
      <c r="L77">
        <v>1348</v>
      </c>
      <c r="N77">
        <v>1009</v>
      </c>
      <c r="O77" t="s">
        <v>36</v>
      </c>
      <c r="P77" t="s">
        <v>36</v>
      </c>
      <c r="Q77">
        <v>1000</v>
      </c>
      <c r="W77">
        <v>0</v>
      </c>
      <c r="X77">
        <v>-807853778</v>
      </c>
      <c r="Y77">
        <v>0</v>
      </c>
      <c r="AA77">
        <v>40844.98</v>
      </c>
      <c r="AB77">
        <v>0</v>
      </c>
      <c r="AC77">
        <v>0</v>
      </c>
      <c r="AD77">
        <v>0</v>
      </c>
      <c r="AE77">
        <v>5989</v>
      </c>
      <c r="AF77">
        <v>0</v>
      </c>
      <c r="AG77">
        <v>0</v>
      </c>
      <c r="AH77">
        <v>0</v>
      </c>
      <c r="AI77">
        <v>6.82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1</v>
      </c>
      <c r="AQ77">
        <v>0</v>
      </c>
      <c r="AR77">
        <v>0</v>
      </c>
      <c r="AT77">
        <v>0.035</v>
      </c>
      <c r="AU77" t="s">
        <v>162</v>
      </c>
      <c r="AV77">
        <v>0</v>
      </c>
      <c r="AW77">
        <v>2</v>
      </c>
      <c r="AX77">
        <v>55723144</v>
      </c>
      <c r="AY77">
        <v>1</v>
      </c>
      <c r="AZ77">
        <v>0</v>
      </c>
      <c r="BA77">
        <v>56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Y77*Source!I102</f>
        <v>0</v>
      </c>
      <c r="CY77">
        <f>AA77</f>
        <v>40844.98</v>
      </c>
      <c r="CZ77">
        <f>AE77</f>
        <v>5989</v>
      </c>
      <c r="DA77">
        <f>AI77</f>
        <v>6.82</v>
      </c>
      <c r="DB77">
        <f>ROUND((ROUND(AT77*CZ77,2)*ROUND(0,7)),2)</f>
        <v>0</v>
      </c>
      <c r="DC77">
        <f>ROUND((ROUND(AT77*AG77,2)*ROUND(0,7)),2)</f>
        <v>0</v>
      </c>
    </row>
    <row r="78" spans="1:107" ht="12.75">
      <c r="A78">
        <f>ROW(Source!A102)</f>
        <v>102</v>
      </c>
      <c r="B78">
        <v>55722484</v>
      </c>
      <c r="C78">
        <v>55723131</v>
      </c>
      <c r="D78">
        <v>53666974</v>
      </c>
      <c r="E78">
        <v>1</v>
      </c>
      <c r="F78">
        <v>1</v>
      </c>
      <c r="G78">
        <v>1</v>
      </c>
      <c r="H78">
        <v>3</v>
      </c>
      <c r="I78" t="s">
        <v>329</v>
      </c>
      <c r="J78" t="s">
        <v>330</v>
      </c>
      <c r="K78" t="s">
        <v>331</v>
      </c>
      <c r="L78">
        <v>1301</v>
      </c>
      <c r="N78">
        <v>1003</v>
      </c>
      <c r="O78" t="s">
        <v>332</v>
      </c>
      <c r="P78" t="s">
        <v>332</v>
      </c>
      <c r="Q78">
        <v>1</v>
      </c>
      <c r="W78">
        <v>0</v>
      </c>
      <c r="X78">
        <v>1217145207</v>
      </c>
      <c r="Y78">
        <v>0</v>
      </c>
      <c r="AA78">
        <v>21.82</v>
      </c>
      <c r="AB78">
        <v>0</v>
      </c>
      <c r="AC78">
        <v>0</v>
      </c>
      <c r="AD78">
        <v>0</v>
      </c>
      <c r="AE78">
        <v>3.2</v>
      </c>
      <c r="AF78">
        <v>0</v>
      </c>
      <c r="AG78">
        <v>0</v>
      </c>
      <c r="AH78">
        <v>0</v>
      </c>
      <c r="AI78">
        <v>6.82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1</v>
      </c>
      <c r="AQ78">
        <v>0</v>
      </c>
      <c r="AR78">
        <v>0</v>
      </c>
      <c r="AT78">
        <v>400</v>
      </c>
      <c r="AU78" t="s">
        <v>162</v>
      </c>
      <c r="AV78">
        <v>0</v>
      </c>
      <c r="AW78">
        <v>2</v>
      </c>
      <c r="AX78">
        <v>55723146</v>
      </c>
      <c r="AY78">
        <v>1</v>
      </c>
      <c r="AZ78">
        <v>0</v>
      </c>
      <c r="BA78">
        <v>58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Y78*Source!I102</f>
        <v>0</v>
      </c>
      <c r="CY78">
        <f>AA78</f>
        <v>21.82</v>
      </c>
      <c r="CZ78">
        <f>AE78</f>
        <v>3.2</v>
      </c>
      <c r="DA78">
        <f>AI78</f>
        <v>6.82</v>
      </c>
      <c r="DB78">
        <f>ROUND((ROUND(AT78*CZ78,2)*ROUND(0,7)),2)</f>
        <v>0</v>
      </c>
      <c r="DC78">
        <f>ROUND((ROUND(AT78*AG78,2)*ROUND(0,7)),2)</f>
        <v>0</v>
      </c>
    </row>
    <row r="79" spans="1:107" ht="12.75">
      <c r="A79">
        <f>ROW(Source!A103)</f>
        <v>103</v>
      </c>
      <c r="B79">
        <v>55722483</v>
      </c>
      <c r="C79">
        <v>55723147</v>
      </c>
      <c r="D79">
        <v>37822883</v>
      </c>
      <c r="E79">
        <v>70</v>
      </c>
      <c r="F79">
        <v>1</v>
      </c>
      <c r="G79">
        <v>1</v>
      </c>
      <c r="H79">
        <v>1</v>
      </c>
      <c r="I79" t="s">
        <v>321</v>
      </c>
      <c r="K79" t="s">
        <v>322</v>
      </c>
      <c r="L79">
        <v>1191</v>
      </c>
      <c r="N79">
        <v>1013</v>
      </c>
      <c r="O79" t="s">
        <v>286</v>
      </c>
      <c r="P79" t="s">
        <v>286</v>
      </c>
      <c r="Q79">
        <v>1</v>
      </c>
      <c r="W79">
        <v>0</v>
      </c>
      <c r="X79">
        <v>1903864200</v>
      </c>
      <c r="Y79">
        <v>154.5</v>
      </c>
      <c r="AA79">
        <v>0</v>
      </c>
      <c r="AB79">
        <v>0</v>
      </c>
      <c r="AC79">
        <v>0</v>
      </c>
      <c r="AD79">
        <v>8.02</v>
      </c>
      <c r="AE79">
        <v>0</v>
      </c>
      <c r="AF79">
        <v>0</v>
      </c>
      <c r="AG79">
        <v>0</v>
      </c>
      <c r="AH79">
        <v>8.02</v>
      </c>
      <c r="AI79">
        <v>1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T79">
        <v>154.5</v>
      </c>
      <c r="AV79">
        <v>1</v>
      </c>
      <c r="AW79">
        <v>2</v>
      </c>
      <c r="AX79">
        <v>55723157</v>
      </c>
      <c r="AY79">
        <v>1</v>
      </c>
      <c r="AZ79">
        <v>0</v>
      </c>
      <c r="BA79">
        <v>59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Y79*Source!I103</f>
        <v>10.815000000000001</v>
      </c>
      <c r="CY79">
        <f>AD79</f>
        <v>8.02</v>
      </c>
      <c r="CZ79">
        <f>AH79</f>
        <v>8.02</v>
      </c>
      <c r="DA79">
        <f>AL79</f>
        <v>1</v>
      </c>
      <c r="DB79">
        <f aca="true" t="shared" si="10" ref="DB79:DB100">ROUND(ROUND(AT79*CZ79,2),2)</f>
        <v>1239.09</v>
      </c>
      <c r="DC79">
        <f aca="true" t="shared" si="11" ref="DC79:DC100">ROUND(ROUND(AT79*AG79,2),2)</f>
        <v>0</v>
      </c>
    </row>
    <row r="80" spans="1:107" ht="12.75">
      <c r="A80">
        <f>ROW(Source!A103)</f>
        <v>103</v>
      </c>
      <c r="B80">
        <v>55722483</v>
      </c>
      <c r="C80">
        <v>55723147</v>
      </c>
      <c r="D80">
        <v>37822850</v>
      </c>
      <c r="E80">
        <v>70</v>
      </c>
      <c r="F80">
        <v>1</v>
      </c>
      <c r="G80">
        <v>1</v>
      </c>
      <c r="H80">
        <v>1</v>
      </c>
      <c r="I80" t="s">
        <v>289</v>
      </c>
      <c r="K80" t="s">
        <v>290</v>
      </c>
      <c r="L80">
        <v>1191</v>
      </c>
      <c r="N80">
        <v>1013</v>
      </c>
      <c r="O80" t="s">
        <v>286</v>
      </c>
      <c r="P80" t="s">
        <v>286</v>
      </c>
      <c r="Q80">
        <v>1</v>
      </c>
      <c r="W80">
        <v>0</v>
      </c>
      <c r="X80">
        <v>-1417349443</v>
      </c>
      <c r="Y80">
        <v>0.6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1</v>
      </c>
      <c r="AJ80">
        <v>1</v>
      </c>
      <c r="AK80">
        <v>1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T80">
        <v>0.6</v>
      </c>
      <c r="AV80">
        <v>2</v>
      </c>
      <c r="AW80">
        <v>2</v>
      </c>
      <c r="AX80">
        <v>55723158</v>
      </c>
      <c r="AY80">
        <v>1</v>
      </c>
      <c r="AZ80">
        <v>0</v>
      </c>
      <c r="BA80">
        <v>60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Y80*Source!I103</f>
        <v>0.042</v>
      </c>
      <c r="CY80">
        <f>AD80</f>
        <v>0</v>
      </c>
      <c r="CZ80">
        <f>AH80</f>
        <v>0</v>
      </c>
      <c r="DA80">
        <f>AL80</f>
        <v>1</v>
      </c>
      <c r="DB80">
        <f t="shared" si="10"/>
        <v>0</v>
      </c>
      <c r="DC80">
        <f t="shared" si="11"/>
        <v>0</v>
      </c>
    </row>
    <row r="81" spans="1:107" ht="12.75">
      <c r="A81">
        <f>ROW(Source!A103)</f>
        <v>103</v>
      </c>
      <c r="B81">
        <v>55722483</v>
      </c>
      <c r="C81">
        <v>55723147</v>
      </c>
      <c r="D81">
        <v>53791997</v>
      </c>
      <c r="E81">
        <v>1</v>
      </c>
      <c r="F81">
        <v>1</v>
      </c>
      <c r="G81">
        <v>1</v>
      </c>
      <c r="H81">
        <v>2</v>
      </c>
      <c r="I81" t="s">
        <v>333</v>
      </c>
      <c r="J81" t="s">
        <v>334</v>
      </c>
      <c r="K81" t="s">
        <v>335</v>
      </c>
      <c r="L81">
        <v>1367</v>
      </c>
      <c r="N81">
        <v>1011</v>
      </c>
      <c r="O81" t="s">
        <v>294</v>
      </c>
      <c r="P81" t="s">
        <v>294</v>
      </c>
      <c r="Q81">
        <v>1</v>
      </c>
      <c r="W81">
        <v>0</v>
      </c>
      <c r="X81">
        <v>-430484415</v>
      </c>
      <c r="Y81">
        <v>0.3</v>
      </c>
      <c r="AA81">
        <v>0</v>
      </c>
      <c r="AB81">
        <v>115.4</v>
      </c>
      <c r="AC81">
        <v>13.5</v>
      </c>
      <c r="AD81">
        <v>0</v>
      </c>
      <c r="AE81">
        <v>0</v>
      </c>
      <c r="AF81">
        <v>115.4</v>
      </c>
      <c r="AG81">
        <v>13.5</v>
      </c>
      <c r="AH81">
        <v>0</v>
      </c>
      <c r="AI81">
        <v>1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T81">
        <v>0.3</v>
      </c>
      <c r="AV81">
        <v>0</v>
      </c>
      <c r="AW81">
        <v>2</v>
      </c>
      <c r="AX81">
        <v>55723159</v>
      </c>
      <c r="AY81">
        <v>1</v>
      </c>
      <c r="AZ81">
        <v>0</v>
      </c>
      <c r="BA81">
        <v>61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Y81*Source!I103</f>
        <v>0.021</v>
      </c>
      <c r="CY81">
        <f>AB81</f>
        <v>115.4</v>
      </c>
      <c r="CZ81">
        <f>AF81</f>
        <v>115.4</v>
      </c>
      <c r="DA81">
        <f>AJ81</f>
        <v>1</v>
      </c>
      <c r="DB81">
        <f t="shared" si="10"/>
        <v>34.62</v>
      </c>
      <c r="DC81">
        <f t="shared" si="11"/>
        <v>4.05</v>
      </c>
    </row>
    <row r="82" spans="1:107" ht="12.75">
      <c r="A82">
        <f>ROW(Source!A103)</f>
        <v>103</v>
      </c>
      <c r="B82">
        <v>55722483</v>
      </c>
      <c r="C82">
        <v>55723147</v>
      </c>
      <c r="D82">
        <v>53792927</v>
      </c>
      <c r="E82">
        <v>1</v>
      </c>
      <c r="F82">
        <v>1</v>
      </c>
      <c r="G82">
        <v>1</v>
      </c>
      <c r="H82">
        <v>2</v>
      </c>
      <c r="I82" t="s">
        <v>295</v>
      </c>
      <c r="J82" t="s">
        <v>296</v>
      </c>
      <c r="K82" t="s">
        <v>297</v>
      </c>
      <c r="L82">
        <v>1367</v>
      </c>
      <c r="N82">
        <v>1011</v>
      </c>
      <c r="O82" t="s">
        <v>294</v>
      </c>
      <c r="P82" t="s">
        <v>294</v>
      </c>
      <c r="Q82">
        <v>1</v>
      </c>
      <c r="W82">
        <v>0</v>
      </c>
      <c r="X82">
        <v>509054691</v>
      </c>
      <c r="Y82">
        <v>0.3</v>
      </c>
      <c r="AA82">
        <v>0</v>
      </c>
      <c r="AB82">
        <v>65.71</v>
      </c>
      <c r="AC82">
        <v>11.6</v>
      </c>
      <c r="AD82">
        <v>0</v>
      </c>
      <c r="AE82">
        <v>0</v>
      </c>
      <c r="AF82">
        <v>65.71</v>
      </c>
      <c r="AG82">
        <v>11.6</v>
      </c>
      <c r="AH82">
        <v>0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T82">
        <v>0.3</v>
      </c>
      <c r="AV82">
        <v>0</v>
      </c>
      <c r="AW82">
        <v>2</v>
      </c>
      <c r="AX82">
        <v>55723160</v>
      </c>
      <c r="AY82">
        <v>1</v>
      </c>
      <c r="AZ82">
        <v>0</v>
      </c>
      <c r="BA82">
        <v>62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Y82*Source!I103</f>
        <v>0.021</v>
      </c>
      <c r="CY82">
        <f>AB82</f>
        <v>65.71</v>
      </c>
      <c r="CZ82">
        <f>AF82</f>
        <v>65.71</v>
      </c>
      <c r="DA82">
        <f>AJ82</f>
        <v>1</v>
      </c>
      <c r="DB82">
        <f t="shared" si="10"/>
        <v>19.71</v>
      </c>
      <c r="DC82">
        <f t="shared" si="11"/>
        <v>3.48</v>
      </c>
    </row>
    <row r="83" spans="1:107" ht="12.75">
      <c r="A83">
        <f>ROW(Source!A103)</f>
        <v>103</v>
      </c>
      <c r="B83">
        <v>55722483</v>
      </c>
      <c r="C83">
        <v>55723147</v>
      </c>
      <c r="D83">
        <v>53642567</v>
      </c>
      <c r="E83">
        <v>1</v>
      </c>
      <c r="F83">
        <v>1</v>
      </c>
      <c r="G83">
        <v>1</v>
      </c>
      <c r="H83">
        <v>3</v>
      </c>
      <c r="I83" t="s">
        <v>336</v>
      </c>
      <c r="J83" t="s">
        <v>337</v>
      </c>
      <c r="K83" t="s">
        <v>338</v>
      </c>
      <c r="L83">
        <v>1383</v>
      </c>
      <c r="N83">
        <v>1013</v>
      </c>
      <c r="O83" t="s">
        <v>339</v>
      </c>
      <c r="P83" t="s">
        <v>339</v>
      </c>
      <c r="Q83">
        <v>1</v>
      </c>
      <c r="W83">
        <v>0</v>
      </c>
      <c r="X83">
        <v>-180864722</v>
      </c>
      <c r="Y83">
        <v>9</v>
      </c>
      <c r="AA83">
        <v>0.4</v>
      </c>
      <c r="AB83">
        <v>0</v>
      </c>
      <c r="AC83">
        <v>0</v>
      </c>
      <c r="AD83">
        <v>0</v>
      </c>
      <c r="AE83">
        <v>0.4</v>
      </c>
      <c r="AF83">
        <v>0</v>
      </c>
      <c r="AG83">
        <v>0</v>
      </c>
      <c r="AH83">
        <v>0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T83">
        <v>9</v>
      </c>
      <c r="AV83">
        <v>0</v>
      </c>
      <c r="AW83">
        <v>2</v>
      </c>
      <c r="AX83">
        <v>55723161</v>
      </c>
      <c r="AY83">
        <v>1</v>
      </c>
      <c r="AZ83">
        <v>0</v>
      </c>
      <c r="BA83">
        <v>63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Y83*Source!I103</f>
        <v>0.6300000000000001</v>
      </c>
      <c r="CY83">
        <f>AA83</f>
        <v>0.4</v>
      </c>
      <c r="CZ83">
        <f>AE83</f>
        <v>0.4</v>
      </c>
      <c r="DA83">
        <f>AI83</f>
        <v>1</v>
      </c>
      <c r="DB83">
        <f t="shared" si="10"/>
        <v>3.6</v>
      </c>
      <c r="DC83">
        <f t="shared" si="11"/>
        <v>0</v>
      </c>
    </row>
    <row r="84" spans="1:107" ht="12.75">
      <c r="A84">
        <f>ROW(Source!A103)</f>
        <v>103</v>
      </c>
      <c r="B84">
        <v>55722483</v>
      </c>
      <c r="C84">
        <v>55723147</v>
      </c>
      <c r="D84">
        <v>53644977</v>
      </c>
      <c r="E84">
        <v>1</v>
      </c>
      <c r="F84">
        <v>1</v>
      </c>
      <c r="G84">
        <v>1</v>
      </c>
      <c r="H84">
        <v>3</v>
      </c>
      <c r="I84" t="s">
        <v>340</v>
      </c>
      <c r="J84" t="s">
        <v>341</v>
      </c>
      <c r="K84" t="s">
        <v>342</v>
      </c>
      <c r="L84">
        <v>1407</v>
      </c>
      <c r="N84">
        <v>1013</v>
      </c>
      <c r="O84" t="s">
        <v>343</v>
      </c>
      <c r="P84" t="s">
        <v>343</v>
      </c>
      <c r="Q84">
        <v>1</v>
      </c>
      <c r="W84">
        <v>0</v>
      </c>
      <c r="X84">
        <v>-613484815</v>
      </c>
      <c r="Y84">
        <v>0.4</v>
      </c>
      <c r="AA84">
        <v>270</v>
      </c>
      <c r="AB84">
        <v>0</v>
      </c>
      <c r="AC84">
        <v>0</v>
      </c>
      <c r="AD84">
        <v>0</v>
      </c>
      <c r="AE84">
        <v>270</v>
      </c>
      <c r="AF84">
        <v>0</v>
      </c>
      <c r="AG84">
        <v>0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T84">
        <v>0.4</v>
      </c>
      <c r="AV84">
        <v>0</v>
      </c>
      <c r="AW84">
        <v>2</v>
      </c>
      <c r="AX84">
        <v>55723162</v>
      </c>
      <c r="AY84">
        <v>1</v>
      </c>
      <c r="AZ84">
        <v>0</v>
      </c>
      <c r="BA84">
        <v>64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Y84*Source!I103</f>
        <v>0.028000000000000004</v>
      </c>
      <c r="CY84">
        <f>AA84</f>
        <v>270</v>
      </c>
      <c r="CZ84">
        <f>AE84</f>
        <v>270</v>
      </c>
      <c r="DA84">
        <f>AI84</f>
        <v>1</v>
      </c>
      <c r="DB84">
        <f t="shared" si="10"/>
        <v>108</v>
      </c>
      <c r="DC84">
        <f t="shared" si="11"/>
        <v>0</v>
      </c>
    </row>
    <row r="85" spans="1:107" ht="12.75">
      <c r="A85">
        <f>ROW(Source!A103)</f>
        <v>103</v>
      </c>
      <c r="B85">
        <v>55722483</v>
      </c>
      <c r="C85">
        <v>55723147</v>
      </c>
      <c r="D85">
        <v>53645299</v>
      </c>
      <c r="E85">
        <v>1</v>
      </c>
      <c r="F85">
        <v>1</v>
      </c>
      <c r="G85">
        <v>1</v>
      </c>
      <c r="H85">
        <v>3</v>
      </c>
      <c r="I85" t="s">
        <v>344</v>
      </c>
      <c r="J85" t="s">
        <v>345</v>
      </c>
      <c r="K85" t="s">
        <v>346</v>
      </c>
      <c r="L85">
        <v>1425</v>
      </c>
      <c r="N85">
        <v>1013</v>
      </c>
      <c r="O85" t="s">
        <v>159</v>
      </c>
      <c r="P85" t="s">
        <v>159</v>
      </c>
      <c r="Q85">
        <v>1</v>
      </c>
      <c r="W85">
        <v>0</v>
      </c>
      <c r="X85">
        <v>1269719970</v>
      </c>
      <c r="Y85">
        <v>4</v>
      </c>
      <c r="AA85">
        <v>5</v>
      </c>
      <c r="AB85">
        <v>0</v>
      </c>
      <c r="AC85">
        <v>0</v>
      </c>
      <c r="AD85">
        <v>0</v>
      </c>
      <c r="AE85">
        <v>5</v>
      </c>
      <c r="AF85">
        <v>0</v>
      </c>
      <c r="AG85">
        <v>0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T85">
        <v>4</v>
      </c>
      <c r="AV85">
        <v>0</v>
      </c>
      <c r="AW85">
        <v>2</v>
      </c>
      <c r="AX85">
        <v>55723163</v>
      </c>
      <c r="AY85">
        <v>1</v>
      </c>
      <c r="AZ85">
        <v>0</v>
      </c>
      <c r="BA85">
        <v>65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Y85*Source!I103</f>
        <v>0.28</v>
      </c>
      <c r="CY85">
        <f>AA85</f>
        <v>5</v>
      </c>
      <c r="CZ85">
        <f>AE85</f>
        <v>5</v>
      </c>
      <c r="DA85">
        <f>AI85</f>
        <v>1</v>
      </c>
      <c r="DB85">
        <f t="shared" si="10"/>
        <v>20</v>
      </c>
      <c r="DC85">
        <f t="shared" si="11"/>
        <v>0</v>
      </c>
    </row>
    <row r="86" spans="1:107" ht="12.75">
      <c r="A86">
        <f>ROW(Source!A103)</f>
        <v>103</v>
      </c>
      <c r="B86">
        <v>55722483</v>
      </c>
      <c r="C86">
        <v>55723147</v>
      </c>
      <c r="D86">
        <v>0</v>
      </c>
      <c r="E86">
        <v>0</v>
      </c>
      <c r="F86">
        <v>1</v>
      </c>
      <c r="G86">
        <v>1</v>
      </c>
      <c r="H86">
        <v>3</v>
      </c>
      <c r="I86" t="s">
        <v>52</v>
      </c>
      <c r="K86" t="s">
        <v>179</v>
      </c>
      <c r="L86">
        <v>1371</v>
      </c>
      <c r="N86">
        <v>1013</v>
      </c>
      <c r="O86" t="s">
        <v>54</v>
      </c>
      <c r="P86" t="s">
        <v>54</v>
      </c>
      <c r="Q86">
        <v>1</v>
      </c>
      <c r="W86">
        <v>0</v>
      </c>
      <c r="X86">
        <v>942734671</v>
      </c>
      <c r="Y86">
        <v>100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0</v>
      </c>
      <c r="AP86">
        <v>0</v>
      </c>
      <c r="AQ86">
        <v>0</v>
      </c>
      <c r="AR86">
        <v>0</v>
      </c>
      <c r="AT86">
        <v>100</v>
      </c>
      <c r="AV86">
        <v>0</v>
      </c>
      <c r="AW86">
        <v>1</v>
      </c>
      <c r="AX86">
        <v>-1</v>
      </c>
      <c r="AY86">
        <v>0</v>
      </c>
      <c r="AZ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Y86*Source!I103</f>
        <v>7.000000000000001</v>
      </c>
      <c r="CY86">
        <f>AA86</f>
        <v>0</v>
      </c>
      <c r="CZ86">
        <f>AE86</f>
        <v>0</v>
      </c>
      <c r="DA86">
        <f>AI86</f>
        <v>1</v>
      </c>
      <c r="DB86">
        <f t="shared" si="10"/>
        <v>0</v>
      </c>
      <c r="DC86">
        <f t="shared" si="11"/>
        <v>0</v>
      </c>
    </row>
    <row r="87" spans="1:107" ht="12.75">
      <c r="A87">
        <f>ROW(Source!A104)</f>
        <v>104</v>
      </c>
      <c r="B87">
        <v>55722484</v>
      </c>
      <c r="C87">
        <v>55723147</v>
      </c>
      <c r="D87">
        <v>37822883</v>
      </c>
      <c r="E87">
        <v>70</v>
      </c>
      <c r="F87">
        <v>1</v>
      </c>
      <c r="G87">
        <v>1</v>
      </c>
      <c r="H87">
        <v>1</v>
      </c>
      <c r="I87" t="s">
        <v>321</v>
      </c>
      <c r="K87" t="s">
        <v>322</v>
      </c>
      <c r="L87">
        <v>1191</v>
      </c>
      <c r="N87">
        <v>1013</v>
      </c>
      <c r="O87" t="s">
        <v>286</v>
      </c>
      <c r="P87" t="s">
        <v>286</v>
      </c>
      <c r="Q87">
        <v>1</v>
      </c>
      <c r="W87">
        <v>0</v>
      </c>
      <c r="X87">
        <v>1903864200</v>
      </c>
      <c r="Y87">
        <v>154.5</v>
      </c>
      <c r="AA87">
        <v>0</v>
      </c>
      <c r="AB87">
        <v>0</v>
      </c>
      <c r="AC87">
        <v>0</v>
      </c>
      <c r="AD87">
        <v>309.49</v>
      </c>
      <c r="AE87">
        <v>0</v>
      </c>
      <c r="AF87">
        <v>0</v>
      </c>
      <c r="AG87">
        <v>0</v>
      </c>
      <c r="AH87">
        <v>8.02</v>
      </c>
      <c r="AI87">
        <v>1</v>
      </c>
      <c r="AJ87">
        <v>1</v>
      </c>
      <c r="AK87">
        <v>1</v>
      </c>
      <c r="AL87">
        <v>38.59</v>
      </c>
      <c r="AN87">
        <v>0</v>
      </c>
      <c r="AO87">
        <v>1</v>
      </c>
      <c r="AP87">
        <v>0</v>
      </c>
      <c r="AQ87">
        <v>0</v>
      </c>
      <c r="AR87">
        <v>0</v>
      </c>
      <c r="AT87">
        <v>154.5</v>
      </c>
      <c r="AV87">
        <v>1</v>
      </c>
      <c r="AW87">
        <v>2</v>
      </c>
      <c r="AX87">
        <v>55723157</v>
      </c>
      <c r="AY87">
        <v>1</v>
      </c>
      <c r="AZ87">
        <v>0</v>
      </c>
      <c r="BA87">
        <v>68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Y87*Source!I104</f>
        <v>10.815000000000001</v>
      </c>
      <c r="CY87">
        <f>AD87</f>
        <v>309.49</v>
      </c>
      <c r="CZ87">
        <f>AH87</f>
        <v>8.02</v>
      </c>
      <c r="DA87">
        <f>AL87</f>
        <v>38.59</v>
      </c>
      <c r="DB87">
        <f t="shared" si="10"/>
        <v>1239.09</v>
      </c>
      <c r="DC87">
        <f t="shared" si="11"/>
        <v>0</v>
      </c>
    </row>
    <row r="88" spans="1:107" ht="12.75">
      <c r="A88">
        <f>ROW(Source!A104)</f>
        <v>104</v>
      </c>
      <c r="B88">
        <v>55722484</v>
      </c>
      <c r="C88">
        <v>55723147</v>
      </c>
      <c r="D88">
        <v>37822850</v>
      </c>
      <c r="E88">
        <v>70</v>
      </c>
      <c r="F88">
        <v>1</v>
      </c>
      <c r="G88">
        <v>1</v>
      </c>
      <c r="H88">
        <v>1</v>
      </c>
      <c r="I88" t="s">
        <v>289</v>
      </c>
      <c r="K88" t="s">
        <v>290</v>
      </c>
      <c r="L88">
        <v>1191</v>
      </c>
      <c r="N88">
        <v>1013</v>
      </c>
      <c r="O88" t="s">
        <v>286</v>
      </c>
      <c r="P88" t="s">
        <v>286</v>
      </c>
      <c r="Q88">
        <v>1</v>
      </c>
      <c r="W88">
        <v>0</v>
      </c>
      <c r="X88">
        <v>-1417349443</v>
      </c>
      <c r="Y88">
        <v>0.6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1</v>
      </c>
      <c r="AJ88">
        <v>1</v>
      </c>
      <c r="AK88">
        <v>38.59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T88">
        <v>0.6</v>
      </c>
      <c r="AV88">
        <v>2</v>
      </c>
      <c r="AW88">
        <v>2</v>
      </c>
      <c r="AX88">
        <v>55723158</v>
      </c>
      <c r="AY88">
        <v>1</v>
      </c>
      <c r="AZ88">
        <v>0</v>
      </c>
      <c r="BA88">
        <v>69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Y88*Source!I104</f>
        <v>0.042</v>
      </c>
      <c r="CY88">
        <f>AD88</f>
        <v>0</v>
      </c>
      <c r="CZ88">
        <f>AH88</f>
        <v>0</v>
      </c>
      <c r="DA88">
        <f>AL88</f>
        <v>1</v>
      </c>
      <c r="DB88">
        <f t="shared" si="10"/>
        <v>0</v>
      </c>
      <c r="DC88">
        <f t="shared" si="11"/>
        <v>0</v>
      </c>
    </row>
    <row r="89" spans="1:107" ht="12.75">
      <c r="A89">
        <f>ROW(Source!A104)</f>
        <v>104</v>
      </c>
      <c r="B89">
        <v>55722484</v>
      </c>
      <c r="C89">
        <v>55723147</v>
      </c>
      <c r="D89">
        <v>53791997</v>
      </c>
      <c r="E89">
        <v>1</v>
      </c>
      <c r="F89">
        <v>1</v>
      </c>
      <c r="G89">
        <v>1</v>
      </c>
      <c r="H89">
        <v>2</v>
      </c>
      <c r="I89" t="s">
        <v>333</v>
      </c>
      <c r="J89" t="s">
        <v>334</v>
      </c>
      <c r="K89" t="s">
        <v>335</v>
      </c>
      <c r="L89">
        <v>1367</v>
      </c>
      <c r="N89">
        <v>1011</v>
      </c>
      <c r="O89" t="s">
        <v>294</v>
      </c>
      <c r="P89" t="s">
        <v>294</v>
      </c>
      <c r="Q89">
        <v>1</v>
      </c>
      <c r="W89">
        <v>0</v>
      </c>
      <c r="X89">
        <v>-430484415</v>
      </c>
      <c r="Y89">
        <v>0.3</v>
      </c>
      <c r="AA89">
        <v>0</v>
      </c>
      <c r="AB89">
        <v>1549.82</v>
      </c>
      <c r="AC89">
        <v>520.97</v>
      </c>
      <c r="AD89">
        <v>0</v>
      </c>
      <c r="AE89">
        <v>0</v>
      </c>
      <c r="AF89">
        <v>115.4</v>
      </c>
      <c r="AG89">
        <v>13.5</v>
      </c>
      <c r="AH89">
        <v>0</v>
      </c>
      <c r="AI89">
        <v>1</v>
      </c>
      <c r="AJ89">
        <v>13.43</v>
      </c>
      <c r="AK89">
        <v>38.59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T89">
        <v>0.3</v>
      </c>
      <c r="AV89">
        <v>0</v>
      </c>
      <c r="AW89">
        <v>2</v>
      </c>
      <c r="AX89">
        <v>55723159</v>
      </c>
      <c r="AY89">
        <v>1</v>
      </c>
      <c r="AZ89">
        <v>0</v>
      </c>
      <c r="BA89">
        <v>70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Y89*Source!I104</f>
        <v>0.021</v>
      </c>
      <c r="CY89">
        <f>AB89</f>
        <v>1549.82</v>
      </c>
      <c r="CZ89">
        <f>AF89</f>
        <v>115.4</v>
      </c>
      <c r="DA89">
        <f>AJ89</f>
        <v>13.43</v>
      </c>
      <c r="DB89">
        <f t="shared" si="10"/>
        <v>34.62</v>
      </c>
      <c r="DC89">
        <f t="shared" si="11"/>
        <v>4.05</v>
      </c>
    </row>
    <row r="90" spans="1:107" ht="12.75">
      <c r="A90">
        <f>ROW(Source!A104)</f>
        <v>104</v>
      </c>
      <c r="B90">
        <v>55722484</v>
      </c>
      <c r="C90">
        <v>55723147</v>
      </c>
      <c r="D90">
        <v>53792927</v>
      </c>
      <c r="E90">
        <v>1</v>
      </c>
      <c r="F90">
        <v>1</v>
      </c>
      <c r="G90">
        <v>1</v>
      </c>
      <c r="H90">
        <v>2</v>
      </c>
      <c r="I90" t="s">
        <v>295</v>
      </c>
      <c r="J90" t="s">
        <v>296</v>
      </c>
      <c r="K90" t="s">
        <v>297</v>
      </c>
      <c r="L90">
        <v>1367</v>
      </c>
      <c r="N90">
        <v>1011</v>
      </c>
      <c r="O90" t="s">
        <v>294</v>
      </c>
      <c r="P90" t="s">
        <v>294</v>
      </c>
      <c r="Q90">
        <v>1</v>
      </c>
      <c r="W90">
        <v>0</v>
      </c>
      <c r="X90">
        <v>509054691</v>
      </c>
      <c r="Y90">
        <v>0.3</v>
      </c>
      <c r="AA90">
        <v>0</v>
      </c>
      <c r="AB90">
        <v>882.49</v>
      </c>
      <c r="AC90">
        <v>447.64</v>
      </c>
      <c r="AD90">
        <v>0</v>
      </c>
      <c r="AE90">
        <v>0</v>
      </c>
      <c r="AF90">
        <v>65.71</v>
      </c>
      <c r="AG90">
        <v>11.6</v>
      </c>
      <c r="AH90">
        <v>0</v>
      </c>
      <c r="AI90">
        <v>1</v>
      </c>
      <c r="AJ90">
        <v>13.43</v>
      </c>
      <c r="AK90">
        <v>38.59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T90">
        <v>0.3</v>
      </c>
      <c r="AV90">
        <v>0</v>
      </c>
      <c r="AW90">
        <v>2</v>
      </c>
      <c r="AX90">
        <v>55723160</v>
      </c>
      <c r="AY90">
        <v>1</v>
      </c>
      <c r="AZ90">
        <v>0</v>
      </c>
      <c r="BA90">
        <v>71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Y90*Source!I104</f>
        <v>0.021</v>
      </c>
      <c r="CY90">
        <f>AB90</f>
        <v>882.49</v>
      </c>
      <c r="CZ90">
        <f>AF90</f>
        <v>65.71</v>
      </c>
      <c r="DA90">
        <f>AJ90</f>
        <v>13.43</v>
      </c>
      <c r="DB90">
        <f t="shared" si="10"/>
        <v>19.71</v>
      </c>
      <c r="DC90">
        <f t="shared" si="11"/>
        <v>3.48</v>
      </c>
    </row>
    <row r="91" spans="1:107" ht="12.75">
      <c r="A91">
        <f>ROW(Source!A104)</f>
        <v>104</v>
      </c>
      <c r="B91">
        <v>55722484</v>
      </c>
      <c r="C91">
        <v>55723147</v>
      </c>
      <c r="D91">
        <v>53642567</v>
      </c>
      <c r="E91">
        <v>1</v>
      </c>
      <c r="F91">
        <v>1</v>
      </c>
      <c r="G91">
        <v>1</v>
      </c>
      <c r="H91">
        <v>3</v>
      </c>
      <c r="I91" t="s">
        <v>336</v>
      </c>
      <c r="J91" t="s">
        <v>337</v>
      </c>
      <c r="K91" t="s">
        <v>338</v>
      </c>
      <c r="L91">
        <v>1383</v>
      </c>
      <c r="N91">
        <v>1013</v>
      </c>
      <c r="O91" t="s">
        <v>339</v>
      </c>
      <c r="P91" t="s">
        <v>339</v>
      </c>
      <c r="Q91">
        <v>1</v>
      </c>
      <c r="W91">
        <v>0</v>
      </c>
      <c r="X91">
        <v>-180864722</v>
      </c>
      <c r="Y91">
        <v>9</v>
      </c>
      <c r="AA91">
        <v>2.73</v>
      </c>
      <c r="AB91">
        <v>0</v>
      </c>
      <c r="AC91">
        <v>0</v>
      </c>
      <c r="AD91">
        <v>0</v>
      </c>
      <c r="AE91">
        <v>0.4</v>
      </c>
      <c r="AF91">
        <v>0</v>
      </c>
      <c r="AG91">
        <v>0</v>
      </c>
      <c r="AH91">
        <v>0</v>
      </c>
      <c r="AI91">
        <v>6.82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T91">
        <v>9</v>
      </c>
      <c r="AV91">
        <v>0</v>
      </c>
      <c r="AW91">
        <v>2</v>
      </c>
      <c r="AX91">
        <v>55723161</v>
      </c>
      <c r="AY91">
        <v>1</v>
      </c>
      <c r="AZ91">
        <v>0</v>
      </c>
      <c r="BA91">
        <v>72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Y91*Source!I104</f>
        <v>0.6300000000000001</v>
      </c>
      <c r="CY91">
        <f>AA91</f>
        <v>2.73</v>
      </c>
      <c r="CZ91">
        <f>AE91</f>
        <v>0.4</v>
      </c>
      <c r="DA91">
        <f>AI91</f>
        <v>6.82</v>
      </c>
      <c r="DB91">
        <f t="shared" si="10"/>
        <v>3.6</v>
      </c>
      <c r="DC91">
        <f t="shared" si="11"/>
        <v>0</v>
      </c>
    </row>
    <row r="92" spans="1:107" ht="12.75">
      <c r="A92">
        <f>ROW(Source!A104)</f>
        <v>104</v>
      </c>
      <c r="B92">
        <v>55722484</v>
      </c>
      <c r="C92">
        <v>55723147</v>
      </c>
      <c r="D92">
        <v>53644977</v>
      </c>
      <c r="E92">
        <v>1</v>
      </c>
      <c r="F92">
        <v>1</v>
      </c>
      <c r="G92">
        <v>1</v>
      </c>
      <c r="H92">
        <v>3</v>
      </c>
      <c r="I92" t="s">
        <v>340</v>
      </c>
      <c r="J92" t="s">
        <v>341</v>
      </c>
      <c r="K92" t="s">
        <v>342</v>
      </c>
      <c r="L92">
        <v>1407</v>
      </c>
      <c r="N92">
        <v>1013</v>
      </c>
      <c r="O92" t="s">
        <v>343</v>
      </c>
      <c r="P92" t="s">
        <v>343</v>
      </c>
      <c r="Q92">
        <v>1</v>
      </c>
      <c r="W92">
        <v>0</v>
      </c>
      <c r="X92">
        <v>-613484815</v>
      </c>
      <c r="Y92">
        <v>0.4</v>
      </c>
      <c r="AA92">
        <v>1841.4</v>
      </c>
      <c r="AB92">
        <v>0</v>
      </c>
      <c r="AC92">
        <v>0</v>
      </c>
      <c r="AD92">
        <v>0</v>
      </c>
      <c r="AE92">
        <v>270</v>
      </c>
      <c r="AF92">
        <v>0</v>
      </c>
      <c r="AG92">
        <v>0</v>
      </c>
      <c r="AH92">
        <v>0</v>
      </c>
      <c r="AI92">
        <v>6.82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T92">
        <v>0.4</v>
      </c>
      <c r="AV92">
        <v>0</v>
      </c>
      <c r="AW92">
        <v>2</v>
      </c>
      <c r="AX92">
        <v>55723162</v>
      </c>
      <c r="AY92">
        <v>1</v>
      </c>
      <c r="AZ92">
        <v>0</v>
      </c>
      <c r="BA92">
        <v>73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Y92*Source!I104</f>
        <v>0.028000000000000004</v>
      </c>
      <c r="CY92">
        <f>AA92</f>
        <v>1841.4</v>
      </c>
      <c r="CZ92">
        <f>AE92</f>
        <v>270</v>
      </c>
      <c r="DA92">
        <f>AI92</f>
        <v>6.82</v>
      </c>
      <c r="DB92">
        <f t="shared" si="10"/>
        <v>108</v>
      </c>
      <c r="DC92">
        <f t="shared" si="11"/>
        <v>0</v>
      </c>
    </row>
    <row r="93" spans="1:107" ht="12.75">
      <c r="A93">
        <f>ROW(Source!A104)</f>
        <v>104</v>
      </c>
      <c r="B93">
        <v>55722484</v>
      </c>
      <c r="C93">
        <v>55723147</v>
      </c>
      <c r="D93">
        <v>53645299</v>
      </c>
      <c r="E93">
        <v>1</v>
      </c>
      <c r="F93">
        <v>1</v>
      </c>
      <c r="G93">
        <v>1</v>
      </c>
      <c r="H93">
        <v>3</v>
      </c>
      <c r="I93" t="s">
        <v>344</v>
      </c>
      <c r="J93" t="s">
        <v>345</v>
      </c>
      <c r="K93" t="s">
        <v>346</v>
      </c>
      <c r="L93">
        <v>1425</v>
      </c>
      <c r="N93">
        <v>1013</v>
      </c>
      <c r="O93" t="s">
        <v>159</v>
      </c>
      <c r="P93" t="s">
        <v>159</v>
      </c>
      <c r="Q93">
        <v>1</v>
      </c>
      <c r="W93">
        <v>0</v>
      </c>
      <c r="X93">
        <v>1269719970</v>
      </c>
      <c r="Y93">
        <v>4</v>
      </c>
      <c r="AA93">
        <v>34.1</v>
      </c>
      <c r="AB93">
        <v>0</v>
      </c>
      <c r="AC93">
        <v>0</v>
      </c>
      <c r="AD93">
        <v>0</v>
      </c>
      <c r="AE93">
        <v>5</v>
      </c>
      <c r="AF93">
        <v>0</v>
      </c>
      <c r="AG93">
        <v>0</v>
      </c>
      <c r="AH93">
        <v>0</v>
      </c>
      <c r="AI93">
        <v>6.82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T93">
        <v>4</v>
      </c>
      <c r="AV93">
        <v>0</v>
      </c>
      <c r="AW93">
        <v>2</v>
      </c>
      <c r="AX93">
        <v>55723163</v>
      </c>
      <c r="AY93">
        <v>1</v>
      </c>
      <c r="AZ93">
        <v>0</v>
      </c>
      <c r="BA93">
        <v>74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Y93*Source!I104</f>
        <v>0.28</v>
      </c>
      <c r="CY93">
        <f>AA93</f>
        <v>34.1</v>
      </c>
      <c r="CZ93">
        <f>AE93</f>
        <v>5</v>
      </c>
      <c r="DA93">
        <f>AI93</f>
        <v>6.82</v>
      </c>
      <c r="DB93">
        <f t="shared" si="10"/>
        <v>20</v>
      </c>
      <c r="DC93">
        <f t="shared" si="11"/>
        <v>0</v>
      </c>
    </row>
    <row r="94" spans="1:107" ht="12.75">
      <c r="A94">
        <f>ROW(Source!A104)</f>
        <v>104</v>
      </c>
      <c r="B94">
        <v>55722484</v>
      </c>
      <c r="C94">
        <v>55723147</v>
      </c>
      <c r="D94">
        <v>0</v>
      </c>
      <c r="E94">
        <v>0</v>
      </c>
      <c r="F94">
        <v>1</v>
      </c>
      <c r="G94">
        <v>1</v>
      </c>
      <c r="H94">
        <v>3</v>
      </c>
      <c r="I94" t="s">
        <v>52</v>
      </c>
      <c r="K94" t="s">
        <v>179</v>
      </c>
      <c r="L94">
        <v>1371</v>
      </c>
      <c r="N94">
        <v>1013</v>
      </c>
      <c r="O94" t="s">
        <v>54</v>
      </c>
      <c r="P94" t="s">
        <v>54</v>
      </c>
      <c r="Q94">
        <v>1</v>
      </c>
      <c r="W94">
        <v>0</v>
      </c>
      <c r="X94">
        <v>942734671</v>
      </c>
      <c r="Y94">
        <v>100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0</v>
      </c>
      <c r="AP94">
        <v>0</v>
      </c>
      <c r="AQ94">
        <v>0</v>
      </c>
      <c r="AR94">
        <v>0</v>
      </c>
      <c r="AT94">
        <v>100</v>
      </c>
      <c r="AV94">
        <v>0</v>
      </c>
      <c r="AW94">
        <v>1</v>
      </c>
      <c r="AX94">
        <v>-1</v>
      </c>
      <c r="AY94">
        <v>0</v>
      </c>
      <c r="AZ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Y94*Source!I104</f>
        <v>7.000000000000001</v>
      </c>
      <c r="CY94">
        <f>AA94</f>
        <v>0</v>
      </c>
      <c r="CZ94">
        <f>AE94</f>
        <v>0</v>
      </c>
      <c r="DA94">
        <f>AI94</f>
        <v>1</v>
      </c>
      <c r="DB94">
        <f t="shared" si="10"/>
        <v>0</v>
      </c>
      <c r="DC94">
        <f t="shared" si="11"/>
        <v>0</v>
      </c>
    </row>
    <row r="95" spans="1:107" ht="12.75">
      <c r="A95">
        <f>ROW(Source!A142)</f>
        <v>142</v>
      </c>
      <c r="B95">
        <v>55722483</v>
      </c>
      <c r="C95">
        <v>55723320</v>
      </c>
      <c r="D95">
        <v>37822859</v>
      </c>
      <c r="E95">
        <v>1</v>
      </c>
      <c r="F95">
        <v>1</v>
      </c>
      <c r="G95">
        <v>1</v>
      </c>
      <c r="H95">
        <v>1</v>
      </c>
      <c r="I95" t="s">
        <v>347</v>
      </c>
      <c r="K95" t="s">
        <v>348</v>
      </c>
      <c r="L95">
        <v>1191</v>
      </c>
      <c r="N95">
        <v>1013</v>
      </c>
      <c r="O95" t="s">
        <v>286</v>
      </c>
      <c r="P95" t="s">
        <v>286</v>
      </c>
      <c r="Q95">
        <v>1</v>
      </c>
      <c r="W95">
        <v>0</v>
      </c>
      <c r="X95">
        <v>-2033067419</v>
      </c>
      <c r="Y95">
        <v>214.32</v>
      </c>
      <c r="AA95">
        <v>0</v>
      </c>
      <c r="AB95">
        <v>0</v>
      </c>
      <c r="AC95">
        <v>0</v>
      </c>
      <c r="AD95">
        <v>7.25</v>
      </c>
      <c r="AE95">
        <v>0</v>
      </c>
      <c r="AF95">
        <v>0</v>
      </c>
      <c r="AG95">
        <v>0</v>
      </c>
      <c r="AH95">
        <v>7.25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T95">
        <v>214.32</v>
      </c>
      <c r="AV95">
        <v>1</v>
      </c>
      <c r="AW95">
        <v>2</v>
      </c>
      <c r="AX95">
        <v>55723323</v>
      </c>
      <c r="AY95">
        <v>1</v>
      </c>
      <c r="AZ95">
        <v>6144</v>
      </c>
      <c r="BA95">
        <v>77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Y95*Source!I142</f>
        <v>2.228928</v>
      </c>
      <c r="CY95">
        <f>AD95</f>
        <v>7.25</v>
      </c>
      <c r="CZ95">
        <f>AH95</f>
        <v>7.25</v>
      </c>
      <c r="DA95">
        <f>AL95</f>
        <v>1</v>
      </c>
      <c r="DB95">
        <f t="shared" si="10"/>
        <v>1553.82</v>
      </c>
      <c r="DC95">
        <f t="shared" si="11"/>
        <v>0</v>
      </c>
    </row>
    <row r="96" spans="1:107" ht="12.75">
      <c r="A96">
        <f>ROW(Source!A142)</f>
        <v>142</v>
      </c>
      <c r="B96">
        <v>55722483</v>
      </c>
      <c r="C96">
        <v>55723320</v>
      </c>
      <c r="D96">
        <v>0</v>
      </c>
      <c r="E96">
        <v>1</v>
      </c>
      <c r="F96">
        <v>1</v>
      </c>
      <c r="G96">
        <v>1</v>
      </c>
      <c r="H96">
        <v>3</v>
      </c>
      <c r="I96" t="s">
        <v>89</v>
      </c>
      <c r="K96" t="s">
        <v>90</v>
      </c>
      <c r="L96">
        <v>1348</v>
      </c>
      <c r="N96">
        <v>1009</v>
      </c>
      <c r="O96" t="s">
        <v>36</v>
      </c>
      <c r="P96" t="s">
        <v>36</v>
      </c>
      <c r="Q96">
        <v>1000</v>
      </c>
      <c r="W96">
        <v>0</v>
      </c>
      <c r="X96">
        <v>-179832266</v>
      </c>
      <c r="Y96">
        <v>100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1</v>
      </c>
      <c r="AJ96">
        <v>1</v>
      </c>
      <c r="AK96">
        <v>1</v>
      </c>
      <c r="AL96">
        <v>1</v>
      </c>
      <c r="AN96">
        <v>0</v>
      </c>
      <c r="AO96">
        <v>0</v>
      </c>
      <c r="AP96">
        <v>0</v>
      </c>
      <c r="AQ96">
        <v>0</v>
      </c>
      <c r="AR96">
        <v>0</v>
      </c>
      <c r="AT96">
        <v>100</v>
      </c>
      <c r="AV96">
        <v>0</v>
      </c>
      <c r="AW96">
        <v>1</v>
      </c>
      <c r="AX96">
        <v>-1</v>
      </c>
      <c r="AY96">
        <v>0</v>
      </c>
      <c r="AZ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Y96*Source!I142</f>
        <v>1.04</v>
      </c>
      <c r="CY96">
        <f>AA96</f>
        <v>0</v>
      </c>
      <c r="CZ96">
        <f>AE96</f>
        <v>0</v>
      </c>
      <c r="DA96">
        <f>AI96</f>
        <v>1</v>
      </c>
      <c r="DB96">
        <f t="shared" si="10"/>
        <v>0</v>
      </c>
      <c r="DC96">
        <f t="shared" si="11"/>
        <v>0</v>
      </c>
    </row>
    <row r="97" spans="1:107" ht="12.75">
      <c r="A97">
        <f>ROW(Source!A143)</f>
        <v>143</v>
      </c>
      <c r="B97">
        <v>55722484</v>
      </c>
      <c r="C97">
        <v>55723320</v>
      </c>
      <c r="D97">
        <v>37822859</v>
      </c>
      <c r="E97">
        <v>1</v>
      </c>
      <c r="F97">
        <v>1</v>
      </c>
      <c r="G97">
        <v>1</v>
      </c>
      <c r="H97">
        <v>1</v>
      </c>
      <c r="I97" t="s">
        <v>347</v>
      </c>
      <c r="K97" t="s">
        <v>348</v>
      </c>
      <c r="L97">
        <v>1191</v>
      </c>
      <c r="N97">
        <v>1013</v>
      </c>
      <c r="O97" t="s">
        <v>286</v>
      </c>
      <c r="P97" t="s">
        <v>286</v>
      </c>
      <c r="Q97">
        <v>1</v>
      </c>
      <c r="W97">
        <v>0</v>
      </c>
      <c r="X97">
        <v>-2033067419</v>
      </c>
      <c r="Y97">
        <v>214.32</v>
      </c>
      <c r="AA97">
        <v>0</v>
      </c>
      <c r="AB97">
        <v>0</v>
      </c>
      <c r="AC97">
        <v>0</v>
      </c>
      <c r="AD97">
        <v>279.78</v>
      </c>
      <c r="AE97">
        <v>0</v>
      </c>
      <c r="AF97">
        <v>0</v>
      </c>
      <c r="AG97">
        <v>0</v>
      </c>
      <c r="AH97">
        <v>7.25</v>
      </c>
      <c r="AI97">
        <v>1</v>
      </c>
      <c r="AJ97">
        <v>1</v>
      </c>
      <c r="AK97">
        <v>1</v>
      </c>
      <c r="AL97">
        <v>38.59</v>
      </c>
      <c r="AN97">
        <v>0</v>
      </c>
      <c r="AO97">
        <v>1</v>
      </c>
      <c r="AP97">
        <v>0</v>
      </c>
      <c r="AQ97">
        <v>0</v>
      </c>
      <c r="AR97">
        <v>0</v>
      </c>
      <c r="AT97">
        <v>214.32</v>
      </c>
      <c r="AV97">
        <v>1</v>
      </c>
      <c r="AW97">
        <v>2</v>
      </c>
      <c r="AX97">
        <v>55723323</v>
      </c>
      <c r="AY97">
        <v>1</v>
      </c>
      <c r="AZ97">
        <v>6144</v>
      </c>
      <c r="BA97">
        <v>79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Y97*Source!I143</f>
        <v>2.228928</v>
      </c>
      <c r="CY97">
        <f>AD97</f>
        <v>279.78</v>
      </c>
      <c r="CZ97">
        <f>AH97</f>
        <v>7.25</v>
      </c>
      <c r="DA97">
        <f>AL97</f>
        <v>38.59</v>
      </c>
      <c r="DB97">
        <f t="shared" si="10"/>
        <v>1553.82</v>
      </c>
      <c r="DC97">
        <f t="shared" si="11"/>
        <v>0</v>
      </c>
    </row>
    <row r="98" spans="1:107" ht="12.75">
      <c r="A98">
        <f>ROW(Source!A143)</f>
        <v>143</v>
      </c>
      <c r="B98">
        <v>55722484</v>
      </c>
      <c r="C98">
        <v>55723320</v>
      </c>
      <c r="D98">
        <v>0</v>
      </c>
      <c r="E98">
        <v>1</v>
      </c>
      <c r="F98">
        <v>1</v>
      </c>
      <c r="G98">
        <v>1</v>
      </c>
      <c r="H98">
        <v>3</v>
      </c>
      <c r="I98" t="s">
        <v>89</v>
      </c>
      <c r="K98" t="s">
        <v>90</v>
      </c>
      <c r="L98">
        <v>1348</v>
      </c>
      <c r="N98">
        <v>1009</v>
      </c>
      <c r="O98" t="s">
        <v>36</v>
      </c>
      <c r="P98" t="s">
        <v>36</v>
      </c>
      <c r="Q98">
        <v>1000</v>
      </c>
      <c r="W98">
        <v>0</v>
      </c>
      <c r="X98">
        <v>-179832266</v>
      </c>
      <c r="Y98">
        <v>100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6.82</v>
      </c>
      <c r="AJ98">
        <v>1</v>
      </c>
      <c r="AK98">
        <v>1</v>
      </c>
      <c r="AL98">
        <v>1</v>
      </c>
      <c r="AN98">
        <v>0</v>
      </c>
      <c r="AO98">
        <v>0</v>
      </c>
      <c r="AP98">
        <v>0</v>
      </c>
      <c r="AQ98">
        <v>0</v>
      </c>
      <c r="AR98">
        <v>0</v>
      </c>
      <c r="AT98">
        <v>100</v>
      </c>
      <c r="AV98">
        <v>0</v>
      </c>
      <c r="AW98">
        <v>1</v>
      </c>
      <c r="AX98">
        <v>-1</v>
      </c>
      <c r="AY98">
        <v>0</v>
      </c>
      <c r="AZ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Y98*Source!I143</f>
        <v>1.04</v>
      </c>
      <c r="CY98">
        <f>AA98</f>
        <v>0</v>
      </c>
      <c r="CZ98">
        <f>AE98</f>
        <v>0</v>
      </c>
      <c r="DA98">
        <f>AI98</f>
        <v>6.82</v>
      </c>
      <c r="DB98">
        <f t="shared" si="10"/>
        <v>0</v>
      </c>
      <c r="DC98">
        <f t="shared" si="11"/>
        <v>0</v>
      </c>
    </row>
    <row r="99" spans="1:107" ht="12.75">
      <c r="A99">
        <f>ROW(Source!A146)</f>
        <v>146</v>
      </c>
      <c r="B99">
        <v>55722483</v>
      </c>
      <c r="C99">
        <v>55723326</v>
      </c>
      <c r="D99">
        <v>37822857</v>
      </c>
      <c r="E99">
        <v>1</v>
      </c>
      <c r="F99">
        <v>1</v>
      </c>
      <c r="G99">
        <v>1</v>
      </c>
      <c r="H99">
        <v>1</v>
      </c>
      <c r="I99" t="s">
        <v>349</v>
      </c>
      <c r="K99" t="s">
        <v>350</v>
      </c>
      <c r="L99">
        <v>1191</v>
      </c>
      <c r="N99">
        <v>1013</v>
      </c>
      <c r="O99" t="s">
        <v>286</v>
      </c>
      <c r="P99" t="s">
        <v>286</v>
      </c>
      <c r="Q99">
        <v>1</v>
      </c>
      <c r="W99">
        <v>0</v>
      </c>
      <c r="X99">
        <v>-576067263</v>
      </c>
      <c r="Y99">
        <v>1.03</v>
      </c>
      <c r="AA99">
        <v>0</v>
      </c>
      <c r="AB99">
        <v>0</v>
      </c>
      <c r="AC99">
        <v>0</v>
      </c>
      <c r="AD99">
        <v>7.19</v>
      </c>
      <c r="AE99">
        <v>0</v>
      </c>
      <c r="AF99">
        <v>0</v>
      </c>
      <c r="AG99">
        <v>0</v>
      </c>
      <c r="AH99">
        <v>7.19</v>
      </c>
      <c r="AI99">
        <v>1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T99">
        <v>1.03</v>
      </c>
      <c r="AV99">
        <v>1</v>
      </c>
      <c r="AW99">
        <v>2</v>
      </c>
      <c r="AX99">
        <v>55723328</v>
      </c>
      <c r="AY99">
        <v>1</v>
      </c>
      <c r="AZ99">
        <v>0</v>
      </c>
      <c r="BA99">
        <v>81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Y99*Source!I146</f>
        <v>1.0712000000000002</v>
      </c>
      <c r="CY99">
        <f>AD99</f>
        <v>7.19</v>
      </c>
      <c r="CZ99">
        <f>AH99</f>
        <v>7.19</v>
      </c>
      <c r="DA99">
        <f>AL99</f>
        <v>1</v>
      </c>
      <c r="DB99">
        <f t="shared" si="10"/>
        <v>7.41</v>
      </c>
      <c r="DC99">
        <f t="shared" si="11"/>
        <v>0</v>
      </c>
    </row>
    <row r="100" spans="1:107" ht="12.75">
      <c r="A100">
        <f>ROW(Source!A147)</f>
        <v>147</v>
      </c>
      <c r="B100">
        <v>55722484</v>
      </c>
      <c r="C100">
        <v>55723326</v>
      </c>
      <c r="D100">
        <v>37822857</v>
      </c>
      <c r="E100">
        <v>1</v>
      </c>
      <c r="F100">
        <v>1</v>
      </c>
      <c r="G100">
        <v>1</v>
      </c>
      <c r="H100">
        <v>1</v>
      </c>
      <c r="I100" t="s">
        <v>349</v>
      </c>
      <c r="K100" t="s">
        <v>350</v>
      </c>
      <c r="L100">
        <v>1191</v>
      </c>
      <c r="N100">
        <v>1013</v>
      </c>
      <c r="O100" t="s">
        <v>286</v>
      </c>
      <c r="P100" t="s">
        <v>286</v>
      </c>
      <c r="Q100">
        <v>1</v>
      </c>
      <c r="W100">
        <v>0</v>
      </c>
      <c r="X100">
        <v>-576067263</v>
      </c>
      <c r="Y100">
        <v>1.03</v>
      </c>
      <c r="AA100">
        <v>0</v>
      </c>
      <c r="AB100">
        <v>0</v>
      </c>
      <c r="AC100">
        <v>0</v>
      </c>
      <c r="AD100">
        <v>277.46</v>
      </c>
      <c r="AE100">
        <v>0</v>
      </c>
      <c r="AF100">
        <v>0</v>
      </c>
      <c r="AG100">
        <v>0</v>
      </c>
      <c r="AH100">
        <v>7.19</v>
      </c>
      <c r="AI100">
        <v>1</v>
      </c>
      <c r="AJ100">
        <v>1</v>
      </c>
      <c r="AK100">
        <v>1</v>
      </c>
      <c r="AL100">
        <v>38.59</v>
      </c>
      <c r="AN100">
        <v>0</v>
      </c>
      <c r="AO100">
        <v>1</v>
      </c>
      <c r="AP100">
        <v>0</v>
      </c>
      <c r="AQ100">
        <v>0</v>
      </c>
      <c r="AR100">
        <v>0</v>
      </c>
      <c r="AT100">
        <v>1.03</v>
      </c>
      <c r="AV100">
        <v>1</v>
      </c>
      <c r="AW100">
        <v>2</v>
      </c>
      <c r="AX100">
        <v>55723328</v>
      </c>
      <c r="AY100">
        <v>1</v>
      </c>
      <c r="AZ100">
        <v>0</v>
      </c>
      <c r="BA100">
        <v>83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Y100*Source!I147</f>
        <v>1.0712000000000002</v>
      </c>
      <c r="CY100">
        <f>AD100</f>
        <v>277.46</v>
      </c>
      <c r="CZ100">
        <f>AH100</f>
        <v>7.19</v>
      </c>
      <c r="DA100">
        <f>AL100</f>
        <v>38.59</v>
      </c>
      <c r="DB100">
        <f t="shared" si="10"/>
        <v>7.41</v>
      </c>
      <c r="DC100">
        <f t="shared" si="11"/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8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ROW(Source!A28)</f>
        <v>28</v>
      </c>
      <c r="B1">
        <v>55723228</v>
      </c>
      <c r="C1">
        <v>55723225</v>
      </c>
      <c r="D1">
        <v>37822895</v>
      </c>
      <c r="E1">
        <v>70</v>
      </c>
      <c r="F1">
        <v>1</v>
      </c>
      <c r="G1">
        <v>1</v>
      </c>
      <c r="H1">
        <v>1</v>
      </c>
      <c r="I1" t="s">
        <v>284</v>
      </c>
      <c r="K1" t="s">
        <v>285</v>
      </c>
      <c r="L1">
        <v>1191</v>
      </c>
      <c r="N1">
        <v>1013</v>
      </c>
      <c r="O1" t="s">
        <v>286</v>
      </c>
      <c r="P1" t="s">
        <v>286</v>
      </c>
      <c r="Q1">
        <v>1</v>
      </c>
      <c r="X1">
        <v>34.51</v>
      </c>
      <c r="Y1">
        <v>0</v>
      </c>
      <c r="Z1">
        <v>0</v>
      </c>
      <c r="AA1">
        <v>0</v>
      </c>
      <c r="AB1">
        <v>8.46</v>
      </c>
      <c r="AC1">
        <v>0</v>
      </c>
      <c r="AD1">
        <v>1</v>
      </c>
      <c r="AE1">
        <v>1</v>
      </c>
      <c r="AG1">
        <v>34.51</v>
      </c>
      <c r="AH1">
        <v>2</v>
      </c>
      <c r="AI1">
        <v>55723226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ROW(Source!A28)</f>
        <v>28</v>
      </c>
      <c r="B2">
        <v>55723229</v>
      </c>
      <c r="C2">
        <v>55723225</v>
      </c>
      <c r="D2">
        <v>53634987</v>
      </c>
      <c r="E2">
        <v>70</v>
      </c>
      <c r="F2">
        <v>1</v>
      </c>
      <c r="G2">
        <v>1</v>
      </c>
      <c r="H2">
        <v>3</v>
      </c>
      <c r="I2" t="s">
        <v>34</v>
      </c>
      <c r="K2" t="s">
        <v>35</v>
      </c>
      <c r="L2">
        <v>1348</v>
      </c>
      <c r="N2">
        <v>1009</v>
      </c>
      <c r="O2" t="s">
        <v>36</v>
      </c>
      <c r="P2" t="s">
        <v>36</v>
      </c>
      <c r="Q2">
        <v>1000</v>
      </c>
      <c r="X2">
        <v>0.356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G2">
        <v>0.356</v>
      </c>
      <c r="AH2">
        <v>2</v>
      </c>
      <c r="AI2">
        <v>55723227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ROW(Source!A29)</f>
        <v>29</v>
      </c>
      <c r="B3">
        <v>55723228</v>
      </c>
      <c r="C3">
        <v>55723225</v>
      </c>
      <c r="D3">
        <v>37822895</v>
      </c>
      <c r="E3">
        <v>70</v>
      </c>
      <c r="F3">
        <v>1</v>
      </c>
      <c r="G3">
        <v>1</v>
      </c>
      <c r="H3">
        <v>1</v>
      </c>
      <c r="I3" t="s">
        <v>284</v>
      </c>
      <c r="K3" t="s">
        <v>285</v>
      </c>
      <c r="L3">
        <v>1191</v>
      </c>
      <c r="N3">
        <v>1013</v>
      </c>
      <c r="O3" t="s">
        <v>286</v>
      </c>
      <c r="P3" t="s">
        <v>286</v>
      </c>
      <c r="Q3">
        <v>1</v>
      </c>
      <c r="X3">
        <v>34.51</v>
      </c>
      <c r="Y3">
        <v>0</v>
      </c>
      <c r="Z3">
        <v>0</v>
      </c>
      <c r="AA3">
        <v>0</v>
      </c>
      <c r="AB3">
        <v>8.46</v>
      </c>
      <c r="AC3">
        <v>0</v>
      </c>
      <c r="AD3">
        <v>1</v>
      </c>
      <c r="AE3">
        <v>1</v>
      </c>
      <c r="AG3">
        <v>34.51</v>
      </c>
      <c r="AH3">
        <v>2</v>
      </c>
      <c r="AI3">
        <v>55723226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ROW(Source!A29)</f>
        <v>29</v>
      </c>
      <c r="B4">
        <v>55723229</v>
      </c>
      <c r="C4">
        <v>55723225</v>
      </c>
      <c r="D4">
        <v>53634987</v>
      </c>
      <c r="E4">
        <v>70</v>
      </c>
      <c r="F4">
        <v>1</v>
      </c>
      <c r="G4">
        <v>1</v>
      </c>
      <c r="H4">
        <v>3</v>
      </c>
      <c r="I4" t="s">
        <v>34</v>
      </c>
      <c r="K4" t="s">
        <v>35</v>
      </c>
      <c r="L4">
        <v>1348</v>
      </c>
      <c r="N4">
        <v>1009</v>
      </c>
      <c r="O4" t="s">
        <v>36</v>
      </c>
      <c r="P4" t="s">
        <v>36</v>
      </c>
      <c r="Q4">
        <v>1000</v>
      </c>
      <c r="X4">
        <v>0.356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G4">
        <v>0.356</v>
      </c>
      <c r="AH4">
        <v>2</v>
      </c>
      <c r="AI4">
        <v>55723227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ROW(Source!A32)</f>
        <v>32</v>
      </c>
      <c r="B5">
        <v>55723237</v>
      </c>
      <c r="C5">
        <v>55723231</v>
      </c>
      <c r="D5">
        <v>37822912</v>
      </c>
      <c r="E5">
        <v>70</v>
      </c>
      <c r="F5">
        <v>1</v>
      </c>
      <c r="G5">
        <v>1</v>
      </c>
      <c r="H5">
        <v>1</v>
      </c>
      <c r="I5" t="s">
        <v>287</v>
      </c>
      <c r="K5" t="s">
        <v>288</v>
      </c>
      <c r="L5">
        <v>1191</v>
      </c>
      <c r="N5">
        <v>1013</v>
      </c>
      <c r="O5" t="s">
        <v>286</v>
      </c>
      <c r="P5" t="s">
        <v>286</v>
      </c>
      <c r="Q5">
        <v>1</v>
      </c>
      <c r="X5">
        <v>102.46</v>
      </c>
      <c r="Y5">
        <v>0</v>
      </c>
      <c r="Z5">
        <v>0</v>
      </c>
      <c r="AA5">
        <v>0</v>
      </c>
      <c r="AB5">
        <v>9.4</v>
      </c>
      <c r="AC5">
        <v>0</v>
      </c>
      <c r="AD5">
        <v>1</v>
      </c>
      <c r="AE5">
        <v>1</v>
      </c>
      <c r="AF5" t="s">
        <v>42</v>
      </c>
      <c r="AG5">
        <v>129.6119</v>
      </c>
      <c r="AH5">
        <v>2</v>
      </c>
      <c r="AI5">
        <v>55723232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ROW(Source!A32)</f>
        <v>32</v>
      </c>
      <c r="B6">
        <v>55723238</v>
      </c>
      <c r="C6">
        <v>55723231</v>
      </c>
      <c r="D6">
        <v>37822850</v>
      </c>
      <c r="E6">
        <v>70</v>
      </c>
      <c r="F6">
        <v>1</v>
      </c>
      <c r="G6">
        <v>1</v>
      </c>
      <c r="H6">
        <v>1</v>
      </c>
      <c r="I6" t="s">
        <v>289</v>
      </c>
      <c r="K6" t="s">
        <v>290</v>
      </c>
      <c r="L6">
        <v>1191</v>
      </c>
      <c r="N6">
        <v>1013</v>
      </c>
      <c r="O6" t="s">
        <v>286</v>
      </c>
      <c r="P6" t="s">
        <v>286</v>
      </c>
      <c r="Q6">
        <v>1</v>
      </c>
      <c r="X6">
        <v>5.34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2</v>
      </c>
      <c r="AF6" t="s">
        <v>41</v>
      </c>
      <c r="AG6">
        <v>6.675</v>
      </c>
      <c r="AH6">
        <v>2</v>
      </c>
      <c r="AI6">
        <v>55723233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ROW(Source!A32)</f>
        <v>32</v>
      </c>
      <c r="B7">
        <v>55723239</v>
      </c>
      <c r="C7">
        <v>55723231</v>
      </c>
      <c r="D7">
        <v>53792191</v>
      </c>
      <c r="E7">
        <v>1</v>
      </c>
      <c r="F7">
        <v>1</v>
      </c>
      <c r="G7">
        <v>1</v>
      </c>
      <c r="H7">
        <v>2</v>
      </c>
      <c r="I7" t="s">
        <v>291</v>
      </c>
      <c r="J7" t="s">
        <v>292</v>
      </c>
      <c r="K7" t="s">
        <v>293</v>
      </c>
      <c r="L7">
        <v>1367</v>
      </c>
      <c r="N7">
        <v>1011</v>
      </c>
      <c r="O7" t="s">
        <v>294</v>
      </c>
      <c r="P7" t="s">
        <v>294</v>
      </c>
      <c r="Q7">
        <v>1</v>
      </c>
      <c r="X7">
        <v>0.76</v>
      </c>
      <c r="Y7">
        <v>0</v>
      </c>
      <c r="Z7">
        <v>31.26</v>
      </c>
      <c r="AA7">
        <v>13.5</v>
      </c>
      <c r="AB7">
        <v>0</v>
      </c>
      <c r="AC7">
        <v>0</v>
      </c>
      <c r="AD7">
        <v>1</v>
      </c>
      <c r="AE7">
        <v>0</v>
      </c>
      <c r="AF7" t="s">
        <v>41</v>
      </c>
      <c r="AG7">
        <v>0.95</v>
      </c>
      <c r="AH7">
        <v>2</v>
      </c>
      <c r="AI7">
        <v>55723234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ROW(Source!A32)</f>
        <v>32</v>
      </c>
      <c r="B8">
        <v>55723240</v>
      </c>
      <c r="C8">
        <v>55723231</v>
      </c>
      <c r="D8">
        <v>53792927</v>
      </c>
      <c r="E8">
        <v>1</v>
      </c>
      <c r="F8">
        <v>1</v>
      </c>
      <c r="G8">
        <v>1</v>
      </c>
      <c r="H8">
        <v>2</v>
      </c>
      <c r="I8" t="s">
        <v>295</v>
      </c>
      <c r="J8" t="s">
        <v>296</v>
      </c>
      <c r="K8" t="s">
        <v>297</v>
      </c>
      <c r="L8">
        <v>1367</v>
      </c>
      <c r="N8">
        <v>1011</v>
      </c>
      <c r="O8" t="s">
        <v>294</v>
      </c>
      <c r="P8" t="s">
        <v>294</v>
      </c>
      <c r="Q8">
        <v>1</v>
      </c>
      <c r="X8">
        <v>4.58</v>
      </c>
      <c r="Y8">
        <v>0</v>
      </c>
      <c r="Z8">
        <v>65.71</v>
      </c>
      <c r="AA8">
        <v>11.6</v>
      </c>
      <c r="AB8">
        <v>0</v>
      </c>
      <c r="AC8">
        <v>0</v>
      </c>
      <c r="AD8">
        <v>1</v>
      </c>
      <c r="AE8">
        <v>0</v>
      </c>
      <c r="AF8" t="s">
        <v>41</v>
      </c>
      <c r="AG8">
        <v>5.725</v>
      </c>
      <c r="AH8">
        <v>2</v>
      </c>
      <c r="AI8">
        <v>55723235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ROW(Source!A32)</f>
        <v>32</v>
      </c>
      <c r="B9">
        <v>55723241</v>
      </c>
      <c r="C9">
        <v>55723231</v>
      </c>
      <c r="D9">
        <v>53642417</v>
      </c>
      <c r="E9">
        <v>1</v>
      </c>
      <c r="F9">
        <v>1</v>
      </c>
      <c r="G9">
        <v>1</v>
      </c>
      <c r="H9">
        <v>3</v>
      </c>
      <c r="I9" t="s">
        <v>76</v>
      </c>
      <c r="J9" t="s">
        <v>78</v>
      </c>
      <c r="K9" t="s">
        <v>77</v>
      </c>
      <c r="L9">
        <v>1327</v>
      </c>
      <c r="N9">
        <v>1005</v>
      </c>
      <c r="O9" t="s">
        <v>72</v>
      </c>
      <c r="P9" t="s">
        <v>72</v>
      </c>
      <c r="Q9">
        <v>1</v>
      </c>
      <c r="X9">
        <v>103</v>
      </c>
      <c r="Y9">
        <v>51.8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G9">
        <v>103</v>
      </c>
      <c r="AH9">
        <v>2</v>
      </c>
      <c r="AI9">
        <v>55723236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ROW(Source!A33)</f>
        <v>33</v>
      </c>
      <c r="B10">
        <v>55723237</v>
      </c>
      <c r="C10">
        <v>55723231</v>
      </c>
      <c r="D10">
        <v>37822912</v>
      </c>
      <c r="E10">
        <v>70</v>
      </c>
      <c r="F10">
        <v>1</v>
      </c>
      <c r="G10">
        <v>1</v>
      </c>
      <c r="H10">
        <v>1</v>
      </c>
      <c r="I10" t="s">
        <v>287</v>
      </c>
      <c r="K10" t="s">
        <v>288</v>
      </c>
      <c r="L10">
        <v>1191</v>
      </c>
      <c r="N10">
        <v>1013</v>
      </c>
      <c r="O10" t="s">
        <v>286</v>
      </c>
      <c r="P10" t="s">
        <v>286</v>
      </c>
      <c r="Q10">
        <v>1</v>
      </c>
      <c r="X10">
        <v>102.46</v>
      </c>
      <c r="Y10">
        <v>0</v>
      </c>
      <c r="Z10">
        <v>0</v>
      </c>
      <c r="AA10">
        <v>0</v>
      </c>
      <c r="AB10">
        <v>9.4</v>
      </c>
      <c r="AC10">
        <v>0</v>
      </c>
      <c r="AD10">
        <v>1</v>
      </c>
      <c r="AE10">
        <v>1</v>
      </c>
      <c r="AF10" t="s">
        <v>42</v>
      </c>
      <c r="AG10">
        <v>129.6119</v>
      </c>
      <c r="AH10">
        <v>2</v>
      </c>
      <c r="AI10">
        <v>55723232</v>
      </c>
      <c r="AJ10">
        <v>21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ROW(Source!A33)</f>
        <v>33</v>
      </c>
      <c r="B11">
        <v>55723238</v>
      </c>
      <c r="C11">
        <v>55723231</v>
      </c>
      <c r="D11">
        <v>37822850</v>
      </c>
      <c r="E11">
        <v>70</v>
      </c>
      <c r="F11">
        <v>1</v>
      </c>
      <c r="G11">
        <v>1</v>
      </c>
      <c r="H11">
        <v>1</v>
      </c>
      <c r="I11" t="s">
        <v>289</v>
      </c>
      <c r="K11" t="s">
        <v>290</v>
      </c>
      <c r="L11">
        <v>1191</v>
      </c>
      <c r="N11">
        <v>1013</v>
      </c>
      <c r="O11" t="s">
        <v>286</v>
      </c>
      <c r="P11" t="s">
        <v>286</v>
      </c>
      <c r="Q11">
        <v>1</v>
      </c>
      <c r="X11">
        <v>5.34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2</v>
      </c>
      <c r="AF11" t="s">
        <v>41</v>
      </c>
      <c r="AG11">
        <v>6.675</v>
      </c>
      <c r="AH11">
        <v>2</v>
      </c>
      <c r="AI11">
        <v>55723233</v>
      </c>
      <c r="AJ11">
        <v>22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ROW(Source!A33)</f>
        <v>33</v>
      </c>
      <c r="B12">
        <v>55723239</v>
      </c>
      <c r="C12">
        <v>55723231</v>
      </c>
      <c r="D12">
        <v>53792191</v>
      </c>
      <c r="E12">
        <v>1</v>
      </c>
      <c r="F12">
        <v>1</v>
      </c>
      <c r="G12">
        <v>1</v>
      </c>
      <c r="H12">
        <v>2</v>
      </c>
      <c r="I12" t="s">
        <v>291</v>
      </c>
      <c r="J12" t="s">
        <v>292</v>
      </c>
      <c r="K12" t="s">
        <v>293</v>
      </c>
      <c r="L12">
        <v>1367</v>
      </c>
      <c r="N12">
        <v>1011</v>
      </c>
      <c r="O12" t="s">
        <v>294</v>
      </c>
      <c r="P12" t="s">
        <v>294</v>
      </c>
      <c r="Q12">
        <v>1</v>
      </c>
      <c r="X12">
        <v>0.76</v>
      </c>
      <c r="Y12">
        <v>0</v>
      </c>
      <c r="Z12">
        <v>31.26</v>
      </c>
      <c r="AA12">
        <v>13.5</v>
      </c>
      <c r="AB12">
        <v>0</v>
      </c>
      <c r="AC12">
        <v>0</v>
      </c>
      <c r="AD12">
        <v>1</v>
      </c>
      <c r="AE12">
        <v>0</v>
      </c>
      <c r="AF12" t="s">
        <v>41</v>
      </c>
      <c r="AG12">
        <v>0.95</v>
      </c>
      <c r="AH12">
        <v>2</v>
      </c>
      <c r="AI12">
        <v>55723234</v>
      </c>
      <c r="AJ12">
        <v>23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ROW(Source!A33)</f>
        <v>33</v>
      </c>
      <c r="B13">
        <v>55723240</v>
      </c>
      <c r="C13">
        <v>55723231</v>
      </c>
      <c r="D13">
        <v>53792927</v>
      </c>
      <c r="E13">
        <v>1</v>
      </c>
      <c r="F13">
        <v>1</v>
      </c>
      <c r="G13">
        <v>1</v>
      </c>
      <c r="H13">
        <v>2</v>
      </c>
      <c r="I13" t="s">
        <v>295</v>
      </c>
      <c r="J13" t="s">
        <v>296</v>
      </c>
      <c r="K13" t="s">
        <v>297</v>
      </c>
      <c r="L13">
        <v>1367</v>
      </c>
      <c r="N13">
        <v>1011</v>
      </c>
      <c r="O13" t="s">
        <v>294</v>
      </c>
      <c r="P13" t="s">
        <v>294</v>
      </c>
      <c r="Q13">
        <v>1</v>
      </c>
      <c r="X13">
        <v>4.58</v>
      </c>
      <c r="Y13">
        <v>0</v>
      </c>
      <c r="Z13">
        <v>65.71</v>
      </c>
      <c r="AA13">
        <v>11.6</v>
      </c>
      <c r="AB13">
        <v>0</v>
      </c>
      <c r="AC13">
        <v>0</v>
      </c>
      <c r="AD13">
        <v>1</v>
      </c>
      <c r="AE13">
        <v>0</v>
      </c>
      <c r="AF13" t="s">
        <v>41</v>
      </c>
      <c r="AG13">
        <v>5.725</v>
      </c>
      <c r="AH13">
        <v>2</v>
      </c>
      <c r="AI13">
        <v>55723235</v>
      </c>
      <c r="AJ13">
        <v>24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ROW(Source!A33)</f>
        <v>33</v>
      </c>
      <c r="B14">
        <v>55723241</v>
      </c>
      <c r="C14">
        <v>55723231</v>
      </c>
      <c r="D14">
        <v>53642417</v>
      </c>
      <c r="E14">
        <v>1</v>
      </c>
      <c r="F14">
        <v>1</v>
      </c>
      <c r="G14">
        <v>1</v>
      </c>
      <c r="H14">
        <v>3</v>
      </c>
      <c r="I14" t="s">
        <v>76</v>
      </c>
      <c r="J14" t="s">
        <v>78</v>
      </c>
      <c r="K14" t="s">
        <v>77</v>
      </c>
      <c r="L14">
        <v>1327</v>
      </c>
      <c r="N14">
        <v>1005</v>
      </c>
      <c r="O14" t="s">
        <v>72</v>
      </c>
      <c r="P14" t="s">
        <v>72</v>
      </c>
      <c r="Q14">
        <v>1</v>
      </c>
      <c r="X14">
        <v>103</v>
      </c>
      <c r="Y14">
        <v>51.8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G14">
        <v>103</v>
      </c>
      <c r="AH14">
        <v>2</v>
      </c>
      <c r="AI14">
        <v>55723236</v>
      </c>
      <c r="AJ14">
        <v>25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ROW(Source!A58)</f>
        <v>58</v>
      </c>
      <c r="B15">
        <v>55723249</v>
      </c>
      <c r="C15">
        <v>55723242</v>
      </c>
      <c r="D15">
        <v>37822902</v>
      </c>
      <c r="E15">
        <v>1</v>
      </c>
      <c r="F15">
        <v>1</v>
      </c>
      <c r="G15">
        <v>1</v>
      </c>
      <c r="H15">
        <v>1</v>
      </c>
      <c r="I15" t="s">
        <v>298</v>
      </c>
      <c r="K15" t="s">
        <v>299</v>
      </c>
      <c r="L15">
        <v>1191</v>
      </c>
      <c r="N15">
        <v>1013</v>
      </c>
      <c r="O15" t="s">
        <v>286</v>
      </c>
      <c r="P15" t="s">
        <v>286</v>
      </c>
      <c r="Q15">
        <v>1</v>
      </c>
      <c r="X15">
        <v>203.07</v>
      </c>
      <c r="Y15">
        <v>0</v>
      </c>
      <c r="Z15">
        <v>0</v>
      </c>
      <c r="AA15">
        <v>0</v>
      </c>
      <c r="AB15">
        <v>8.86</v>
      </c>
      <c r="AC15">
        <v>0</v>
      </c>
      <c r="AD15">
        <v>1</v>
      </c>
      <c r="AE15">
        <v>1</v>
      </c>
      <c r="AG15">
        <v>203.07</v>
      </c>
      <c r="AH15">
        <v>2</v>
      </c>
      <c r="AI15">
        <v>55723243</v>
      </c>
      <c r="AJ15">
        <v>37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ROW(Source!A58)</f>
        <v>58</v>
      </c>
      <c r="B16">
        <v>55723250</v>
      </c>
      <c r="C16">
        <v>55723242</v>
      </c>
      <c r="D16">
        <v>37822850</v>
      </c>
      <c r="E16">
        <v>1</v>
      </c>
      <c r="F16">
        <v>1</v>
      </c>
      <c r="G16">
        <v>1</v>
      </c>
      <c r="H16">
        <v>1</v>
      </c>
      <c r="I16" t="s">
        <v>289</v>
      </c>
      <c r="K16" t="s">
        <v>290</v>
      </c>
      <c r="L16">
        <v>1191</v>
      </c>
      <c r="N16">
        <v>1013</v>
      </c>
      <c r="O16" t="s">
        <v>286</v>
      </c>
      <c r="P16" t="s">
        <v>286</v>
      </c>
      <c r="Q16">
        <v>1</v>
      </c>
      <c r="X16">
        <v>0.67</v>
      </c>
      <c r="Y16">
        <v>0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2</v>
      </c>
      <c r="AG16">
        <v>0.67</v>
      </c>
      <c r="AH16">
        <v>2</v>
      </c>
      <c r="AI16">
        <v>55723244</v>
      </c>
      <c r="AJ16">
        <v>38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ROW(Source!A58)</f>
        <v>58</v>
      </c>
      <c r="B17">
        <v>55723251</v>
      </c>
      <c r="C17">
        <v>55723242</v>
      </c>
      <c r="D17">
        <v>37909710</v>
      </c>
      <c r="E17">
        <v>1</v>
      </c>
      <c r="F17">
        <v>1</v>
      </c>
      <c r="G17">
        <v>1</v>
      </c>
      <c r="H17">
        <v>2</v>
      </c>
      <c r="I17" t="s">
        <v>291</v>
      </c>
      <c r="J17" t="s">
        <v>300</v>
      </c>
      <c r="K17" t="s">
        <v>293</v>
      </c>
      <c r="L17">
        <v>1368</v>
      </c>
      <c r="N17">
        <v>1011</v>
      </c>
      <c r="O17" t="s">
        <v>301</v>
      </c>
      <c r="P17" t="s">
        <v>301</v>
      </c>
      <c r="Q17">
        <v>1</v>
      </c>
      <c r="X17">
        <v>0.67</v>
      </c>
      <c r="Y17">
        <v>0</v>
      </c>
      <c r="Z17">
        <v>31.26</v>
      </c>
      <c r="AA17">
        <v>13.5</v>
      </c>
      <c r="AB17">
        <v>0</v>
      </c>
      <c r="AC17">
        <v>0</v>
      </c>
      <c r="AD17">
        <v>1</v>
      </c>
      <c r="AE17">
        <v>0</v>
      </c>
      <c r="AG17">
        <v>0.67</v>
      </c>
      <c r="AH17">
        <v>2</v>
      </c>
      <c r="AI17">
        <v>55723245</v>
      </c>
      <c r="AJ17">
        <v>39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ROW(Source!A58)</f>
        <v>58</v>
      </c>
      <c r="B18">
        <v>55723252</v>
      </c>
      <c r="C18">
        <v>55723242</v>
      </c>
      <c r="D18">
        <v>37828873</v>
      </c>
      <c r="E18">
        <v>1</v>
      </c>
      <c r="F18">
        <v>1</v>
      </c>
      <c r="G18">
        <v>1</v>
      </c>
      <c r="H18">
        <v>3</v>
      </c>
      <c r="I18" t="s">
        <v>302</v>
      </c>
      <c r="J18" t="s">
        <v>303</v>
      </c>
      <c r="K18" t="s">
        <v>304</v>
      </c>
      <c r="L18">
        <v>1339</v>
      </c>
      <c r="N18">
        <v>1007</v>
      </c>
      <c r="O18" t="s">
        <v>305</v>
      </c>
      <c r="P18" t="s">
        <v>305</v>
      </c>
      <c r="Q18">
        <v>1</v>
      </c>
      <c r="X18">
        <v>0.35</v>
      </c>
      <c r="Y18">
        <v>2.44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G18">
        <v>0.35</v>
      </c>
      <c r="AH18">
        <v>2</v>
      </c>
      <c r="AI18">
        <v>55723246</v>
      </c>
      <c r="AJ18">
        <v>40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ROW(Source!A58)</f>
        <v>58</v>
      </c>
      <c r="B19">
        <v>55723253</v>
      </c>
      <c r="C19">
        <v>55723242</v>
      </c>
      <c r="D19">
        <v>37826155</v>
      </c>
      <c r="E19">
        <v>17</v>
      </c>
      <c r="F19">
        <v>1</v>
      </c>
      <c r="G19">
        <v>1</v>
      </c>
      <c r="H19">
        <v>3</v>
      </c>
      <c r="I19" t="s">
        <v>89</v>
      </c>
      <c r="K19" t="s">
        <v>90</v>
      </c>
      <c r="L19">
        <v>1348</v>
      </c>
      <c r="N19">
        <v>1009</v>
      </c>
      <c r="O19" t="s">
        <v>36</v>
      </c>
      <c r="P19" t="s">
        <v>36</v>
      </c>
      <c r="Q19">
        <v>1000</v>
      </c>
      <c r="X19">
        <v>3.38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G19">
        <v>3.38</v>
      </c>
      <c r="AH19">
        <v>2</v>
      </c>
      <c r="AI19">
        <v>55723247</v>
      </c>
      <c r="AJ19">
        <v>41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ROW(Source!A58)</f>
        <v>58</v>
      </c>
      <c r="B20">
        <v>55723254</v>
      </c>
      <c r="C20">
        <v>55723242</v>
      </c>
      <c r="D20">
        <v>37834409</v>
      </c>
      <c r="E20">
        <v>1</v>
      </c>
      <c r="F20">
        <v>1</v>
      </c>
      <c r="G20">
        <v>1</v>
      </c>
      <c r="H20">
        <v>3</v>
      </c>
      <c r="I20" t="s">
        <v>306</v>
      </c>
      <c r="J20" t="s">
        <v>307</v>
      </c>
      <c r="K20" t="s">
        <v>308</v>
      </c>
      <c r="L20">
        <v>1339</v>
      </c>
      <c r="N20">
        <v>1007</v>
      </c>
      <c r="O20" t="s">
        <v>305</v>
      </c>
      <c r="P20" t="s">
        <v>305</v>
      </c>
      <c r="Q20">
        <v>1</v>
      </c>
      <c r="X20">
        <v>2.2</v>
      </c>
      <c r="Y20">
        <v>510.4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G20">
        <v>2.2</v>
      </c>
      <c r="AH20">
        <v>2</v>
      </c>
      <c r="AI20">
        <v>55723248</v>
      </c>
      <c r="AJ20">
        <v>42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ROW(Source!A59)</f>
        <v>59</v>
      </c>
      <c r="B21">
        <v>55723249</v>
      </c>
      <c r="C21">
        <v>55723242</v>
      </c>
      <c r="D21">
        <v>37822902</v>
      </c>
      <c r="E21">
        <v>1</v>
      </c>
      <c r="F21">
        <v>1</v>
      </c>
      <c r="G21">
        <v>1</v>
      </c>
      <c r="H21">
        <v>1</v>
      </c>
      <c r="I21" t="s">
        <v>298</v>
      </c>
      <c r="K21" t="s">
        <v>299</v>
      </c>
      <c r="L21">
        <v>1191</v>
      </c>
      <c r="N21">
        <v>1013</v>
      </c>
      <c r="O21" t="s">
        <v>286</v>
      </c>
      <c r="P21" t="s">
        <v>286</v>
      </c>
      <c r="Q21">
        <v>1</v>
      </c>
      <c r="X21">
        <v>203.07</v>
      </c>
      <c r="Y21">
        <v>0</v>
      </c>
      <c r="Z21">
        <v>0</v>
      </c>
      <c r="AA21">
        <v>0</v>
      </c>
      <c r="AB21">
        <v>8.86</v>
      </c>
      <c r="AC21">
        <v>0</v>
      </c>
      <c r="AD21">
        <v>1</v>
      </c>
      <c r="AE21">
        <v>1</v>
      </c>
      <c r="AG21">
        <v>203.07</v>
      </c>
      <c r="AH21">
        <v>2</v>
      </c>
      <c r="AI21">
        <v>55723243</v>
      </c>
      <c r="AJ21">
        <v>43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ROW(Source!A59)</f>
        <v>59</v>
      </c>
      <c r="B22">
        <v>55723250</v>
      </c>
      <c r="C22">
        <v>55723242</v>
      </c>
      <c r="D22">
        <v>37822850</v>
      </c>
      <c r="E22">
        <v>1</v>
      </c>
      <c r="F22">
        <v>1</v>
      </c>
      <c r="G22">
        <v>1</v>
      </c>
      <c r="H22">
        <v>1</v>
      </c>
      <c r="I22" t="s">
        <v>289</v>
      </c>
      <c r="K22" t="s">
        <v>290</v>
      </c>
      <c r="L22">
        <v>1191</v>
      </c>
      <c r="N22">
        <v>1013</v>
      </c>
      <c r="O22" t="s">
        <v>286</v>
      </c>
      <c r="P22" t="s">
        <v>286</v>
      </c>
      <c r="Q22">
        <v>1</v>
      </c>
      <c r="X22">
        <v>0.67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2</v>
      </c>
      <c r="AG22">
        <v>0.67</v>
      </c>
      <c r="AH22">
        <v>2</v>
      </c>
      <c r="AI22">
        <v>55723244</v>
      </c>
      <c r="AJ22">
        <v>44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ROW(Source!A59)</f>
        <v>59</v>
      </c>
      <c r="B23">
        <v>55723251</v>
      </c>
      <c r="C23">
        <v>55723242</v>
      </c>
      <c r="D23">
        <v>37909710</v>
      </c>
      <c r="E23">
        <v>1</v>
      </c>
      <c r="F23">
        <v>1</v>
      </c>
      <c r="G23">
        <v>1</v>
      </c>
      <c r="H23">
        <v>2</v>
      </c>
      <c r="I23" t="s">
        <v>291</v>
      </c>
      <c r="J23" t="s">
        <v>300</v>
      </c>
      <c r="K23" t="s">
        <v>293</v>
      </c>
      <c r="L23">
        <v>1368</v>
      </c>
      <c r="N23">
        <v>1011</v>
      </c>
      <c r="O23" t="s">
        <v>301</v>
      </c>
      <c r="P23" t="s">
        <v>301</v>
      </c>
      <c r="Q23">
        <v>1</v>
      </c>
      <c r="X23">
        <v>0.67</v>
      </c>
      <c r="Y23">
        <v>0</v>
      </c>
      <c r="Z23">
        <v>31.26</v>
      </c>
      <c r="AA23">
        <v>13.5</v>
      </c>
      <c r="AB23">
        <v>0</v>
      </c>
      <c r="AC23">
        <v>0</v>
      </c>
      <c r="AD23">
        <v>1</v>
      </c>
      <c r="AE23">
        <v>0</v>
      </c>
      <c r="AG23">
        <v>0.67</v>
      </c>
      <c r="AH23">
        <v>2</v>
      </c>
      <c r="AI23">
        <v>55723245</v>
      </c>
      <c r="AJ23">
        <v>45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ROW(Source!A59)</f>
        <v>59</v>
      </c>
      <c r="B24">
        <v>55723252</v>
      </c>
      <c r="C24">
        <v>55723242</v>
      </c>
      <c r="D24">
        <v>37828873</v>
      </c>
      <c r="E24">
        <v>1</v>
      </c>
      <c r="F24">
        <v>1</v>
      </c>
      <c r="G24">
        <v>1</v>
      </c>
      <c r="H24">
        <v>3</v>
      </c>
      <c r="I24" t="s">
        <v>302</v>
      </c>
      <c r="J24" t="s">
        <v>303</v>
      </c>
      <c r="K24" t="s">
        <v>304</v>
      </c>
      <c r="L24">
        <v>1339</v>
      </c>
      <c r="N24">
        <v>1007</v>
      </c>
      <c r="O24" t="s">
        <v>305</v>
      </c>
      <c r="P24" t="s">
        <v>305</v>
      </c>
      <c r="Q24">
        <v>1</v>
      </c>
      <c r="X24">
        <v>0.35</v>
      </c>
      <c r="Y24">
        <v>2.44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G24">
        <v>0.35</v>
      </c>
      <c r="AH24">
        <v>2</v>
      </c>
      <c r="AI24">
        <v>55723246</v>
      </c>
      <c r="AJ24">
        <v>46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ROW(Source!A59)</f>
        <v>59</v>
      </c>
      <c r="B25">
        <v>55723253</v>
      </c>
      <c r="C25">
        <v>55723242</v>
      </c>
      <c r="D25">
        <v>37826155</v>
      </c>
      <c r="E25">
        <v>17</v>
      </c>
      <c r="F25">
        <v>1</v>
      </c>
      <c r="G25">
        <v>1</v>
      </c>
      <c r="H25">
        <v>3</v>
      </c>
      <c r="I25" t="s">
        <v>89</v>
      </c>
      <c r="K25" t="s">
        <v>90</v>
      </c>
      <c r="L25">
        <v>1348</v>
      </c>
      <c r="N25">
        <v>1009</v>
      </c>
      <c r="O25" t="s">
        <v>36</v>
      </c>
      <c r="P25" t="s">
        <v>36</v>
      </c>
      <c r="Q25">
        <v>1000</v>
      </c>
      <c r="X25">
        <v>3.38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G25">
        <v>3.38</v>
      </c>
      <c r="AH25">
        <v>2</v>
      </c>
      <c r="AI25">
        <v>55723247</v>
      </c>
      <c r="AJ25">
        <v>47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ROW(Source!A59)</f>
        <v>59</v>
      </c>
      <c r="B26">
        <v>55723254</v>
      </c>
      <c r="C26">
        <v>55723242</v>
      </c>
      <c r="D26">
        <v>37834409</v>
      </c>
      <c r="E26">
        <v>1</v>
      </c>
      <c r="F26">
        <v>1</v>
      </c>
      <c r="G26">
        <v>1</v>
      </c>
      <c r="H26">
        <v>3</v>
      </c>
      <c r="I26" t="s">
        <v>306</v>
      </c>
      <c r="J26" t="s">
        <v>307</v>
      </c>
      <c r="K26" t="s">
        <v>308</v>
      </c>
      <c r="L26">
        <v>1339</v>
      </c>
      <c r="N26">
        <v>1007</v>
      </c>
      <c r="O26" t="s">
        <v>305</v>
      </c>
      <c r="P26" t="s">
        <v>305</v>
      </c>
      <c r="Q26">
        <v>1</v>
      </c>
      <c r="X26">
        <v>2.2</v>
      </c>
      <c r="Y26">
        <v>510.4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G26">
        <v>2.2</v>
      </c>
      <c r="AH26">
        <v>2</v>
      </c>
      <c r="AI26">
        <v>55723248</v>
      </c>
      <c r="AJ26">
        <v>48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ROW(Source!A62)</f>
        <v>62</v>
      </c>
      <c r="B27">
        <v>55723374</v>
      </c>
      <c r="C27">
        <v>55723373</v>
      </c>
      <c r="D27">
        <v>53630075</v>
      </c>
      <c r="E27">
        <v>70</v>
      </c>
      <c r="F27">
        <v>1</v>
      </c>
      <c r="G27">
        <v>1</v>
      </c>
      <c r="H27">
        <v>1</v>
      </c>
      <c r="I27" t="s">
        <v>309</v>
      </c>
      <c r="K27" t="s">
        <v>310</v>
      </c>
      <c r="L27">
        <v>1191</v>
      </c>
      <c r="N27">
        <v>1013</v>
      </c>
      <c r="O27" t="s">
        <v>286</v>
      </c>
      <c r="P27" t="s">
        <v>286</v>
      </c>
      <c r="Q27">
        <v>1</v>
      </c>
      <c r="X27">
        <v>39</v>
      </c>
      <c r="Y27">
        <v>0</v>
      </c>
      <c r="Z27">
        <v>0</v>
      </c>
      <c r="AA27">
        <v>0</v>
      </c>
      <c r="AB27">
        <v>8.97</v>
      </c>
      <c r="AC27">
        <v>0</v>
      </c>
      <c r="AD27">
        <v>1</v>
      </c>
      <c r="AE27">
        <v>1</v>
      </c>
      <c r="AF27" t="s">
        <v>95</v>
      </c>
      <c r="AG27">
        <v>44.849999999999994</v>
      </c>
      <c r="AH27">
        <v>2</v>
      </c>
      <c r="AI27">
        <v>55723374</v>
      </c>
      <c r="AJ27">
        <v>49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ROW(Source!A62)</f>
        <v>62</v>
      </c>
      <c r="B28">
        <v>55723375</v>
      </c>
      <c r="C28">
        <v>55723373</v>
      </c>
      <c r="D28">
        <v>53630257</v>
      </c>
      <c r="E28">
        <v>70</v>
      </c>
      <c r="F28">
        <v>1</v>
      </c>
      <c r="G28">
        <v>1</v>
      </c>
      <c r="H28">
        <v>1</v>
      </c>
      <c r="I28" t="s">
        <v>289</v>
      </c>
      <c r="K28" t="s">
        <v>290</v>
      </c>
      <c r="L28">
        <v>1191</v>
      </c>
      <c r="N28">
        <v>1013</v>
      </c>
      <c r="O28" t="s">
        <v>286</v>
      </c>
      <c r="P28" t="s">
        <v>286</v>
      </c>
      <c r="Q28">
        <v>1</v>
      </c>
      <c r="X28">
        <v>0.17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2</v>
      </c>
      <c r="AF28" t="s">
        <v>41</v>
      </c>
      <c r="AG28">
        <v>0.21250000000000002</v>
      </c>
      <c r="AH28">
        <v>2</v>
      </c>
      <c r="AI28">
        <v>55723375</v>
      </c>
      <c r="AJ28">
        <v>50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ROW(Source!A62)</f>
        <v>62</v>
      </c>
      <c r="B29">
        <v>55723376</v>
      </c>
      <c r="C29">
        <v>55723373</v>
      </c>
      <c r="D29">
        <v>53792191</v>
      </c>
      <c r="E29">
        <v>1</v>
      </c>
      <c r="F29">
        <v>1</v>
      </c>
      <c r="G29">
        <v>1</v>
      </c>
      <c r="H29">
        <v>2</v>
      </c>
      <c r="I29" t="s">
        <v>291</v>
      </c>
      <c r="J29" t="s">
        <v>292</v>
      </c>
      <c r="K29" t="s">
        <v>293</v>
      </c>
      <c r="L29">
        <v>1367</v>
      </c>
      <c r="N29">
        <v>1011</v>
      </c>
      <c r="O29" t="s">
        <v>294</v>
      </c>
      <c r="P29" t="s">
        <v>294</v>
      </c>
      <c r="Q29">
        <v>1</v>
      </c>
      <c r="X29">
        <v>0.02</v>
      </c>
      <c r="Y29">
        <v>0</v>
      </c>
      <c r="Z29">
        <v>31.26</v>
      </c>
      <c r="AA29">
        <v>13.5</v>
      </c>
      <c r="AB29">
        <v>0</v>
      </c>
      <c r="AC29">
        <v>0</v>
      </c>
      <c r="AD29">
        <v>1</v>
      </c>
      <c r="AE29">
        <v>0</v>
      </c>
      <c r="AF29" t="s">
        <v>41</v>
      </c>
      <c r="AG29">
        <v>0.025</v>
      </c>
      <c r="AH29">
        <v>2</v>
      </c>
      <c r="AI29">
        <v>55723376</v>
      </c>
      <c r="AJ29">
        <v>51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ROW(Source!A62)</f>
        <v>62</v>
      </c>
      <c r="B30">
        <v>55723377</v>
      </c>
      <c r="C30">
        <v>55723373</v>
      </c>
      <c r="D30">
        <v>53792927</v>
      </c>
      <c r="E30">
        <v>1</v>
      </c>
      <c r="F30">
        <v>1</v>
      </c>
      <c r="G30">
        <v>1</v>
      </c>
      <c r="H30">
        <v>2</v>
      </c>
      <c r="I30" t="s">
        <v>295</v>
      </c>
      <c r="J30" t="s">
        <v>296</v>
      </c>
      <c r="K30" t="s">
        <v>297</v>
      </c>
      <c r="L30">
        <v>1367</v>
      </c>
      <c r="N30">
        <v>1011</v>
      </c>
      <c r="O30" t="s">
        <v>294</v>
      </c>
      <c r="P30" t="s">
        <v>294</v>
      </c>
      <c r="Q30">
        <v>1</v>
      </c>
      <c r="X30">
        <v>0.15</v>
      </c>
      <c r="Y30">
        <v>0</v>
      </c>
      <c r="Z30">
        <v>65.71</v>
      </c>
      <c r="AA30">
        <v>11.6</v>
      </c>
      <c r="AB30">
        <v>0</v>
      </c>
      <c r="AC30">
        <v>0</v>
      </c>
      <c r="AD30">
        <v>1</v>
      </c>
      <c r="AE30">
        <v>0</v>
      </c>
      <c r="AF30" t="s">
        <v>41</v>
      </c>
      <c r="AG30">
        <v>0.1875</v>
      </c>
      <c r="AH30">
        <v>2</v>
      </c>
      <c r="AI30">
        <v>55723377</v>
      </c>
      <c r="AJ30">
        <v>52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ROW(Source!A62)</f>
        <v>62</v>
      </c>
      <c r="B31">
        <v>55723378</v>
      </c>
      <c r="C31">
        <v>55723373</v>
      </c>
      <c r="D31">
        <v>53645683</v>
      </c>
      <c r="E31">
        <v>1</v>
      </c>
      <c r="F31">
        <v>1</v>
      </c>
      <c r="G31">
        <v>1</v>
      </c>
      <c r="H31">
        <v>3</v>
      </c>
      <c r="I31" t="s">
        <v>311</v>
      </c>
      <c r="J31" t="s">
        <v>312</v>
      </c>
      <c r="K31" t="s">
        <v>313</v>
      </c>
      <c r="L31">
        <v>1327</v>
      </c>
      <c r="N31">
        <v>1005</v>
      </c>
      <c r="O31" t="s">
        <v>72</v>
      </c>
      <c r="P31" t="s">
        <v>72</v>
      </c>
      <c r="Q31">
        <v>1</v>
      </c>
      <c r="X31">
        <v>0.84</v>
      </c>
      <c r="Y31">
        <v>72.32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G31">
        <v>0.84</v>
      </c>
      <c r="AH31">
        <v>2</v>
      </c>
      <c r="AI31">
        <v>55723378</v>
      </c>
      <c r="AJ31">
        <v>53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ROW(Source!A62)</f>
        <v>62</v>
      </c>
      <c r="B32">
        <v>55723379</v>
      </c>
      <c r="C32">
        <v>55723373</v>
      </c>
      <c r="D32">
        <v>53646032</v>
      </c>
      <c r="E32">
        <v>1</v>
      </c>
      <c r="F32">
        <v>1</v>
      </c>
      <c r="G32">
        <v>1</v>
      </c>
      <c r="H32">
        <v>3</v>
      </c>
      <c r="I32" t="s">
        <v>314</v>
      </c>
      <c r="J32" t="s">
        <v>315</v>
      </c>
      <c r="K32" t="s">
        <v>316</v>
      </c>
      <c r="L32">
        <v>1346</v>
      </c>
      <c r="N32">
        <v>1009</v>
      </c>
      <c r="O32" t="s">
        <v>317</v>
      </c>
      <c r="P32" t="s">
        <v>317</v>
      </c>
      <c r="Q32">
        <v>1</v>
      </c>
      <c r="X32">
        <v>0.31</v>
      </c>
      <c r="Y32">
        <v>1.82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G32">
        <v>0.31</v>
      </c>
      <c r="AH32">
        <v>2</v>
      </c>
      <c r="AI32">
        <v>55723379</v>
      </c>
      <c r="AJ32">
        <v>54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ROW(Source!A62)</f>
        <v>62</v>
      </c>
      <c r="B33">
        <v>55723380</v>
      </c>
      <c r="C33">
        <v>55723373</v>
      </c>
      <c r="D33">
        <v>53633255</v>
      </c>
      <c r="E33">
        <v>70</v>
      </c>
      <c r="F33">
        <v>1</v>
      </c>
      <c r="G33">
        <v>1</v>
      </c>
      <c r="H33">
        <v>3</v>
      </c>
      <c r="I33" t="s">
        <v>351</v>
      </c>
      <c r="K33" t="s">
        <v>352</v>
      </c>
      <c r="L33">
        <v>1348</v>
      </c>
      <c r="N33">
        <v>1009</v>
      </c>
      <c r="O33" t="s">
        <v>36</v>
      </c>
      <c r="P33" t="s">
        <v>36</v>
      </c>
      <c r="Q33">
        <v>1000</v>
      </c>
      <c r="X33">
        <v>0.063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G33">
        <v>0.063</v>
      </c>
      <c r="AH33">
        <v>3</v>
      </c>
      <c r="AI33">
        <v>-1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ROW(Source!A62)</f>
        <v>62</v>
      </c>
      <c r="B34">
        <v>55723381</v>
      </c>
      <c r="C34">
        <v>55723373</v>
      </c>
      <c r="D34">
        <v>53674846</v>
      </c>
      <c r="E34">
        <v>1</v>
      </c>
      <c r="F34">
        <v>1</v>
      </c>
      <c r="G34">
        <v>1</v>
      </c>
      <c r="H34">
        <v>3</v>
      </c>
      <c r="I34" t="s">
        <v>318</v>
      </c>
      <c r="J34" t="s">
        <v>319</v>
      </c>
      <c r="K34" t="s">
        <v>320</v>
      </c>
      <c r="L34">
        <v>1348</v>
      </c>
      <c r="N34">
        <v>1009</v>
      </c>
      <c r="O34" t="s">
        <v>36</v>
      </c>
      <c r="P34" t="s">
        <v>36</v>
      </c>
      <c r="Q34">
        <v>1000</v>
      </c>
      <c r="X34">
        <v>0.051</v>
      </c>
      <c r="Y34">
        <v>4294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G34">
        <v>0.051</v>
      </c>
      <c r="AH34">
        <v>2</v>
      </c>
      <c r="AI34">
        <v>55723381</v>
      </c>
      <c r="AJ34">
        <v>56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ROW(Source!A63)</f>
        <v>63</v>
      </c>
      <c r="B35">
        <v>55723374</v>
      </c>
      <c r="C35">
        <v>55723373</v>
      </c>
      <c r="D35">
        <v>53630075</v>
      </c>
      <c r="E35">
        <v>70</v>
      </c>
      <c r="F35">
        <v>1</v>
      </c>
      <c r="G35">
        <v>1</v>
      </c>
      <c r="H35">
        <v>1</v>
      </c>
      <c r="I35" t="s">
        <v>309</v>
      </c>
      <c r="K35" t="s">
        <v>310</v>
      </c>
      <c r="L35">
        <v>1191</v>
      </c>
      <c r="N35">
        <v>1013</v>
      </c>
      <c r="O35" t="s">
        <v>286</v>
      </c>
      <c r="P35" t="s">
        <v>286</v>
      </c>
      <c r="Q35">
        <v>1</v>
      </c>
      <c r="X35">
        <v>39</v>
      </c>
      <c r="Y35">
        <v>0</v>
      </c>
      <c r="Z35">
        <v>0</v>
      </c>
      <c r="AA35">
        <v>0</v>
      </c>
      <c r="AB35">
        <v>8.97</v>
      </c>
      <c r="AC35">
        <v>0</v>
      </c>
      <c r="AD35">
        <v>1</v>
      </c>
      <c r="AE35">
        <v>1</v>
      </c>
      <c r="AF35" t="s">
        <v>95</v>
      </c>
      <c r="AG35">
        <v>44.849999999999994</v>
      </c>
      <c r="AH35">
        <v>2</v>
      </c>
      <c r="AI35">
        <v>55723374</v>
      </c>
      <c r="AJ35">
        <v>57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ROW(Source!A63)</f>
        <v>63</v>
      </c>
      <c r="B36">
        <v>55723375</v>
      </c>
      <c r="C36">
        <v>55723373</v>
      </c>
      <c r="D36">
        <v>53630257</v>
      </c>
      <c r="E36">
        <v>70</v>
      </c>
      <c r="F36">
        <v>1</v>
      </c>
      <c r="G36">
        <v>1</v>
      </c>
      <c r="H36">
        <v>1</v>
      </c>
      <c r="I36" t="s">
        <v>289</v>
      </c>
      <c r="K36" t="s">
        <v>290</v>
      </c>
      <c r="L36">
        <v>1191</v>
      </c>
      <c r="N36">
        <v>1013</v>
      </c>
      <c r="O36" t="s">
        <v>286</v>
      </c>
      <c r="P36" t="s">
        <v>286</v>
      </c>
      <c r="Q36">
        <v>1</v>
      </c>
      <c r="X36">
        <v>0.17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2</v>
      </c>
      <c r="AF36" t="s">
        <v>41</v>
      </c>
      <c r="AG36">
        <v>0.21250000000000002</v>
      </c>
      <c r="AH36">
        <v>2</v>
      </c>
      <c r="AI36">
        <v>55723375</v>
      </c>
      <c r="AJ36">
        <v>58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ROW(Source!A63)</f>
        <v>63</v>
      </c>
      <c r="B37">
        <v>55723376</v>
      </c>
      <c r="C37">
        <v>55723373</v>
      </c>
      <c r="D37">
        <v>53792191</v>
      </c>
      <c r="E37">
        <v>1</v>
      </c>
      <c r="F37">
        <v>1</v>
      </c>
      <c r="G37">
        <v>1</v>
      </c>
      <c r="H37">
        <v>2</v>
      </c>
      <c r="I37" t="s">
        <v>291</v>
      </c>
      <c r="J37" t="s">
        <v>292</v>
      </c>
      <c r="K37" t="s">
        <v>293</v>
      </c>
      <c r="L37">
        <v>1367</v>
      </c>
      <c r="N37">
        <v>1011</v>
      </c>
      <c r="O37" t="s">
        <v>294</v>
      </c>
      <c r="P37" t="s">
        <v>294</v>
      </c>
      <c r="Q37">
        <v>1</v>
      </c>
      <c r="X37">
        <v>0.02</v>
      </c>
      <c r="Y37">
        <v>0</v>
      </c>
      <c r="Z37">
        <v>31.26</v>
      </c>
      <c r="AA37">
        <v>13.5</v>
      </c>
      <c r="AB37">
        <v>0</v>
      </c>
      <c r="AC37">
        <v>0</v>
      </c>
      <c r="AD37">
        <v>1</v>
      </c>
      <c r="AE37">
        <v>0</v>
      </c>
      <c r="AF37" t="s">
        <v>41</v>
      </c>
      <c r="AG37">
        <v>0.025</v>
      </c>
      <c r="AH37">
        <v>2</v>
      </c>
      <c r="AI37">
        <v>55723376</v>
      </c>
      <c r="AJ37">
        <v>59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ROW(Source!A63)</f>
        <v>63</v>
      </c>
      <c r="B38">
        <v>55723377</v>
      </c>
      <c r="C38">
        <v>55723373</v>
      </c>
      <c r="D38">
        <v>53792927</v>
      </c>
      <c r="E38">
        <v>1</v>
      </c>
      <c r="F38">
        <v>1</v>
      </c>
      <c r="G38">
        <v>1</v>
      </c>
      <c r="H38">
        <v>2</v>
      </c>
      <c r="I38" t="s">
        <v>295</v>
      </c>
      <c r="J38" t="s">
        <v>296</v>
      </c>
      <c r="K38" t="s">
        <v>297</v>
      </c>
      <c r="L38">
        <v>1367</v>
      </c>
      <c r="N38">
        <v>1011</v>
      </c>
      <c r="O38" t="s">
        <v>294</v>
      </c>
      <c r="P38" t="s">
        <v>294</v>
      </c>
      <c r="Q38">
        <v>1</v>
      </c>
      <c r="X38">
        <v>0.15</v>
      </c>
      <c r="Y38">
        <v>0</v>
      </c>
      <c r="Z38">
        <v>65.71</v>
      </c>
      <c r="AA38">
        <v>11.6</v>
      </c>
      <c r="AB38">
        <v>0</v>
      </c>
      <c r="AC38">
        <v>0</v>
      </c>
      <c r="AD38">
        <v>1</v>
      </c>
      <c r="AE38">
        <v>0</v>
      </c>
      <c r="AF38" t="s">
        <v>41</v>
      </c>
      <c r="AG38">
        <v>0.1875</v>
      </c>
      <c r="AH38">
        <v>2</v>
      </c>
      <c r="AI38">
        <v>55723377</v>
      </c>
      <c r="AJ38">
        <v>60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ROW(Source!A63)</f>
        <v>63</v>
      </c>
      <c r="B39">
        <v>55723378</v>
      </c>
      <c r="C39">
        <v>55723373</v>
      </c>
      <c r="D39">
        <v>53645683</v>
      </c>
      <c r="E39">
        <v>1</v>
      </c>
      <c r="F39">
        <v>1</v>
      </c>
      <c r="G39">
        <v>1</v>
      </c>
      <c r="H39">
        <v>3</v>
      </c>
      <c r="I39" t="s">
        <v>311</v>
      </c>
      <c r="J39" t="s">
        <v>312</v>
      </c>
      <c r="K39" t="s">
        <v>313</v>
      </c>
      <c r="L39">
        <v>1327</v>
      </c>
      <c r="N39">
        <v>1005</v>
      </c>
      <c r="O39" t="s">
        <v>72</v>
      </c>
      <c r="P39" t="s">
        <v>72</v>
      </c>
      <c r="Q39">
        <v>1</v>
      </c>
      <c r="X39">
        <v>0.84</v>
      </c>
      <c r="Y39">
        <v>72.32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G39">
        <v>0.84</v>
      </c>
      <c r="AH39">
        <v>2</v>
      </c>
      <c r="AI39">
        <v>55723378</v>
      </c>
      <c r="AJ39">
        <v>61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ROW(Source!A63)</f>
        <v>63</v>
      </c>
      <c r="B40">
        <v>55723379</v>
      </c>
      <c r="C40">
        <v>55723373</v>
      </c>
      <c r="D40">
        <v>53646032</v>
      </c>
      <c r="E40">
        <v>1</v>
      </c>
      <c r="F40">
        <v>1</v>
      </c>
      <c r="G40">
        <v>1</v>
      </c>
      <c r="H40">
        <v>3</v>
      </c>
      <c r="I40" t="s">
        <v>314</v>
      </c>
      <c r="J40" t="s">
        <v>315</v>
      </c>
      <c r="K40" t="s">
        <v>316</v>
      </c>
      <c r="L40">
        <v>1346</v>
      </c>
      <c r="N40">
        <v>1009</v>
      </c>
      <c r="O40" t="s">
        <v>317</v>
      </c>
      <c r="P40" t="s">
        <v>317</v>
      </c>
      <c r="Q40">
        <v>1</v>
      </c>
      <c r="X40">
        <v>0.31</v>
      </c>
      <c r="Y40">
        <v>1.82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G40">
        <v>0.31</v>
      </c>
      <c r="AH40">
        <v>2</v>
      </c>
      <c r="AI40">
        <v>55723379</v>
      </c>
      <c r="AJ40">
        <v>62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ROW(Source!A63)</f>
        <v>63</v>
      </c>
      <c r="B41">
        <v>55723380</v>
      </c>
      <c r="C41">
        <v>55723373</v>
      </c>
      <c r="D41">
        <v>53633255</v>
      </c>
      <c r="E41">
        <v>70</v>
      </c>
      <c r="F41">
        <v>1</v>
      </c>
      <c r="G41">
        <v>1</v>
      </c>
      <c r="H41">
        <v>3</v>
      </c>
      <c r="I41" t="s">
        <v>351</v>
      </c>
      <c r="K41" t="s">
        <v>352</v>
      </c>
      <c r="L41">
        <v>1348</v>
      </c>
      <c r="N41">
        <v>1009</v>
      </c>
      <c r="O41" t="s">
        <v>36</v>
      </c>
      <c r="P41" t="s">
        <v>36</v>
      </c>
      <c r="Q41">
        <v>1000</v>
      </c>
      <c r="X41">
        <v>0.063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G41">
        <v>0.063</v>
      </c>
      <c r="AH41">
        <v>3</v>
      </c>
      <c r="AI41">
        <v>-1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ROW(Source!A63)</f>
        <v>63</v>
      </c>
      <c r="B42">
        <v>55723381</v>
      </c>
      <c r="C42">
        <v>55723373</v>
      </c>
      <c r="D42">
        <v>53674846</v>
      </c>
      <c r="E42">
        <v>1</v>
      </c>
      <c r="F42">
        <v>1</v>
      </c>
      <c r="G42">
        <v>1</v>
      </c>
      <c r="H42">
        <v>3</v>
      </c>
      <c r="I42" t="s">
        <v>318</v>
      </c>
      <c r="J42" t="s">
        <v>319</v>
      </c>
      <c r="K42" t="s">
        <v>320</v>
      </c>
      <c r="L42">
        <v>1348</v>
      </c>
      <c r="N42">
        <v>1009</v>
      </c>
      <c r="O42" t="s">
        <v>36</v>
      </c>
      <c r="P42" t="s">
        <v>36</v>
      </c>
      <c r="Q42">
        <v>1000</v>
      </c>
      <c r="X42">
        <v>0.051</v>
      </c>
      <c r="Y42">
        <v>4294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G42">
        <v>0.051</v>
      </c>
      <c r="AH42">
        <v>2</v>
      </c>
      <c r="AI42">
        <v>55723381</v>
      </c>
      <c r="AJ42">
        <v>64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ROW(Source!A101)</f>
        <v>101</v>
      </c>
      <c r="B43">
        <v>55723139</v>
      </c>
      <c r="C43">
        <v>55723131</v>
      </c>
      <c r="D43">
        <v>37822883</v>
      </c>
      <c r="E43">
        <v>70</v>
      </c>
      <c r="F43">
        <v>1</v>
      </c>
      <c r="G43">
        <v>1</v>
      </c>
      <c r="H43">
        <v>1</v>
      </c>
      <c r="I43" t="s">
        <v>321</v>
      </c>
      <c r="K43" t="s">
        <v>322</v>
      </c>
      <c r="L43">
        <v>1191</v>
      </c>
      <c r="N43">
        <v>1013</v>
      </c>
      <c r="O43" t="s">
        <v>286</v>
      </c>
      <c r="P43" t="s">
        <v>286</v>
      </c>
      <c r="Q43">
        <v>1</v>
      </c>
      <c r="X43">
        <v>67.7</v>
      </c>
      <c r="Y43">
        <v>0</v>
      </c>
      <c r="Z43">
        <v>0</v>
      </c>
      <c r="AA43">
        <v>0</v>
      </c>
      <c r="AB43">
        <v>8.02</v>
      </c>
      <c r="AC43">
        <v>0</v>
      </c>
      <c r="AD43">
        <v>1</v>
      </c>
      <c r="AE43">
        <v>1</v>
      </c>
      <c r="AF43" t="s">
        <v>163</v>
      </c>
      <c r="AG43">
        <v>47.39</v>
      </c>
      <c r="AH43">
        <v>2</v>
      </c>
      <c r="AI43">
        <v>55723132</v>
      </c>
      <c r="AJ43">
        <v>65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ROW(Source!A101)</f>
        <v>101</v>
      </c>
      <c r="B44">
        <v>55723140</v>
      </c>
      <c r="C44">
        <v>55723131</v>
      </c>
      <c r="D44">
        <v>37822850</v>
      </c>
      <c r="E44">
        <v>70</v>
      </c>
      <c r="F44">
        <v>1</v>
      </c>
      <c r="G44">
        <v>1</v>
      </c>
      <c r="H44">
        <v>1</v>
      </c>
      <c r="I44" t="s">
        <v>289</v>
      </c>
      <c r="K44" t="s">
        <v>290</v>
      </c>
      <c r="L44">
        <v>1191</v>
      </c>
      <c r="N44">
        <v>1013</v>
      </c>
      <c r="O44" t="s">
        <v>286</v>
      </c>
      <c r="P44" t="s">
        <v>286</v>
      </c>
      <c r="Q44">
        <v>1</v>
      </c>
      <c r="X44">
        <v>4.2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163</v>
      </c>
      <c r="AG44">
        <v>2.94</v>
      </c>
      <c r="AH44">
        <v>2</v>
      </c>
      <c r="AI44">
        <v>55723133</v>
      </c>
      <c r="AJ44">
        <v>66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ROW(Source!A101)</f>
        <v>101</v>
      </c>
      <c r="B45">
        <v>55723141</v>
      </c>
      <c r="C45">
        <v>55723131</v>
      </c>
      <c r="D45">
        <v>53792191</v>
      </c>
      <c r="E45">
        <v>1</v>
      </c>
      <c r="F45">
        <v>1</v>
      </c>
      <c r="G45">
        <v>1</v>
      </c>
      <c r="H45">
        <v>2</v>
      </c>
      <c r="I45" t="s">
        <v>291</v>
      </c>
      <c r="J45" t="s">
        <v>292</v>
      </c>
      <c r="K45" t="s">
        <v>293</v>
      </c>
      <c r="L45">
        <v>1367</v>
      </c>
      <c r="N45">
        <v>1011</v>
      </c>
      <c r="O45" t="s">
        <v>294</v>
      </c>
      <c r="P45" t="s">
        <v>294</v>
      </c>
      <c r="Q45">
        <v>1</v>
      </c>
      <c r="X45">
        <v>1.73</v>
      </c>
      <c r="Y45">
        <v>0</v>
      </c>
      <c r="Z45">
        <v>31.26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163</v>
      </c>
      <c r="AG45">
        <v>1.2109999999999999</v>
      </c>
      <c r="AH45">
        <v>2</v>
      </c>
      <c r="AI45">
        <v>55723134</v>
      </c>
      <c r="AJ45">
        <v>67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ROW(Source!A101)</f>
        <v>101</v>
      </c>
      <c r="B46">
        <v>55723142</v>
      </c>
      <c r="C46">
        <v>55723131</v>
      </c>
      <c r="D46">
        <v>53792927</v>
      </c>
      <c r="E46">
        <v>1</v>
      </c>
      <c r="F46">
        <v>1</v>
      </c>
      <c r="G46">
        <v>1</v>
      </c>
      <c r="H46">
        <v>2</v>
      </c>
      <c r="I46" t="s">
        <v>295</v>
      </c>
      <c r="J46" t="s">
        <v>296</v>
      </c>
      <c r="K46" t="s">
        <v>297</v>
      </c>
      <c r="L46">
        <v>1367</v>
      </c>
      <c r="N46">
        <v>1011</v>
      </c>
      <c r="O46" t="s">
        <v>294</v>
      </c>
      <c r="P46" t="s">
        <v>294</v>
      </c>
      <c r="Q46">
        <v>1</v>
      </c>
      <c r="X46">
        <v>2.47</v>
      </c>
      <c r="Y46">
        <v>0</v>
      </c>
      <c r="Z46">
        <v>65.71</v>
      </c>
      <c r="AA46">
        <v>11.6</v>
      </c>
      <c r="AB46">
        <v>0</v>
      </c>
      <c r="AC46">
        <v>0</v>
      </c>
      <c r="AD46">
        <v>1</v>
      </c>
      <c r="AE46">
        <v>0</v>
      </c>
      <c r="AF46" t="s">
        <v>163</v>
      </c>
      <c r="AG46">
        <v>1.729</v>
      </c>
      <c r="AH46">
        <v>2</v>
      </c>
      <c r="AI46">
        <v>55723135</v>
      </c>
      <c r="AJ46">
        <v>68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ROW(Source!A101)</f>
        <v>101</v>
      </c>
      <c r="B47">
        <v>55723143</v>
      </c>
      <c r="C47">
        <v>55723131</v>
      </c>
      <c r="D47">
        <v>53644939</v>
      </c>
      <c r="E47">
        <v>1</v>
      </c>
      <c r="F47">
        <v>1</v>
      </c>
      <c r="G47">
        <v>1</v>
      </c>
      <c r="H47">
        <v>3</v>
      </c>
      <c r="I47" t="s">
        <v>323</v>
      </c>
      <c r="J47" t="s">
        <v>324</v>
      </c>
      <c r="K47" t="s">
        <v>325</v>
      </c>
      <c r="L47">
        <v>1348</v>
      </c>
      <c r="N47">
        <v>1009</v>
      </c>
      <c r="O47" t="s">
        <v>36</v>
      </c>
      <c r="P47" t="s">
        <v>36</v>
      </c>
      <c r="Q47">
        <v>1000</v>
      </c>
      <c r="X47">
        <v>0.012</v>
      </c>
      <c r="Y47">
        <v>11978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162</v>
      </c>
      <c r="AG47">
        <v>0</v>
      </c>
      <c r="AH47">
        <v>2</v>
      </c>
      <c r="AI47">
        <v>55723136</v>
      </c>
      <c r="AJ47">
        <v>69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ROW(Source!A101)</f>
        <v>101</v>
      </c>
      <c r="B48">
        <v>55723144</v>
      </c>
      <c r="C48">
        <v>55723131</v>
      </c>
      <c r="D48">
        <v>53660569</v>
      </c>
      <c r="E48">
        <v>1</v>
      </c>
      <c r="F48">
        <v>1</v>
      </c>
      <c r="G48">
        <v>1</v>
      </c>
      <c r="H48">
        <v>3</v>
      </c>
      <c r="I48" t="s">
        <v>326</v>
      </c>
      <c r="J48" t="s">
        <v>327</v>
      </c>
      <c r="K48" t="s">
        <v>328</v>
      </c>
      <c r="L48">
        <v>1348</v>
      </c>
      <c r="N48">
        <v>1009</v>
      </c>
      <c r="O48" t="s">
        <v>36</v>
      </c>
      <c r="P48" t="s">
        <v>36</v>
      </c>
      <c r="Q48">
        <v>1000</v>
      </c>
      <c r="X48">
        <v>0.035</v>
      </c>
      <c r="Y48">
        <v>5989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162</v>
      </c>
      <c r="AG48">
        <v>0</v>
      </c>
      <c r="AH48">
        <v>2</v>
      </c>
      <c r="AI48">
        <v>55723137</v>
      </c>
      <c r="AJ48">
        <v>70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ROW(Source!A101)</f>
        <v>101</v>
      </c>
      <c r="B49">
        <v>55723145</v>
      </c>
      <c r="C49">
        <v>55723131</v>
      </c>
      <c r="D49">
        <v>53632670</v>
      </c>
      <c r="E49">
        <v>70</v>
      </c>
      <c r="F49">
        <v>1</v>
      </c>
      <c r="G49">
        <v>1</v>
      </c>
      <c r="H49">
        <v>3</v>
      </c>
      <c r="I49" t="s">
        <v>353</v>
      </c>
      <c r="K49" t="s">
        <v>354</v>
      </c>
      <c r="L49">
        <v>1371</v>
      </c>
      <c r="N49">
        <v>1013</v>
      </c>
      <c r="O49" t="s">
        <v>54</v>
      </c>
      <c r="P49" t="s">
        <v>54</v>
      </c>
      <c r="Q49">
        <v>1</v>
      </c>
      <c r="X49">
        <v>100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 t="s">
        <v>162</v>
      </c>
      <c r="AG49">
        <v>0</v>
      </c>
      <c r="AH49">
        <v>3</v>
      </c>
      <c r="AI49">
        <v>-1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ROW(Source!A101)</f>
        <v>101</v>
      </c>
      <c r="B50">
        <v>55723146</v>
      </c>
      <c r="C50">
        <v>55723131</v>
      </c>
      <c r="D50">
        <v>53666974</v>
      </c>
      <c r="E50">
        <v>1</v>
      </c>
      <c r="F50">
        <v>1</v>
      </c>
      <c r="G50">
        <v>1</v>
      </c>
      <c r="H50">
        <v>3</v>
      </c>
      <c r="I50" t="s">
        <v>329</v>
      </c>
      <c r="J50" t="s">
        <v>330</v>
      </c>
      <c r="K50" t="s">
        <v>331</v>
      </c>
      <c r="L50">
        <v>1301</v>
      </c>
      <c r="N50">
        <v>1003</v>
      </c>
      <c r="O50" t="s">
        <v>332</v>
      </c>
      <c r="P50" t="s">
        <v>332</v>
      </c>
      <c r="Q50">
        <v>1</v>
      </c>
      <c r="X50">
        <v>400</v>
      </c>
      <c r="Y50">
        <v>3.2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162</v>
      </c>
      <c r="AG50">
        <v>0</v>
      </c>
      <c r="AH50">
        <v>2</v>
      </c>
      <c r="AI50">
        <v>55723138</v>
      </c>
      <c r="AJ50">
        <v>71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ROW(Source!A102)</f>
        <v>102</v>
      </c>
      <c r="B51">
        <v>55723139</v>
      </c>
      <c r="C51">
        <v>55723131</v>
      </c>
      <c r="D51">
        <v>37822883</v>
      </c>
      <c r="E51">
        <v>70</v>
      </c>
      <c r="F51">
        <v>1</v>
      </c>
      <c r="G51">
        <v>1</v>
      </c>
      <c r="H51">
        <v>1</v>
      </c>
      <c r="I51" t="s">
        <v>321</v>
      </c>
      <c r="K51" t="s">
        <v>322</v>
      </c>
      <c r="L51">
        <v>1191</v>
      </c>
      <c r="N51">
        <v>1013</v>
      </c>
      <c r="O51" t="s">
        <v>286</v>
      </c>
      <c r="P51" t="s">
        <v>286</v>
      </c>
      <c r="Q51">
        <v>1</v>
      </c>
      <c r="X51">
        <v>67.7</v>
      </c>
      <c r="Y51">
        <v>0</v>
      </c>
      <c r="Z51">
        <v>0</v>
      </c>
      <c r="AA51">
        <v>0</v>
      </c>
      <c r="AB51">
        <v>8.02</v>
      </c>
      <c r="AC51">
        <v>0</v>
      </c>
      <c r="AD51">
        <v>1</v>
      </c>
      <c r="AE51">
        <v>1</v>
      </c>
      <c r="AF51" t="s">
        <v>163</v>
      </c>
      <c r="AG51">
        <v>47.39</v>
      </c>
      <c r="AH51">
        <v>2</v>
      </c>
      <c r="AI51">
        <v>55723132</v>
      </c>
      <c r="AJ51">
        <v>72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ROW(Source!A102)</f>
        <v>102</v>
      </c>
      <c r="B52">
        <v>55723140</v>
      </c>
      <c r="C52">
        <v>55723131</v>
      </c>
      <c r="D52">
        <v>37822850</v>
      </c>
      <c r="E52">
        <v>70</v>
      </c>
      <c r="F52">
        <v>1</v>
      </c>
      <c r="G52">
        <v>1</v>
      </c>
      <c r="H52">
        <v>1</v>
      </c>
      <c r="I52" t="s">
        <v>289</v>
      </c>
      <c r="K52" t="s">
        <v>290</v>
      </c>
      <c r="L52">
        <v>1191</v>
      </c>
      <c r="N52">
        <v>1013</v>
      </c>
      <c r="O52" t="s">
        <v>286</v>
      </c>
      <c r="P52" t="s">
        <v>286</v>
      </c>
      <c r="Q52">
        <v>1</v>
      </c>
      <c r="X52">
        <v>4.2</v>
      </c>
      <c r="Y52">
        <v>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2</v>
      </c>
      <c r="AF52" t="s">
        <v>163</v>
      </c>
      <c r="AG52">
        <v>2.94</v>
      </c>
      <c r="AH52">
        <v>2</v>
      </c>
      <c r="AI52">
        <v>55723133</v>
      </c>
      <c r="AJ52">
        <v>73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ROW(Source!A102)</f>
        <v>102</v>
      </c>
      <c r="B53">
        <v>55723141</v>
      </c>
      <c r="C53">
        <v>55723131</v>
      </c>
      <c r="D53">
        <v>53792191</v>
      </c>
      <c r="E53">
        <v>1</v>
      </c>
      <c r="F53">
        <v>1</v>
      </c>
      <c r="G53">
        <v>1</v>
      </c>
      <c r="H53">
        <v>2</v>
      </c>
      <c r="I53" t="s">
        <v>291</v>
      </c>
      <c r="J53" t="s">
        <v>292</v>
      </c>
      <c r="K53" t="s">
        <v>293</v>
      </c>
      <c r="L53">
        <v>1367</v>
      </c>
      <c r="N53">
        <v>1011</v>
      </c>
      <c r="O53" t="s">
        <v>294</v>
      </c>
      <c r="P53" t="s">
        <v>294</v>
      </c>
      <c r="Q53">
        <v>1</v>
      </c>
      <c r="X53">
        <v>1.73</v>
      </c>
      <c r="Y53">
        <v>0</v>
      </c>
      <c r="Z53">
        <v>31.26</v>
      </c>
      <c r="AA53">
        <v>13.5</v>
      </c>
      <c r="AB53">
        <v>0</v>
      </c>
      <c r="AC53">
        <v>0</v>
      </c>
      <c r="AD53">
        <v>1</v>
      </c>
      <c r="AE53">
        <v>0</v>
      </c>
      <c r="AF53" t="s">
        <v>163</v>
      </c>
      <c r="AG53">
        <v>1.2109999999999999</v>
      </c>
      <c r="AH53">
        <v>2</v>
      </c>
      <c r="AI53">
        <v>55723134</v>
      </c>
      <c r="AJ53">
        <v>74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ROW(Source!A102)</f>
        <v>102</v>
      </c>
      <c r="B54">
        <v>55723142</v>
      </c>
      <c r="C54">
        <v>55723131</v>
      </c>
      <c r="D54">
        <v>53792927</v>
      </c>
      <c r="E54">
        <v>1</v>
      </c>
      <c r="F54">
        <v>1</v>
      </c>
      <c r="G54">
        <v>1</v>
      </c>
      <c r="H54">
        <v>2</v>
      </c>
      <c r="I54" t="s">
        <v>295</v>
      </c>
      <c r="J54" t="s">
        <v>296</v>
      </c>
      <c r="K54" t="s">
        <v>297</v>
      </c>
      <c r="L54">
        <v>1367</v>
      </c>
      <c r="N54">
        <v>1011</v>
      </c>
      <c r="O54" t="s">
        <v>294</v>
      </c>
      <c r="P54" t="s">
        <v>294</v>
      </c>
      <c r="Q54">
        <v>1</v>
      </c>
      <c r="X54">
        <v>2.47</v>
      </c>
      <c r="Y54">
        <v>0</v>
      </c>
      <c r="Z54">
        <v>65.71</v>
      </c>
      <c r="AA54">
        <v>11.6</v>
      </c>
      <c r="AB54">
        <v>0</v>
      </c>
      <c r="AC54">
        <v>0</v>
      </c>
      <c r="AD54">
        <v>1</v>
      </c>
      <c r="AE54">
        <v>0</v>
      </c>
      <c r="AF54" t="s">
        <v>163</v>
      </c>
      <c r="AG54">
        <v>1.729</v>
      </c>
      <c r="AH54">
        <v>2</v>
      </c>
      <c r="AI54">
        <v>55723135</v>
      </c>
      <c r="AJ54">
        <v>75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ROW(Source!A102)</f>
        <v>102</v>
      </c>
      <c r="B55">
        <v>55723143</v>
      </c>
      <c r="C55">
        <v>55723131</v>
      </c>
      <c r="D55">
        <v>53644939</v>
      </c>
      <c r="E55">
        <v>1</v>
      </c>
      <c r="F55">
        <v>1</v>
      </c>
      <c r="G55">
        <v>1</v>
      </c>
      <c r="H55">
        <v>3</v>
      </c>
      <c r="I55" t="s">
        <v>323</v>
      </c>
      <c r="J55" t="s">
        <v>324</v>
      </c>
      <c r="K55" t="s">
        <v>325</v>
      </c>
      <c r="L55">
        <v>1348</v>
      </c>
      <c r="N55">
        <v>1009</v>
      </c>
      <c r="O55" t="s">
        <v>36</v>
      </c>
      <c r="P55" t="s">
        <v>36</v>
      </c>
      <c r="Q55">
        <v>1000</v>
      </c>
      <c r="X55">
        <v>0.012</v>
      </c>
      <c r="Y55">
        <v>11978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162</v>
      </c>
      <c r="AG55">
        <v>0</v>
      </c>
      <c r="AH55">
        <v>2</v>
      </c>
      <c r="AI55">
        <v>55723136</v>
      </c>
      <c r="AJ55">
        <v>76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ROW(Source!A102)</f>
        <v>102</v>
      </c>
      <c r="B56">
        <v>55723144</v>
      </c>
      <c r="C56">
        <v>55723131</v>
      </c>
      <c r="D56">
        <v>53660569</v>
      </c>
      <c r="E56">
        <v>1</v>
      </c>
      <c r="F56">
        <v>1</v>
      </c>
      <c r="G56">
        <v>1</v>
      </c>
      <c r="H56">
        <v>3</v>
      </c>
      <c r="I56" t="s">
        <v>326</v>
      </c>
      <c r="J56" t="s">
        <v>327</v>
      </c>
      <c r="K56" t="s">
        <v>328</v>
      </c>
      <c r="L56">
        <v>1348</v>
      </c>
      <c r="N56">
        <v>1009</v>
      </c>
      <c r="O56" t="s">
        <v>36</v>
      </c>
      <c r="P56" t="s">
        <v>36</v>
      </c>
      <c r="Q56">
        <v>1000</v>
      </c>
      <c r="X56">
        <v>0.035</v>
      </c>
      <c r="Y56">
        <v>5989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162</v>
      </c>
      <c r="AG56">
        <v>0</v>
      </c>
      <c r="AH56">
        <v>2</v>
      </c>
      <c r="AI56">
        <v>55723137</v>
      </c>
      <c r="AJ56">
        <v>77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ROW(Source!A102)</f>
        <v>102</v>
      </c>
      <c r="B57">
        <v>55723145</v>
      </c>
      <c r="C57">
        <v>55723131</v>
      </c>
      <c r="D57">
        <v>53632670</v>
      </c>
      <c r="E57">
        <v>70</v>
      </c>
      <c r="F57">
        <v>1</v>
      </c>
      <c r="G57">
        <v>1</v>
      </c>
      <c r="H57">
        <v>3</v>
      </c>
      <c r="I57" t="s">
        <v>353</v>
      </c>
      <c r="K57" t="s">
        <v>354</v>
      </c>
      <c r="L57">
        <v>1371</v>
      </c>
      <c r="N57">
        <v>1013</v>
      </c>
      <c r="O57" t="s">
        <v>54</v>
      </c>
      <c r="P57" t="s">
        <v>54</v>
      </c>
      <c r="Q57">
        <v>1</v>
      </c>
      <c r="X57">
        <v>100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 t="s">
        <v>162</v>
      </c>
      <c r="AG57">
        <v>0</v>
      </c>
      <c r="AH57">
        <v>3</v>
      </c>
      <c r="AI57">
        <v>-1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ROW(Source!A102)</f>
        <v>102</v>
      </c>
      <c r="B58">
        <v>55723146</v>
      </c>
      <c r="C58">
        <v>55723131</v>
      </c>
      <c r="D58">
        <v>53666974</v>
      </c>
      <c r="E58">
        <v>1</v>
      </c>
      <c r="F58">
        <v>1</v>
      </c>
      <c r="G58">
        <v>1</v>
      </c>
      <c r="H58">
        <v>3</v>
      </c>
      <c r="I58" t="s">
        <v>329</v>
      </c>
      <c r="J58" t="s">
        <v>330</v>
      </c>
      <c r="K58" t="s">
        <v>331</v>
      </c>
      <c r="L58">
        <v>1301</v>
      </c>
      <c r="N58">
        <v>1003</v>
      </c>
      <c r="O58" t="s">
        <v>332</v>
      </c>
      <c r="P58" t="s">
        <v>332</v>
      </c>
      <c r="Q58">
        <v>1</v>
      </c>
      <c r="X58">
        <v>400</v>
      </c>
      <c r="Y58">
        <v>3.2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162</v>
      </c>
      <c r="AG58">
        <v>0</v>
      </c>
      <c r="AH58">
        <v>2</v>
      </c>
      <c r="AI58">
        <v>55723138</v>
      </c>
      <c r="AJ58">
        <v>78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ROW(Source!A103)</f>
        <v>103</v>
      </c>
      <c r="B59">
        <v>55723157</v>
      </c>
      <c r="C59">
        <v>55723147</v>
      </c>
      <c r="D59">
        <v>37822883</v>
      </c>
      <c r="E59">
        <v>70</v>
      </c>
      <c r="F59">
        <v>1</v>
      </c>
      <c r="G59">
        <v>1</v>
      </c>
      <c r="H59">
        <v>1</v>
      </c>
      <c r="I59" t="s">
        <v>321</v>
      </c>
      <c r="K59" t="s">
        <v>322</v>
      </c>
      <c r="L59">
        <v>1191</v>
      </c>
      <c r="N59">
        <v>1013</v>
      </c>
      <c r="O59" t="s">
        <v>286</v>
      </c>
      <c r="P59" t="s">
        <v>286</v>
      </c>
      <c r="Q59">
        <v>1</v>
      </c>
      <c r="X59">
        <v>154.5</v>
      </c>
      <c r="Y59">
        <v>0</v>
      </c>
      <c r="Z59">
        <v>0</v>
      </c>
      <c r="AA59">
        <v>0</v>
      </c>
      <c r="AB59">
        <v>8.02</v>
      </c>
      <c r="AC59">
        <v>0</v>
      </c>
      <c r="AD59">
        <v>1</v>
      </c>
      <c r="AE59">
        <v>1</v>
      </c>
      <c r="AG59">
        <v>154.5</v>
      </c>
      <c r="AH59">
        <v>2</v>
      </c>
      <c r="AI59">
        <v>55723148</v>
      </c>
      <c r="AJ59">
        <v>79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ROW(Source!A103)</f>
        <v>103</v>
      </c>
      <c r="B60">
        <v>55723158</v>
      </c>
      <c r="C60">
        <v>55723147</v>
      </c>
      <c r="D60">
        <v>37822850</v>
      </c>
      <c r="E60">
        <v>70</v>
      </c>
      <c r="F60">
        <v>1</v>
      </c>
      <c r="G60">
        <v>1</v>
      </c>
      <c r="H60">
        <v>1</v>
      </c>
      <c r="I60" t="s">
        <v>289</v>
      </c>
      <c r="K60" t="s">
        <v>290</v>
      </c>
      <c r="L60">
        <v>1191</v>
      </c>
      <c r="N60">
        <v>1013</v>
      </c>
      <c r="O60" t="s">
        <v>286</v>
      </c>
      <c r="P60" t="s">
        <v>286</v>
      </c>
      <c r="Q60">
        <v>1</v>
      </c>
      <c r="X60">
        <v>0.6</v>
      </c>
      <c r="Y60">
        <v>0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2</v>
      </c>
      <c r="AG60">
        <v>0.6</v>
      </c>
      <c r="AH60">
        <v>2</v>
      </c>
      <c r="AI60">
        <v>55723149</v>
      </c>
      <c r="AJ60">
        <v>80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ROW(Source!A103)</f>
        <v>103</v>
      </c>
      <c r="B61">
        <v>55723159</v>
      </c>
      <c r="C61">
        <v>55723147</v>
      </c>
      <c r="D61">
        <v>53791997</v>
      </c>
      <c r="E61">
        <v>1</v>
      </c>
      <c r="F61">
        <v>1</v>
      </c>
      <c r="G61">
        <v>1</v>
      </c>
      <c r="H61">
        <v>2</v>
      </c>
      <c r="I61" t="s">
        <v>333</v>
      </c>
      <c r="J61" t="s">
        <v>334</v>
      </c>
      <c r="K61" t="s">
        <v>335</v>
      </c>
      <c r="L61">
        <v>1367</v>
      </c>
      <c r="N61">
        <v>1011</v>
      </c>
      <c r="O61" t="s">
        <v>294</v>
      </c>
      <c r="P61" t="s">
        <v>294</v>
      </c>
      <c r="Q61">
        <v>1</v>
      </c>
      <c r="X61">
        <v>0.3</v>
      </c>
      <c r="Y61">
        <v>0</v>
      </c>
      <c r="Z61">
        <v>115.4</v>
      </c>
      <c r="AA61">
        <v>13.5</v>
      </c>
      <c r="AB61">
        <v>0</v>
      </c>
      <c r="AC61">
        <v>0</v>
      </c>
      <c r="AD61">
        <v>1</v>
      </c>
      <c r="AE61">
        <v>0</v>
      </c>
      <c r="AG61">
        <v>0.3</v>
      </c>
      <c r="AH61">
        <v>2</v>
      </c>
      <c r="AI61">
        <v>55723150</v>
      </c>
      <c r="AJ61">
        <v>81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ROW(Source!A103)</f>
        <v>103</v>
      </c>
      <c r="B62">
        <v>55723160</v>
      </c>
      <c r="C62">
        <v>55723147</v>
      </c>
      <c r="D62">
        <v>53792927</v>
      </c>
      <c r="E62">
        <v>1</v>
      </c>
      <c r="F62">
        <v>1</v>
      </c>
      <c r="G62">
        <v>1</v>
      </c>
      <c r="H62">
        <v>2</v>
      </c>
      <c r="I62" t="s">
        <v>295</v>
      </c>
      <c r="J62" t="s">
        <v>296</v>
      </c>
      <c r="K62" t="s">
        <v>297</v>
      </c>
      <c r="L62">
        <v>1367</v>
      </c>
      <c r="N62">
        <v>1011</v>
      </c>
      <c r="O62" t="s">
        <v>294</v>
      </c>
      <c r="P62" t="s">
        <v>294</v>
      </c>
      <c r="Q62">
        <v>1</v>
      </c>
      <c r="X62">
        <v>0.3</v>
      </c>
      <c r="Y62">
        <v>0</v>
      </c>
      <c r="Z62">
        <v>65.71</v>
      </c>
      <c r="AA62">
        <v>11.6</v>
      </c>
      <c r="AB62">
        <v>0</v>
      </c>
      <c r="AC62">
        <v>0</v>
      </c>
      <c r="AD62">
        <v>1</v>
      </c>
      <c r="AE62">
        <v>0</v>
      </c>
      <c r="AG62">
        <v>0.3</v>
      </c>
      <c r="AH62">
        <v>2</v>
      </c>
      <c r="AI62">
        <v>55723151</v>
      </c>
      <c r="AJ62">
        <v>82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ROW(Source!A103)</f>
        <v>103</v>
      </c>
      <c r="B63">
        <v>55723161</v>
      </c>
      <c r="C63">
        <v>55723147</v>
      </c>
      <c r="D63">
        <v>53642567</v>
      </c>
      <c r="E63">
        <v>1</v>
      </c>
      <c r="F63">
        <v>1</v>
      </c>
      <c r="G63">
        <v>1</v>
      </c>
      <c r="H63">
        <v>3</v>
      </c>
      <c r="I63" t="s">
        <v>336</v>
      </c>
      <c r="J63" t="s">
        <v>337</v>
      </c>
      <c r="K63" t="s">
        <v>338</v>
      </c>
      <c r="L63">
        <v>1383</v>
      </c>
      <c r="N63">
        <v>1013</v>
      </c>
      <c r="O63" t="s">
        <v>339</v>
      </c>
      <c r="P63" t="s">
        <v>339</v>
      </c>
      <c r="Q63">
        <v>1</v>
      </c>
      <c r="X63">
        <v>9</v>
      </c>
      <c r="Y63">
        <v>0.4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G63">
        <v>9</v>
      </c>
      <c r="AH63">
        <v>2</v>
      </c>
      <c r="AI63">
        <v>55723152</v>
      </c>
      <c r="AJ63">
        <v>83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ROW(Source!A103)</f>
        <v>103</v>
      </c>
      <c r="B64">
        <v>55723162</v>
      </c>
      <c r="C64">
        <v>55723147</v>
      </c>
      <c r="D64">
        <v>53644977</v>
      </c>
      <c r="E64">
        <v>1</v>
      </c>
      <c r="F64">
        <v>1</v>
      </c>
      <c r="G64">
        <v>1</v>
      </c>
      <c r="H64">
        <v>3</v>
      </c>
      <c r="I64" t="s">
        <v>340</v>
      </c>
      <c r="J64" t="s">
        <v>341</v>
      </c>
      <c r="K64" t="s">
        <v>342</v>
      </c>
      <c r="L64">
        <v>1407</v>
      </c>
      <c r="N64">
        <v>1013</v>
      </c>
      <c r="O64" t="s">
        <v>343</v>
      </c>
      <c r="P64" t="s">
        <v>343</v>
      </c>
      <c r="Q64">
        <v>1</v>
      </c>
      <c r="X64">
        <v>0.4</v>
      </c>
      <c r="Y64">
        <v>270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G64">
        <v>0.4</v>
      </c>
      <c r="AH64">
        <v>2</v>
      </c>
      <c r="AI64">
        <v>55723153</v>
      </c>
      <c r="AJ64">
        <v>84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ROW(Source!A103)</f>
        <v>103</v>
      </c>
      <c r="B65">
        <v>55723163</v>
      </c>
      <c r="C65">
        <v>55723147</v>
      </c>
      <c r="D65">
        <v>53645299</v>
      </c>
      <c r="E65">
        <v>1</v>
      </c>
      <c r="F65">
        <v>1</v>
      </c>
      <c r="G65">
        <v>1</v>
      </c>
      <c r="H65">
        <v>3</v>
      </c>
      <c r="I65" t="s">
        <v>344</v>
      </c>
      <c r="J65" t="s">
        <v>345</v>
      </c>
      <c r="K65" t="s">
        <v>346</v>
      </c>
      <c r="L65">
        <v>1425</v>
      </c>
      <c r="N65">
        <v>1013</v>
      </c>
      <c r="O65" t="s">
        <v>159</v>
      </c>
      <c r="P65" t="s">
        <v>159</v>
      </c>
      <c r="Q65">
        <v>1</v>
      </c>
      <c r="X65">
        <v>4</v>
      </c>
      <c r="Y65">
        <v>5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G65">
        <v>4</v>
      </c>
      <c r="AH65">
        <v>2</v>
      </c>
      <c r="AI65">
        <v>55723154</v>
      </c>
      <c r="AJ65">
        <v>85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ROW(Source!A103)</f>
        <v>103</v>
      </c>
      <c r="B66">
        <v>55723164</v>
      </c>
      <c r="C66">
        <v>55723147</v>
      </c>
      <c r="D66">
        <v>53630754</v>
      </c>
      <c r="E66">
        <v>70</v>
      </c>
      <c r="F66">
        <v>1</v>
      </c>
      <c r="G66">
        <v>1</v>
      </c>
      <c r="H66">
        <v>3</v>
      </c>
      <c r="I66" t="s">
        <v>355</v>
      </c>
      <c r="K66" t="s">
        <v>356</v>
      </c>
      <c r="L66">
        <v>1371</v>
      </c>
      <c r="N66">
        <v>1013</v>
      </c>
      <c r="O66" t="s">
        <v>54</v>
      </c>
      <c r="P66" t="s">
        <v>54</v>
      </c>
      <c r="Q66">
        <v>1</v>
      </c>
      <c r="X66">
        <v>5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G66">
        <v>5</v>
      </c>
      <c r="AH66">
        <v>3</v>
      </c>
      <c r="AI66">
        <v>-1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ROW(Source!A103)</f>
        <v>103</v>
      </c>
      <c r="B67">
        <v>55723165</v>
      </c>
      <c r="C67">
        <v>55723147</v>
      </c>
      <c r="D67">
        <v>53633828</v>
      </c>
      <c r="E67">
        <v>70</v>
      </c>
      <c r="F67">
        <v>1</v>
      </c>
      <c r="G67">
        <v>1</v>
      </c>
      <c r="H67">
        <v>3</v>
      </c>
      <c r="I67" t="s">
        <v>357</v>
      </c>
      <c r="K67" t="s">
        <v>358</v>
      </c>
      <c r="L67">
        <v>1371</v>
      </c>
      <c r="N67">
        <v>1013</v>
      </c>
      <c r="O67" t="s">
        <v>54</v>
      </c>
      <c r="P67" t="s">
        <v>54</v>
      </c>
      <c r="Q67">
        <v>1</v>
      </c>
      <c r="X67">
        <v>100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G67">
        <v>100</v>
      </c>
      <c r="AH67">
        <v>3</v>
      </c>
      <c r="AI67">
        <v>-1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ROW(Source!A104)</f>
        <v>104</v>
      </c>
      <c r="B68">
        <v>55723157</v>
      </c>
      <c r="C68">
        <v>55723147</v>
      </c>
      <c r="D68">
        <v>37822883</v>
      </c>
      <c r="E68">
        <v>70</v>
      </c>
      <c r="F68">
        <v>1</v>
      </c>
      <c r="G68">
        <v>1</v>
      </c>
      <c r="H68">
        <v>1</v>
      </c>
      <c r="I68" t="s">
        <v>321</v>
      </c>
      <c r="K68" t="s">
        <v>322</v>
      </c>
      <c r="L68">
        <v>1191</v>
      </c>
      <c r="N68">
        <v>1013</v>
      </c>
      <c r="O68" t="s">
        <v>286</v>
      </c>
      <c r="P68" t="s">
        <v>286</v>
      </c>
      <c r="Q68">
        <v>1</v>
      </c>
      <c r="X68">
        <v>154.5</v>
      </c>
      <c r="Y68">
        <v>0</v>
      </c>
      <c r="Z68">
        <v>0</v>
      </c>
      <c r="AA68">
        <v>0</v>
      </c>
      <c r="AB68">
        <v>8.02</v>
      </c>
      <c r="AC68">
        <v>0</v>
      </c>
      <c r="AD68">
        <v>1</v>
      </c>
      <c r="AE68">
        <v>1</v>
      </c>
      <c r="AG68">
        <v>154.5</v>
      </c>
      <c r="AH68">
        <v>2</v>
      </c>
      <c r="AI68">
        <v>55723148</v>
      </c>
      <c r="AJ68">
        <v>87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ROW(Source!A104)</f>
        <v>104</v>
      </c>
      <c r="B69">
        <v>55723158</v>
      </c>
      <c r="C69">
        <v>55723147</v>
      </c>
      <c r="D69">
        <v>37822850</v>
      </c>
      <c r="E69">
        <v>70</v>
      </c>
      <c r="F69">
        <v>1</v>
      </c>
      <c r="G69">
        <v>1</v>
      </c>
      <c r="H69">
        <v>1</v>
      </c>
      <c r="I69" t="s">
        <v>289</v>
      </c>
      <c r="K69" t="s">
        <v>290</v>
      </c>
      <c r="L69">
        <v>1191</v>
      </c>
      <c r="N69">
        <v>1013</v>
      </c>
      <c r="O69" t="s">
        <v>286</v>
      </c>
      <c r="P69" t="s">
        <v>286</v>
      </c>
      <c r="Q69">
        <v>1</v>
      </c>
      <c r="X69">
        <v>0.6</v>
      </c>
      <c r="Y69">
        <v>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2</v>
      </c>
      <c r="AG69">
        <v>0.6</v>
      </c>
      <c r="AH69">
        <v>2</v>
      </c>
      <c r="AI69">
        <v>55723149</v>
      </c>
      <c r="AJ69">
        <v>88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ROW(Source!A104)</f>
        <v>104</v>
      </c>
      <c r="B70">
        <v>55723159</v>
      </c>
      <c r="C70">
        <v>55723147</v>
      </c>
      <c r="D70">
        <v>53791997</v>
      </c>
      <c r="E70">
        <v>1</v>
      </c>
      <c r="F70">
        <v>1</v>
      </c>
      <c r="G70">
        <v>1</v>
      </c>
      <c r="H70">
        <v>2</v>
      </c>
      <c r="I70" t="s">
        <v>333</v>
      </c>
      <c r="J70" t="s">
        <v>334</v>
      </c>
      <c r="K70" t="s">
        <v>335</v>
      </c>
      <c r="L70">
        <v>1367</v>
      </c>
      <c r="N70">
        <v>1011</v>
      </c>
      <c r="O70" t="s">
        <v>294</v>
      </c>
      <c r="P70" t="s">
        <v>294</v>
      </c>
      <c r="Q70">
        <v>1</v>
      </c>
      <c r="X70">
        <v>0.3</v>
      </c>
      <c r="Y70">
        <v>0</v>
      </c>
      <c r="Z70">
        <v>115.4</v>
      </c>
      <c r="AA70">
        <v>13.5</v>
      </c>
      <c r="AB70">
        <v>0</v>
      </c>
      <c r="AC70">
        <v>0</v>
      </c>
      <c r="AD70">
        <v>1</v>
      </c>
      <c r="AE70">
        <v>0</v>
      </c>
      <c r="AG70">
        <v>0.3</v>
      </c>
      <c r="AH70">
        <v>2</v>
      </c>
      <c r="AI70">
        <v>55723150</v>
      </c>
      <c r="AJ70">
        <v>89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ROW(Source!A104)</f>
        <v>104</v>
      </c>
      <c r="B71">
        <v>55723160</v>
      </c>
      <c r="C71">
        <v>55723147</v>
      </c>
      <c r="D71">
        <v>53792927</v>
      </c>
      <c r="E71">
        <v>1</v>
      </c>
      <c r="F71">
        <v>1</v>
      </c>
      <c r="G71">
        <v>1</v>
      </c>
      <c r="H71">
        <v>2</v>
      </c>
      <c r="I71" t="s">
        <v>295</v>
      </c>
      <c r="J71" t="s">
        <v>296</v>
      </c>
      <c r="K71" t="s">
        <v>297</v>
      </c>
      <c r="L71">
        <v>1367</v>
      </c>
      <c r="N71">
        <v>1011</v>
      </c>
      <c r="O71" t="s">
        <v>294</v>
      </c>
      <c r="P71" t="s">
        <v>294</v>
      </c>
      <c r="Q71">
        <v>1</v>
      </c>
      <c r="X71">
        <v>0.3</v>
      </c>
      <c r="Y71">
        <v>0</v>
      </c>
      <c r="Z71">
        <v>65.71</v>
      </c>
      <c r="AA71">
        <v>11.6</v>
      </c>
      <c r="AB71">
        <v>0</v>
      </c>
      <c r="AC71">
        <v>0</v>
      </c>
      <c r="AD71">
        <v>1</v>
      </c>
      <c r="AE71">
        <v>0</v>
      </c>
      <c r="AG71">
        <v>0.3</v>
      </c>
      <c r="AH71">
        <v>2</v>
      </c>
      <c r="AI71">
        <v>55723151</v>
      </c>
      <c r="AJ71">
        <v>90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ROW(Source!A104)</f>
        <v>104</v>
      </c>
      <c r="B72">
        <v>55723161</v>
      </c>
      <c r="C72">
        <v>55723147</v>
      </c>
      <c r="D72">
        <v>53642567</v>
      </c>
      <c r="E72">
        <v>1</v>
      </c>
      <c r="F72">
        <v>1</v>
      </c>
      <c r="G72">
        <v>1</v>
      </c>
      <c r="H72">
        <v>3</v>
      </c>
      <c r="I72" t="s">
        <v>336</v>
      </c>
      <c r="J72" t="s">
        <v>337</v>
      </c>
      <c r="K72" t="s">
        <v>338</v>
      </c>
      <c r="L72">
        <v>1383</v>
      </c>
      <c r="N72">
        <v>1013</v>
      </c>
      <c r="O72" t="s">
        <v>339</v>
      </c>
      <c r="P72" t="s">
        <v>339</v>
      </c>
      <c r="Q72">
        <v>1</v>
      </c>
      <c r="X72">
        <v>9</v>
      </c>
      <c r="Y72">
        <v>0.4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G72">
        <v>9</v>
      </c>
      <c r="AH72">
        <v>2</v>
      </c>
      <c r="AI72">
        <v>55723152</v>
      </c>
      <c r="AJ72">
        <v>91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ROW(Source!A104)</f>
        <v>104</v>
      </c>
      <c r="B73">
        <v>55723162</v>
      </c>
      <c r="C73">
        <v>55723147</v>
      </c>
      <c r="D73">
        <v>53644977</v>
      </c>
      <c r="E73">
        <v>1</v>
      </c>
      <c r="F73">
        <v>1</v>
      </c>
      <c r="G73">
        <v>1</v>
      </c>
      <c r="H73">
        <v>3</v>
      </c>
      <c r="I73" t="s">
        <v>340</v>
      </c>
      <c r="J73" t="s">
        <v>341</v>
      </c>
      <c r="K73" t="s">
        <v>342</v>
      </c>
      <c r="L73">
        <v>1407</v>
      </c>
      <c r="N73">
        <v>1013</v>
      </c>
      <c r="O73" t="s">
        <v>343</v>
      </c>
      <c r="P73" t="s">
        <v>343</v>
      </c>
      <c r="Q73">
        <v>1</v>
      </c>
      <c r="X73">
        <v>0.4</v>
      </c>
      <c r="Y73">
        <v>270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G73">
        <v>0.4</v>
      </c>
      <c r="AH73">
        <v>2</v>
      </c>
      <c r="AI73">
        <v>55723153</v>
      </c>
      <c r="AJ73">
        <v>92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ROW(Source!A104)</f>
        <v>104</v>
      </c>
      <c r="B74">
        <v>55723163</v>
      </c>
      <c r="C74">
        <v>55723147</v>
      </c>
      <c r="D74">
        <v>53645299</v>
      </c>
      <c r="E74">
        <v>1</v>
      </c>
      <c r="F74">
        <v>1</v>
      </c>
      <c r="G74">
        <v>1</v>
      </c>
      <c r="H74">
        <v>3</v>
      </c>
      <c r="I74" t="s">
        <v>344</v>
      </c>
      <c r="J74" t="s">
        <v>345</v>
      </c>
      <c r="K74" t="s">
        <v>346</v>
      </c>
      <c r="L74">
        <v>1425</v>
      </c>
      <c r="N74">
        <v>1013</v>
      </c>
      <c r="O74" t="s">
        <v>159</v>
      </c>
      <c r="P74" t="s">
        <v>159</v>
      </c>
      <c r="Q74">
        <v>1</v>
      </c>
      <c r="X74">
        <v>4</v>
      </c>
      <c r="Y74">
        <v>5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G74">
        <v>4</v>
      </c>
      <c r="AH74">
        <v>2</v>
      </c>
      <c r="AI74">
        <v>55723154</v>
      </c>
      <c r="AJ74">
        <v>93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ROW(Source!A104)</f>
        <v>104</v>
      </c>
      <c r="B75">
        <v>55723164</v>
      </c>
      <c r="C75">
        <v>55723147</v>
      </c>
      <c r="D75">
        <v>53630754</v>
      </c>
      <c r="E75">
        <v>70</v>
      </c>
      <c r="F75">
        <v>1</v>
      </c>
      <c r="G75">
        <v>1</v>
      </c>
      <c r="H75">
        <v>3</v>
      </c>
      <c r="I75" t="s">
        <v>355</v>
      </c>
      <c r="K75" t="s">
        <v>356</v>
      </c>
      <c r="L75">
        <v>1371</v>
      </c>
      <c r="N75">
        <v>1013</v>
      </c>
      <c r="O75" t="s">
        <v>54</v>
      </c>
      <c r="P75" t="s">
        <v>54</v>
      </c>
      <c r="Q75">
        <v>1</v>
      </c>
      <c r="X75">
        <v>5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G75">
        <v>5</v>
      </c>
      <c r="AH75">
        <v>3</v>
      </c>
      <c r="AI75">
        <v>-1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ROW(Source!A104)</f>
        <v>104</v>
      </c>
      <c r="B76">
        <v>55723165</v>
      </c>
      <c r="C76">
        <v>55723147</v>
      </c>
      <c r="D76">
        <v>53633828</v>
      </c>
      <c r="E76">
        <v>70</v>
      </c>
      <c r="F76">
        <v>1</v>
      </c>
      <c r="G76">
        <v>1</v>
      </c>
      <c r="H76">
        <v>3</v>
      </c>
      <c r="I76" t="s">
        <v>357</v>
      </c>
      <c r="K76" t="s">
        <v>358</v>
      </c>
      <c r="L76">
        <v>1371</v>
      </c>
      <c r="N76">
        <v>1013</v>
      </c>
      <c r="O76" t="s">
        <v>54</v>
      </c>
      <c r="P76" t="s">
        <v>54</v>
      </c>
      <c r="Q76">
        <v>1</v>
      </c>
      <c r="X76">
        <v>100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G76">
        <v>100</v>
      </c>
      <c r="AH76">
        <v>3</v>
      </c>
      <c r="AI76">
        <v>-1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ROW(Source!A142)</f>
        <v>142</v>
      </c>
      <c r="B77">
        <v>55723323</v>
      </c>
      <c r="C77">
        <v>55723320</v>
      </c>
      <c r="D77">
        <v>37822859</v>
      </c>
      <c r="E77">
        <v>54</v>
      </c>
      <c r="F77">
        <v>1</v>
      </c>
      <c r="G77">
        <v>1</v>
      </c>
      <c r="H77">
        <v>1</v>
      </c>
      <c r="I77" t="s">
        <v>347</v>
      </c>
      <c r="K77" t="s">
        <v>348</v>
      </c>
      <c r="L77">
        <v>1191</v>
      </c>
      <c r="N77">
        <v>1013</v>
      </c>
      <c r="O77" t="s">
        <v>286</v>
      </c>
      <c r="P77" t="s">
        <v>286</v>
      </c>
      <c r="Q77">
        <v>1</v>
      </c>
      <c r="X77">
        <v>188</v>
      </c>
      <c r="Y77">
        <v>0</v>
      </c>
      <c r="Z77">
        <v>0</v>
      </c>
      <c r="AA77">
        <v>0</v>
      </c>
      <c r="AB77">
        <v>7.25</v>
      </c>
      <c r="AC77">
        <v>0</v>
      </c>
      <c r="AD77">
        <v>1</v>
      </c>
      <c r="AE77">
        <v>1</v>
      </c>
      <c r="AG77">
        <v>188</v>
      </c>
      <c r="AH77">
        <v>2</v>
      </c>
      <c r="AI77">
        <v>55723321</v>
      </c>
      <c r="AJ77">
        <v>95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ROW(Source!A142)</f>
        <v>142</v>
      </c>
      <c r="B78">
        <v>55723324</v>
      </c>
      <c r="C78">
        <v>55723320</v>
      </c>
      <c r="D78">
        <v>44805115</v>
      </c>
      <c r="E78">
        <v>54</v>
      </c>
      <c r="F78">
        <v>1</v>
      </c>
      <c r="G78">
        <v>1</v>
      </c>
      <c r="H78">
        <v>3</v>
      </c>
      <c r="I78" t="s">
        <v>359</v>
      </c>
      <c r="K78" t="s">
        <v>90</v>
      </c>
      <c r="L78">
        <v>1348</v>
      </c>
      <c r="N78">
        <v>1009</v>
      </c>
      <c r="O78" t="s">
        <v>36</v>
      </c>
      <c r="P78" t="s">
        <v>36</v>
      </c>
      <c r="Q78">
        <v>1000</v>
      </c>
      <c r="X78">
        <v>100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G78">
        <v>100</v>
      </c>
      <c r="AH78">
        <v>3</v>
      </c>
      <c r="AI78">
        <v>-1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ROW(Source!A143)</f>
        <v>143</v>
      </c>
      <c r="B79">
        <v>55723323</v>
      </c>
      <c r="C79">
        <v>55723320</v>
      </c>
      <c r="D79">
        <v>37822859</v>
      </c>
      <c r="E79">
        <v>54</v>
      </c>
      <c r="F79">
        <v>1</v>
      </c>
      <c r="G79">
        <v>1</v>
      </c>
      <c r="H79">
        <v>1</v>
      </c>
      <c r="I79" t="s">
        <v>347</v>
      </c>
      <c r="K79" t="s">
        <v>348</v>
      </c>
      <c r="L79">
        <v>1191</v>
      </c>
      <c r="N79">
        <v>1013</v>
      </c>
      <c r="O79" t="s">
        <v>286</v>
      </c>
      <c r="P79" t="s">
        <v>286</v>
      </c>
      <c r="Q79">
        <v>1</v>
      </c>
      <c r="X79">
        <v>188</v>
      </c>
      <c r="Y79">
        <v>0</v>
      </c>
      <c r="Z79">
        <v>0</v>
      </c>
      <c r="AA79">
        <v>0</v>
      </c>
      <c r="AB79">
        <v>7.25</v>
      </c>
      <c r="AC79">
        <v>0</v>
      </c>
      <c r="AD79">
        <v>1</v>
      </c>
      <c r="AE79">
        <v>1</v>
      </c>
      <c r="AG79">
        <v>188</v>
      </c>
      <c r="AH79">
        <v>2</v>
      </c>
      <c r="AI79">
        <v>55723321</v>
      </c>
      <c r="AJ79">
        <v>97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ROW(Source!A143)</f>
        <v>143</v>
      </c>
      <c r="B80">
        <v>55723324</v>
      </c>
      <c r="C80">
        <v>55723320</v>
      </c>
      <c r="D80">
        <v>44805115</v>
      </c>
      <c r="E80">
        <v>54</v>
      </c>
      <c r="F80">
        <v>1</v>
      </c>
      <c r="G80">
        <v>1</v>
      </c>
      <c r="H80">
        <v>3</v>
      </c>
      <c r="I80" t="s">
        <v>359</v>
      </c>
      <c r="K80" t="s">
        <v>90</v>
      </c>
      <c r="L80">
        <v>1348</v>
      </c>
      <c r="N80">
        <v>1009</v>
      </c>
      <c r="O80" t="s">
        <v>36</v>
      </c>
      <c r="P80" t="s">
        <v>36</v>
      </c>
      <c r="Q80">
        <v>1000</v>
      </c>
      <c r="X80">
        <v>100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G80">
        <v>100</v>
      </c>
      <c r="AH80">
        <v>3</v>
      </c>
      <c r="AI80">
        <v>-1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ROW(Source!A146)</f>
        <v>146</v>
      </c>
      <c r="B81">
        <v>55723328</v>
      </c>
      <c r="C81">
        <v>55723326</v>
      </c>
      <c r="D81">
        <v>37822857</v>
      </c>
      <c r="E81">
        <v>54</v>
      </c>
      <c r="F81">
        <v>1</v>
      </c>
      <c r="G81">
        <v>1</v>
      </c>
      <c r="H81">
        <v>1</v>
      </c>
      <c r="I81" t="s">
        <v>349</v>
      </c>
      <c r="K81" t="s">
        <v>350</v>
      </c>
      <c r="L81">
        <v>1191</v>
      </c>
      <c r="N81">
        <v>1013</v>
      </c>
      <c r="O81" t="s">
        <v>286</v>
      </c>
      <c r="P81" t="s">
        <v>286</v>
      </c>
      <c r="Q81">
        <v>1</v>
      </c>
      <c r="X81">
        <v>1.03</v>
      </c>
      <c r="Y81">
        <v>0</v>
      </c>
      <c r="Z81">
        <v>0</v>
      </c>
      <c r="AA81">
        <v>0</v>
      </c>
      <c r="AB81">
        <v>7.19</v>
      </c>
      <c r="AC81">
        <v>0</v>
      </c>
      <c r="AD81">
        <v>1</v>
      </c>
      <c r="AE81">
        <v>1</v>
      </c>
      <c r="AG81">
        <v>1.03</v>
      </c>
      <c r="AH81">
        <v>2</v>
      </c>
      <c r="AI81">
        <v>55723327</v>
      </c>
      <c r="AJ81">
        <v>99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ROW(Source!A146)</f>
        <v>146</v>
      </c>
      <c r="B82">
        <v>55723329</v>
      </c>
      <c r="C82">
        <v>55723326</v>
      </c>
      <c r="D82">
        <v>44816375</v>
      </c>
      <c r="E82">
        <v>1</v>
      </c>
      <c r="F82">
        <v>1</v>
      </c>
      <c r="G82">
        <v>1</v>
      </c>
      <c r="H82">
        <v>3</v>
      </c>
      <c r="I82" t="s">
        <v>360</v>
      </c>
      <c r="J82" t="s">
        <v>361</v>
      </c>
      <c r="K82" t="s">
        <v>362</v>
      </c>
      <c r="L82">
        <v>1425</v>
      </c>
      <c r="N82">
        <v>1013</v>
      </c>
      <c r="O82" t="s">
        <v>159</v>
      </c>
      <c r="P82" t="s">
        <v>159</v>
      </c>
      <c r="Q82">
        <v>1</v>
      </c>
      <c r="X82">
        <v>0.2</v>
      </c>
      <c r="Y82">
        <v>82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G82">
        <v>0.2</v>
      </c>
      <c r="AH82">
        <v>3</v>
      </c>
      <c r="AI82">
        <v>-1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ROW(Source!A147)</f>
        <v>147</v>
      </c>
      <c r="B83">
        <v>55723328</v>
      </c>
      <c r="C83">
        <v>55723326</v>
      </c>
      <c r="D83">
        <v>37822857</v>
      </c>
      <c r="E83">
        <v>54</v>
      </c>
      <c r="F83">
        <v>1</v>
      </c>
      <c r="G83">
        <v>1</v>
      </c>
      <c r="H83">
        <v>1</v>
      </c>
      <c r="I83" t="s">
        <v>349</v>
      </c>
      <c r="K83" t="s">
        <v>350</v>
      </c>
      <c r="L83">
        <v>1191</v>
      </c>
      <c r="N83">
        <v>1013</v>
      </c>
      <c r="O83" t="s">
        <v>286</v>
      </c>
      <c r="P83" t="s">
        <v>286</v>
      </c>
      <c r="Q83">
        <v>1</v>
      </c>
      <c r="X83">
        <v>1.03</v>
      </c>
      <c r="Y83">
        <v>0</v>
      </c>
      <c r="Z83">
        <v>0</v>
      </c>
      <c r="AA83">
        <v>0</v>
      </c>
      <c r="AB83">
        <v>7.19</v>
      </c>
      <c r="AC83">
        <v>0</v>
      </c>
      <c r="AD83">
        <v>1</v>
      </c>
      <c r="AE83">
        <v>1</v>
      </c>
      <c r="AG83">
        <v>1.03</v>
      </c>
      <c r="AH83">
        <v>2</v>
      </c>
      <c r="AI83">
        <v>55723327</v>
      </c>
      <c r="AJ83">
        <v>100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ROW(Source!A147)</f>
        <v>147</v>
      </c>
      <c r="B84">
        <v>55723329</v>
      </c>
      <c r="C84">
        <v>55723326</v>
      </c>
      <c r="D84">
        <v>44816375</v>
      </c>
      <c r="E84">
        <v>1</v>
      </c>
      <c r="F84">
        <v>1</v>
      </c>
      <c r="G84">
        <v>1</v>
      </c>
      <c r="H84">
        <v>3</v>
      </c>
      <c r="I84" t="s">
        <v>360</v>
      </c>
      <c r="J84" t="s">
        <v>361</v>
      </c>
      <c r="K84" t="s">
        <v>362</v>
      </c>
      <c r="L84">
        <v>1425</v>
      </c>
      <c r="N84">
        <v>1013</v>
      </c>
      <c r="O84" t="s">
        <v>159</v>
      </c>
      <c r="P84" t="s">
        <v>159</v>
      </c>
      <c r="Q84">
        <v>1</v>
      </c>
      <c r="X84">
        <v>0.2</v>
      </c>
      <c r="Y84">
        <v>82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G84">
        <v>0.2</v>
      </c>
      <c r="AH84">
        <v>3</v>
      </c>
      <c r="AI84">
        <v>-1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2024-01-25T10:01:38Z</cp:lastPrinted>
  <dcterms:created xsi:type="dcterms:W3CDTF">2024-01-23T10:58:50Z</dcterms:created>
  <dcterms:modified xsi:type="dcterms:W3CDTF">2024-03-05T08:08:59Z</dcterms:modified>
  <cp:category/>
  <cp:version/>
  <cp:contentType/>
  <cp:contentStatus/>
</cp:coreProperties>
</file>