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Смета для ТЕР МО 421пр (12" sheetId="1" r:id="rId1"/>
    <sheet name="Дефектная ведомость" sheetId="2" r:id="rId2"/>
    <sheet name="Source" sheetId="3" r:id="rId3"/>
    <sheet name="SourceObSm" sheetId="4" r:id="rId4"/>
    <sheet name="SmtRes" sheetId="5" r:id="rId5"/>
    <sheet name="EtalonRes" sheetId="6" r:id="rId6"/>
  </sheets>
  <definedNames>
    <definedName name="_xlnm.Print_Titles" localSheetId="1">'Дефектная ведомость'!$18:$18</definedName>
    <definedName name="_xlnm.Print_Titles" localSheetId="0">'Смета для ТЕР МО 421пр (12'!$46:$46</definedName>
    <definedName name="_xlnm.Print_Area" localSheetId="1">'Дефектная ведомость'!$A$1:$E$35</definedName>
    <definedName name="_xlnm.Print_Area" localSheetId="0">'Смета для ТЕР МО 421пр (12'!$A$1:$L$164</definedName>
  </definedNames>
  <calcPr fullCalcOnLoad="1"/>
</workbook>
</file>

<file path=xl/sharedStrings.xml><?xml version="1.0" encoding="utf-8"?>
<sst xmlns="http://schemas.openxmlformats.org/spreadsheetml/2006/main" count="2265" uniqueCount="377">
  <si>
    <t>Smeta.RU  (495) 974-1589</t>
  </si>
  <si>
    <t>_PS_</t>
  </si>
  <si>
    <t>Smeta.RU</t>
  </si>
  <si>
    <t/>
  </si>
  <si>
    <t>Выполение работ по замене стеклопакетов в ИПУ РАН</t>
  </si>
  <si>
    <t>Степанова А.М.</t>
  </si>
  <si>
    <t>Вед. инженер РЕСО</t>
  </si>
  <si>
    <t>Покшин В.И.</t>
  </si>
  <si>
    <t>Заведующий РЕСО</t>
  </si>
  <si>
    <t>Муравьев К.В.</t>
  </si>
  <si>
    <t>Главный инженер</t>
  </si>
  <si>
    <t>ИПУ РАН</t>
  </si>
  <si>
    <t>Сметные нормы списания</t>
  </si>
  <si>
    <t>Коды ценников</t>
  </si>
  <si>
    <t>ФЕР-2020 И8 приказы НР № 812/пр, СП № 774/пр</t>
  </si>
  <si>
    <t>Версия 1.3.0 ГСН (ГЭСН, ФЕР) и ТЕР (Методики НР (812/пр и 636/пр) и СП (774/пр) с 22.10.2021 г.) шифры НР, СП и ПНР с версии Smeta.ru 11.4.1.0</t>
  </si>
  <si>
    <t>ФЕР-2020 - изменения И8</t>
  </si>
  <si>
    <t>Поправки для ГСН (ФЕР) 2020 от 11.11.2021 г И8 Капитальный ремонт жилых и общественных зданий</t>
  </si>
  <si>
    <t>ГСН</t>
  </si>
  <si>
    <t>Выполнение работ по замене стеклопакетов на 3 этаже КОНа</t>
  </si>
  <si>
    <t>вед.инженер по эксплуатации и ремонту</t>
  </si>
  <si>
    <t>Киселев В.А.</t>
  </si>
  <si>
    <t>Главный механик</t>
  </si>
  <si>
    <t>Корниенко С.В.</t>
  </si>
  <si>
    <t>Зам. директора по развитию и информатизации</t>
  </si>
  <si>
    <t>Новый раздел</t>
  </si>
  <si>
    <t>Замена стекол</t>
  </si>
  <si>
    <t>1</t>
  </si>
  <si>
    <t>63-25-2</t>
  </si>
  <si>
    <t>Смена разбитых стекол витринных на эластичной прокладке при площади стекла: свыше 3 до 5 м2 (Применительно)</t>
  </si>
  <si>
    <t>100 м2</t>
  </si>
  <si>
    <t>ФЕРр-2001 доп.8, 63-25-2, приказ Минстроя России № 746/пр от 14.10.2021</t>
  </si>
  <si>
    <t>Ремонтно-строительные работы</t>
  </si>
  <si>
    <t>Стекольные, обойные и облицовочные работы</t>
  </si>
  <si>
    <t>Стекольные, обойные, облицовочные работы</t>
  </si>
  <si>
    <t>рФЕР-63</t>
  </si>
  <si>
    <t>Пр/812-097.0-1</t>
  </si>
  <si>
    <t>Пр/774-097.0</t>
  </si>
  <si>
    <t>1,1</t>
  </si>
  <si>
    <t>Цена Поставщика</t>
  </si>
  <si>
    <t>Стеклопакет 32 мм (6зак+20+6зак)</t>
  </si>
  <si>
    <t>М 2</t>
  </si>
  <si>
    <t>Общестроительные работы</t>
  </si>
  <si>
    <t>Строительные металлические конструкции</t>
  </si>
  <si>
    <t>ФЕР-09</t>
  </si>
  <si>
    <t>занесена вручную</t>
  </si>
  <si>
    <t>Пр/812-009.0-1</t>
  </si>
  <si>
    <t>Пр/774-009.0</t>
  </si>
  <si>
    <t>1,2</t>
  </si>
  <si>
    <t>999-9900</t>
  </si>
  <si>
    <t>Строительный мусор</t>
  </si>
  <si>
    <t>т</t>
  </si>
  <si>
    <t>1,3</t>
  </si>
  <si>
    <t>91.06.06-014</t>
  </si>
  <si>
    <t>Автогидроподъемники, высота подъема 28 м</t>
  </si>
  <si>
    <t>маш.-ч.</t>
  </si>
  <si>
    <t>ФСЭМ-2001, 91.06.06-014 , приказ Минстроя России № 876/пр от 26.12.2019</t>
  </si>
  <si>
    <t>Бетонные и железобетонные сборные конструкции и работы в строительстве</t>
  </si>
  <si>
    <t>Бетонные и железобетонные сборные конструкции и работы в строительстве жилых, общественных и административно-бытовых зданий промышленных предприятий</t>
  </si>
  <si>
    <t>ФЕР-07</t>
  </si>
  <si>
    <t>Пр/812-007.1-1</t>
  </si>
  <si>
    <t>Пр/774-007.1</t>
  </si>
  <si>
    <t>1,4</t>
  </si>
  <si>
    <t>91.06.06-048</t>
  </si>
  <si>
    <t>Подъемники одномачтовые, грузоподъемность до 500 кг, высота подъема 45 м</t>
  </si>
  <si>
    <t>ФСЭМ-2001, 91.06.06-048 , приказ Минстроя России № 876/пр от 26.12.2019</t>
  </si>
  <si>
    <t>2</t>
  </si>
  <si>
    <t>07-05-039-19</t>
  </si>
  <si>
    <t>Замена уплотнителей  окон (Применительно)</t>
  </si>
  <si>
    <t>100 м</t>
  </si>
  <si>
    <t>ФЕР-2001, 07-05-039-19, приказ Минстроя России № 876/пр от 26.12.2019</t>
  </si>
  <si>
    <t>)*1,25</t>
  </si>
  <si>
    <t>)*1,15</t>
  </si>
  <si>
    <t>)*0,9</t>
  </si>
  <si>
    <t>)*0,85</t>
  </si>
  <si>
    <t>Поправка: М-ка 421/пр 04.08.20 п.58 п.п. б)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</si>
  <si>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</si>
  <si>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</si>
  <si>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</si>
  <si>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</si>
  <si>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</si>
  <si>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</si>
  <si>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</si>
  <si>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</si>
  <si>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</si>
  <si>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</si>
  <si>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</si>
  <si>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</si>
  <si>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</si>
  <si>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</si>
  <si>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</si>
  <si>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</si>
  <si>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</si>
  <si>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</si>
  <si>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</si>
  <si>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</si>
  <si>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</si>
  <si>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</si>
  <si>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</si>
  <si>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</si>
  <si>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</si>
  <si>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</si>
  <si>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</si>
  <si>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</si>
  <si>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</si>
  <si>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</si>
  <si>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</si>
  <si>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</si>
  <si>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</si>
  <si>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</si>
  <si>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</si>
  <si>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</si>
  <si>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</si>
  <si>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</si>
  <si>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</si>
  <si>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</si>
  <si>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</si>
  <si>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</si>
  <si>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</si>
  <si>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</si>
  <si>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</si>
  <si>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</si>
  <si>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</si>
  <si>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</si>
  <si>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</si>
  <si>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</si>
  <si>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</si>
  <si>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</si>
  <si>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</si>
  <si>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</si>
  <si>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</si>
  <si>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по разделу</t>
  </si>
  <si>
    <t>Разные работы</t>
  </si>
  <si>
    <t>3</t>
  </si>
  <si>
    <t>69-15-1</t>
  </si>
  <si>
    <t>Затаривание строительного мусора в мешки</t>
  </si>
  <si>
    <t>ФЕРр-2001, 69-15-1, приказ Минстроя России № 876/пр от 26.12.2019</t>
  </si>
  <si>
    <t>Прочие ремонтно-строительные работы</t>
  </si>
  <si>
    <t>рФЕР-69</t>
  </si>
  <si>
    <t>Пр/812-103.0-1</t>
  </si>
  <si>
    <t>Пр/774-103.0</t>
  </si>
  <si>
    <t>4</t>
  </si>
  <si>
    <t>т01-01-01-041</t>
  </si>
  <si>
    <t>Погрузочные работы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</si>
  <si>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</si>
  <si>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№876/пр от 26.12.2019</t>
  </si>
  <si>
    <t>Погрузочно-разгрузочные работы</t>
  </si>
  <si>
    <t>ФССЦпр  пог. а/п (2011,изм. 4-6)</t>
  </si>
  <si>
    <t>5</t>
  </si>
  <si>
    <t>т03-02-01-050</t>
  </si>
  <si>
    <t>Перевозка грузов I класса автомобилями бортовыми грузоподъемностью до 5 т на расстояние: до 50 км</t>
  </si>
  <si>
    <t>ФССЦпг-2001, т03-02-01-050, приказ Минстроя России №876/пр от 26.12.2019</t>
  </si>
  <si>
    <t>Перевозка грузов авто/транспортом</t>
  </si>
  <si>
    <t>Перевозка строительных грузов автомобильным транспортом</t>
  </si>
  <si>
    <t>ФССЦпр , изм. 7</t>
  </si>
  <si>
    <t>всего по разделу</t>
  </si>
  <si>
    <t>Резерв ср.на непредв.расх</t>
  </si>
  <si>
    <t>Резерв средств на непр. расходы 2% (Приказ Минстроя России № 421-пр от 04.08.2020 п. 179а)</t>
  </si>
  <si>
    <t>Итого1</t>
  </si>
  <si>
    <t>Итого</t>
  </si>
  <si>
    <t>НДС</t>
  </si>
  <si>
    <t>НДС20%</t>
  </si>
  <si>
    <t>итог2</t>
  </si>
  <si>
    <t>Всего по разделу</t>
  </si>
  <si>
    <t>Резерв средств на непредв.расх</t>
  </si>
  <si>
    <t>Итого0</t>
  </si>
  <si>
    <t>НДС 20%</t>
  </si>
  <si>
    <t>Итого2</t>
  </si>
  <si>
    <t>Всего по смете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</si>
  <si>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</si>
  <si>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</si>
  <si>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</si>
  <si>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</si>
  <si>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</si>
  <si>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</si>
  <si>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</si>
  <si>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</si>
  <si>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</si>
  <si>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</si>
  <si>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</si>
  <si>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</si>
  <si>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</si>
  <si>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</si>
  <si>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</si>
  <si>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</si>
  <si>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</si>
  <si>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</si>
  <si>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</si>
  <si>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</si>
  <si>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</si>
  <si>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</si>
  <si>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</si>
  <si>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АЭС</t>
  </si>
  <si>
    <t>При определении сметной стоимости строительства объектов капитального строительства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</si>
  <si>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</si>
  <si>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</si>
  <si>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</si>
  <si>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</si>
  <si>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</si>
  <si>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</si>
  <si>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</si>
  <si>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</si>
  <si>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</si>
  <si>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</si>
  <si>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</si>
  <si>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</si>
  <si>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</si>
  <si>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</si>
  <si>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</si>
  <si>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</si>
  <si>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</si>
  <si>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</si>
  <si>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</si>
  <si>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</si>
  <si>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</si>
  <si>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</si>
  <si>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</si>
  <si>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</si>
  <si>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</si>
  <si>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</si>
  <si>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</si>
  <si>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</si>
  <si>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</si>
  <si>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</si>
  <si>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</si>
  <si>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</si>
  <si>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</si>
  <si>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Базовый уровень цен</t>
  </si>
  <si>
    <t>Текущий уровень цен</t>
  </si>
  <si>
    <t>Сборник индексов</t>
  </si>
  <si>
    <t>Индексы к ФЕР-2020 (Стройинформресурс)</t>
  </si>
  <si>
    <t>_OBSM_</t>
  </si>
  <si>
    <t>1-100-32</t>
  </si>
  <si>
    <t>Затраты труда рабочих (Средний разряд - 3,2)</t>
  </si>
  <si>
    <t>чел.-ч.</t>
  </si>
  <si>
    <t>4-100-00</t>
  </si>
  <si>
    <t>Затраты труда машинистов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</si>
  <si>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</si>
  <si>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</si>
  <si>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</si>
  <si>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01.7.15.06-0064</t>
  </si>
  <si>
    <t>ФССЦ-2001, 01.7.15.06-0064, приказ Минстроя России № 876/пр от 26.12.2019</t>
  </si>
  <si>
    <t>Гвозди отделочные, круглые, размер 1,6x25 мм</t>
  </si>
  <si>
    <t>01.7.20.08-0051</t>
  </si>
  <si>
    <t>ФССЦ-2001, 01.7.20.08-0051, приказ Минстроя России № 876/пр от 26.12.2019</t>
  </si>
  <si>
    <t>Ветошь</t>
  </si>
  <si>
    <t>кг</t>
  </si>
  <si>
    <t>14.5.02.02-0105</t>
  </si>
  <si>
    <t>ФССЦ-2001, 14.5.02.02-0105, приказ Минстроя России № 876/пр от 26.12.2019</t>
  </si>
  <si>
    <t>Замазка суриковая</t>
  </si>
  <si>
    <t>1-100-35</t>
  </si>
  <si>
    <t>Затраты труда рабочих (Средний разряд - 3,5)</t>
  </si>
  <si>
    <t>01.7.07.14-0057</t>
  </si>
  <si>
    <t>ФССЦ-2001, 01.7.07.14-0057, приказ Минстроя России № 876/пр от 26.12.2019</t>
  </si>
  <si>
    <t>Прокладки уплотнительные ПРП, диаметр 30 мм</t>
  </si>
  <si>
    <t>14.5.04.02-0002</t>
  </si>
  <si>
    <t>ФССЦ-2001, 14.5.04.02-0002, приказ Минстроя России № 876/пр от 26.12.2019</t>
  </si>
  <si>
    <t>Мастика клеящая каучуковая КН-3</t>
  </si>
  <si>
    <t>1-1010</t>
  </si>
  <si>
    <t>Рабочий строитель среднего разряда 1</t>
  </si>
  <si>
    <t>чел.-ч</t>
  </si>
  <si>
    <t>101-5983</t>
  </si>
  <si>
    <t>ФССЦ 101-5983 пр.№31/пр от 30.01.2014 г.</t>
  </si>
  <si>
    <t>Мешки полипропиленовые (50 кг)</t>
  </si>
  <si>
    <t>шт.</t>
  </si>
  <si>
    <t>400051</t>
  </si>
  <si>
    <t>ФСЭМ-2001, 400051, приказ Минстроя России №899/пр от 11.12.2015 г.</t>
  </si>
  <si>
    <t>Автомобиль-самосвал, грузоподъемность до 7 т</t>
  </si>
  <si>
    <t>маш.-ч</t>
  </si>
  <si>
    <t>01.8.02.03</t>
  </si>
  <si>
    <t>Стекло витринное (полированное)</t>
  </si>
  <si>
    <t>м2</t>
  </si>
  <si>
    <t>11.2.07.12</t>
  </si>
  <si>
    <t>Штапики</t>
  </si>
  <si>
    <t>м</t>
  </si>
  <si>
    <t>1-100-10</t>
  </si>
  <si>
    <t>Рабочий среднего разряда 1</t>
  </si>
  <si>
    <t>01.7.20.03-0003</t>
  </si>
  <si>
    <t>ФССЦ-2001, 01.7.20.03-0003, приказ Минстроя России № 876/пр от 26.12.2019</t>
  </si>
  <si>
    <t>100 ШТ</t>
  </si>
  <si>
    <t>ГОСУДАРСТВЕННЫЕ СМЕТНЫЕ НОРМАТИВЫ (ФЕР-2020),   утвержденные приказами Минстроя России от 26 декабря 2019 г.   № 876/пр (в редакции приказов Минстроя РФ от 30 марта 2020 г.   № 172/пр, от 1 июня 2020 г. № 294/пр, от 30 июня 2020 г. № 352/пр,   от 20 октября 2020 г. № 636/пр, от 9 февраля 2021 г. № 51/пр,   от 24 мая 2021 г. № 321/пр, от 24 июня 2021 г. № 408/пр,  от 14 октября 2021 № 746/пр)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</si>
  <si>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</si>
  <si>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"СОГЛАСОВАНО"</t>
  </si>
  <si>
    <t>"УТВЕРЖДАЮ"</t>
  </si>
  <si>
    <t>"_____"________________ 2022 г.</t>
  </si>
  <si>
    <t>Главный инженер ИПУ РАН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</si>
  <si>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</si>
  <si>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</si>
  <si>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</si>
  <si>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</si>
  <si>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</si>
  <si>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</si>
  <si>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</si>
  <si>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</si>
  <si>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</si>
  <si>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</si>
  <si>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</si>
  <si>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</si>
  <si>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</si>
  <si>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</si>
  <si>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</si>
  <si>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</si>
  <si>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</si>
  <si>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</si>
  <si>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</si>
  <si>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</si>
  <si>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</si>
  <si>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</si>
  <si>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</si>
  <si>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</si>
  <si>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</si>
  <si>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</si>
  <si>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</si>
  <si>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</si>
  <si>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</si>
  <si>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</si>
  <si>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</si>
  <si>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</si>
  <si>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</si>
  <si>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</si>
  <si>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</si>
  <si>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июнь 2022 года (1.01.2000)</t>
  </si>
  <si>
    <t>Раздел: Замена стекол</t>
  </si>
  <si>
    <t>ОТ</t>
  </si>
  <si>
    <t>ЭМ</t>
  </si>
  <si>
    <t>в т.ч. ОТм</t>
  </si>
  <si>
    <t>М</t>
  </si>
  <si>
    <t>ЗТ</t>
  </si>
  <si>
    <t>чел-ч</t>
  </si>
  <si>
    <t>ЗТм</t>
  </si>
  <si>
    <t>Итого по расценке</t>
  </si>
  <si>
    <t>ФОТ</t>
  </si>
  <si>
    <t>НР Стекольные, обойные, облицовочные работы</t>
  </si>
  <si>
    <t>%</t>
  </si>
  <si>
    <t>СП Стекольные, обойные, облицовочные работы</t>
  </si>
  <si>
    <t>Всего по позиции</t>
  </si>
  <si>
    <r>
      <t>Замена уплотнителей  окон (Применительно)</t>
    </r>
    <r>
      <rPr>
        <i/>
        <sz val="10"/>
        <rFont val="Arial"/>
        <family val="2"/>
      </rPr>
      <t xml:space="preserve">
Поправки к: 
ЭМ )*1,25;   
ОТм )*1,25;   
ОТ )*1,15;   
ЗТ )*1,15;   
ЗТм )*1,25;   
НР )*0,9;   
СП )*0,85</t>
    </r>
  </si>
  <si>
    <t>Пр/812-007.1-1;
п.25</t>
  </si>
  <si>
    <t>НР Бетонные и железобетонные сборные конструкции и работы в строительстве жилых, общественных и административно-бытовых зданий промышленных предприятий</t>
  </si>
  <si>
    <t>Пр/774-007.1;
п.16</t>
  </si>
  <si>
    <t>СП Бетонные и железобетонные сборные конструкции и работы в строительстве жилых, общественных и административно-бытовых зданий промышленных предприятий</t>
  </si>
  <si>
    <t>Итого прямые затраты по разделу (в базисном и текущем уровнях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</si>
  <si>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</si>
  <si>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</si>
  <si>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</si>
  <si>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</si>
  <si>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</si>
  <si>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и текущем уровне цен)(справочно)</t>
  </si>
  <si>
    <t>Итого накладные расходы (в базисном и текущем уровне цен)</t>
  </si>
  <si>
    <t>Итого сметная прибыль (в базисном и текущем уровне цен)</t>
  </si>
  <si>
    <t>Итого оборудование (в базисном и текущем уровне цен)</t>
  </si>
  <si>
    <t>Итого прочие затраты (в базисном и текущем уровне цен)</t>
  </si>
  <si>
    <t>Итого по разделу (в базисном и текущем уровне цен)</t>
  </si>
  <si>
    <t>справочно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</si>
  <si>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</si>
  <si>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</si>
  <si>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Разные работы</t>
  </si>
  <si>
    <t>НР Прочие ремонтно-строительные работы</t>
  </si>
  <si>
    <t>СП Прочие ремонтно-строительные работы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</si>
  <si>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</si>
  <si>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</si>
  <si>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</si>
  <si>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</si>
  <si>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</si>
  <si>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</si>
  <si>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</si>
  <si>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Составил   </t>
  </si>
  <si>
    <t>[должность,подпись(инициалы,фамилия)]</t>
  </si>
  <si>
    <t xml:space="preserve">Проверил   </t>
  </si>
  <si>
    <t>___________________________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</si>
  <si>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</si>
  <si>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</si>
  <si>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</si>
  <si>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</si>
  <si>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Примечание</t>
  </si>
  <si>
    <t>Заказчик _________________</t>
  </si>
  <si>
    <t>Подрядчик _________________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</si>
</sst>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;[Red]\-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1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164" fontId="1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5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20" fillId="0" borderId="0" xfId="0" applyFont="1" applyAlignment="1">
      <alignment vertical="top" wrapText="1"/>
    </xf>
    <xf numFmtId="165" fontId="1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165" fontId="0" fillId="0" borderId="0" xfId="0" applyNumberFormat="1" applyFont="1" applyAlignment="1">
      <alignment horizontal="right"/>
    </xf>
    <xf numFmtId="165" fontId="15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2" fontId="15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5" fontId="17" fillId="0" borderId="14" xfId="0" applyNumberFormat="1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4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3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63"/>
  <sheetViews>
    <sheetView tabSelected="1" zoomScalePageLayoutView="0" workbookViewId="0" topLeftCell="A111">
      <selection activeCell="G109" sqref="G109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12" width="14.7109375" style="0" customWidth="1"/>
    <col min="15" max="93" width="0" style="0" hidden="1" customWidth="1"/>
    <col min="94" max="94" width="190.7109375" style="0" hidden="1" customWidth="1"/>
    <col min="95" max="95" width="109.7109375" style="0" hidden="1" customWidth="1"/>
    <col min="96" max="99" width="0" style="0" hidden="1" customWidth="1"/>
  </cols>
  <sheetData>
    <row r="1" ht="12.75">
      <c r="A1" s="12" t="str">
        <f>Source!B1</f>
        <v>Smeta.RU  (495) 974-1589</v>
      </c>
    </row>
    <row r="3" spans="1:12" ht="16.5">
      <c r="A3" s="13"/>
      <c r="B3" s="125" t="s">
        <v>282</v>
      </c>
      <c r="C3" s="125"/>
      <c r="D3" s="125"/>
      <c r="E3" s="125"/>
      <c r="F3" s="14"/>
      <c r="G3" s="14"/>
      <c r="H3" s="125" t="s">
        <v>283</v>
      </c>
      <c r="I3" s="125"/>
      <c r="J3" s="125"/>
      <c r="K3" s="125"/>
      <c r="L3" s="125"/>
    </row>
    <row r="4" spans="1:12" ht="14.25">
      <c r="A4" s="14"/>
      <c r="B4" s="99"/>
      <c r="C4" s="99"/>
      <c r="D4" s="99"/>
      <c r="E4" s="99"/>
      <c r="F4" s="14"/>
      <c r="G4" s="14"/>
      <c r="H4" s="99" t="s">
        <v>285</v>
      </c>
      <c r="I4" s="99"/>
      <c r="J4" s="99"/>
      <c r="K4" s="99"/>
      <c r="L4" s="99"/>
    </row>
    <row r="5" spans="1:12" ht="14.25">
      <c r="A5" s="15"/>
      <c r="B5" s="15"/>
      <c r="C5" s="16"/>
      <c r="D5" s="16"/>
      <c r="E5" s="16"/>
      <c r="F5" s="14"/>
      <c r="G5" s="14"/>
      <c r="H5" s="17"/>
      <c r="I5" s="16"/>
      <c r="J5" s="16"/>
      <c r="K5" s="16"/>
      <c r="L5" s="17"/>
    </row>
    <row r="6" spans="1:12" ht="14.25">
      <c r="A6" s="17"/>
      <c r="B6" s="99" t="str">
        <f>CONCATENATE("______________________ ",IF(Source!AL12&lt;&gt;"",Source!AL12,""))</f>
        <v>______________________ </v>
      </c>
      <c r="C6" s="99"/>
      <c r="D6" s="99"/>
      <c r="E6" s="99"/>
      <c r="F6" s="14"/>
      <c r="G6" s="14"/>
      <c r="H6" s="99" t="str">
        <f>CONCATENATE("______________________ ",IF(Source!AH12&lt;&gt;"",Source!AH12,""))</f>
        <v>______________________ Муравьев К.В.</v>
      </c>
      <c r="I6" s="99"/>
      <c r="J6" s="99"/>
      <c r="K6" s="99"/>
      <c r="L6" s="99"/>
    </row>
    <row r="7" spans="1:12" ht="14.25">
      <c r="A7" s="18"/>
      <c r="B7" s="123" t="s">
        <v>284</v>
      </c>
      <c r="C7" s="123"/>
      <c r="D7" s="123"/>
      <c r="E7" s="123"/>
      <c r="F7" s="14"/>
      <c r="G7" s="14"/>
      <c r="H7" s="123" t="s">
        <v>284</v>
      </c>
      <c r="I7" s="123"/>
      <c r="J7" s="123"/>
      <c r="K7" s="123"/>
      <c r="L7" s="123"/>
    </row>
    <row r="10" spans="1:94" ht="25.5">
      <c r="A10" s="124" t="str">
        <f>Source!CQ12</f>
        <v>ГОСУДАРСТВЕННЫЕ СМЕТНЫЕ НОРМАТИВЫ (ФЕР-2020),   утвержденные приказами Минстроя России от 26 декабря 2019 г.   № 876/пр (в редакции приказов Минстроя РФ от 30 марта 2020 г.   № 172/пр, от 1 июня 2020 г. № 294/пр, от 30 июня 2020 г. № 352/пр,   от 20 октября 2020 г. № 636/пр, от 9 февраля 2021 г. № 51/пр,   от 24 мая 2021 г. № 321/пр, от 24 июня 2021 г. № 408/пр,  от 14 октября 2021 № 746/пр)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CP10" s="75" t="str">
        <f>Source!CQ12</f>
        <v>ГОСУДАРСТВЕННЫЕ СМЕТНЫЕ НОРМАТИВЫ (ФЕР-2020),   утвержденные приказами Минстроя России от 26 декабря 2019 г.   № 876/пр (в редакции приказов Минстроя РФ от 30 марта 2020 г.   № 172/пр, от 1 июня 2020 г. № 294/пр, от 30 июня 2020 г. № 352/пр,   от 20 октября 2020 г. № 636/пр, от 9 февраля 2021 г. № 51/пр,   от 24 мая 2021 г. № 321/пр, от 24 июня 2021 г. № 408/пр,  от 14 октября 2021 № 746/пр)</v>
      </c>
    </row>
    <row r="11" spans="1:11" ht="12.75">
      <c r="A11" s="11"/>
      <c r="B11" s="11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24" t="s">
        <v>319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5" spans="1:12" ht="15.75">
      <c r="A15" s="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8"/>
    </row>
    <row r="16" spans="1:12" ht="14.25">
      <c r="A16" s="20"/>
      <c r="B16" s="119" t="s">
        <v>286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8"/>
    </row>
    <row r="17" spans="1:12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.75">
      <c r="A18" s="14"/>
      <c r="B18" s="118" t="str">
        <f>IF(Source!G12&lt;&gt;"Новый объект",Source!G12,"")</f>
        <v>Выполение работ по замене стеклопакетов в ИПУ РАН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4"/>
    </row>
    <row r="19" spans="1:12" ht="14.25">
      <c r="A19" s="14"/>
      <c r="B19" s="119" t="s">
        <v>287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4"/>
    </row>
    <row r="20" spans="1:12" ht="14.25">
      <c r="A20" s="14"/>
      <c r="B20" s="14"/>
      <c r="C20" s="14"/>
      <c r="D20" s="14"/>
      <c r="E20" s="14"/>
      <c r="F20" s="21"/>
      <c r="G20" s="21"/>
      <c r="H20" s="21" t="s">
        <v>3</v>
      </c>
      <c r="I20" s="21"/>
      <c r="J20" s="21"/>
      <c r="K20" s="21"/>
      <c r="L20" s="21"/>
    </row>
    <row r="21" spans="1:12" ht="15.75">
      <c r="A21" s="22"/>
      <c r="B21" s="120" t="str">
        <f>CONCATENATE("ЛОКАЛЬНАЯ СМЕТА № ",Source!F20," ",Source!CM20)</f>
        <v>ЛОКАЛЬНАЯ СМЕТА №  </v>
      </c>
      <c r="C21" s="120"/>
      <c r="D21" s="120"/>
      <c r="E21" s="120"/>
      <c r="F21" s="120"/>
      <c r="G21" s="120"/>
      <c r="H21" s="120"/>
      <c r="I21" s="120"/>
      <c r="J21" s="120"/>
      <c r="K21" s="120"/>
      <c r="L21" s="22"/>
    </row>
    <row r="22" spans="1:12" ht="1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</row>
    <row r="23" spans="1:12" ht="18">
      <c r="A23" s="14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24"/>
    </row>
    <row r="24" spans="1:12" ht="14.25">
      <c r="A24" s="14"/>
      <c r="B24" s="119" t="s">
        <v>288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8"/>
    </row>
    <row r="25" spans="1:12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11" t="s">
        <v>289</v>
      </c>
      <c r="B27" s="11"/>
      <c r="C27" s="25" t="s">
        <v>320</v>
      </c>
      <c r="D27" s="11" t="s">
        <v>290</v>
      </c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 t="s">
        <v>291</v>
      </c>
      <c r="B29" s="11"/>
      <c r="C29" s="122"/>
      <c r="D29" s="122"/>
      <c r="E29" s="122"/>
      <c r="F29" s="122"/>
      <c r="G29" s="122"/>
      <c r="H29" s="11"/>
      <c r="I29" s="11"/>
      <c r="J29" s="11"/>
      <c r="K29" s="11"/>
      <c r="L29" s="26"/>
    </row>
    <row r="30" spans="1:12" ht="12.75">
      <c r="A30" s="27"/>
      <c r="B30" s="28"/>
      <c r="C30" s="114" t="s">
        <v>292</v>
      </c>
      <c r="D30" s="114"/>
      <c r="E30" s="114"/>
      <c r="F30" s="114"/>
      <c r="G30" s="114"/>
      <c r="H30" s="29"/>
      <c r="I30" s="29"/>
      <c r="J30" s="29"/>
      <c r="K30" s="29"/>
      <c r="L30" s="29"/>
    </row>
    <row r="31" spans="1:12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4.25">
      <c r="A32" s="30" t="s">
        <v>321</v>
      </c>
      <c r="B32" s="14"/>
      <c r="C32" s="14"/>
      <c r="D32" s="31"/>
      <c r="E32" s="32"/>
      <c r="F32" s="14"/>
      <c r="G32" s="14"/>
      <c r="H32" s="14"/>
      <c r="I32" s="14"/>
      <c r="J32" s="14"/>
      <c r="K32" s="14"/>
      <c r="L32" s="14"/>
    </row>
    <row r="33" spans="1:12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25">
      <c r="A34" s="30" t="s">
        <v>293</v>
      </c>
      <c r="B34" s="14"/>
      <c r="C34" s="51">
        <f>C37+C38+C39+C40</f>
        <v>924.8</v>
      </c>
      <c r="D34" s="115">
        <f>D37+D38+D39+D40</f>
        <v>517.95</v>
      </c>
      <c r="E34" s="116"/>
      <c r="F34" s="33" t="s">
        <v>294</v>
      </c>
      <c r="G34" s="34"/>
      <c r="H34" s="34"/>
      <c r="I34" s="34"/>
      <c r="J34" s="34"/>
      <c r="K34" s="14"/>
      <c r="L34" s="14"/>
    </row>
    <row r="35" spans="1:12" ht="14.25">
      <c r="A35" s="14"/>
      <c r="B35" s="14"/>
      <c r="C35" s="44"/>
      <c r="D35" s="52"/>
      <c r="E35" s="34"/>
      <c r="F35" s="33"/>
      <c r="G35" s="33" t="s">
        <v>295</v>
      </c>
      <c r="H35" s="34"/>
      <c r="I35" s="34"/>
      <c r="J35" s="34"/>
      <c r="K35" s="14"/>
      <c r="L35" s="14"/>
    </row>
    <row r="36" spans="1:12" ht="14.25">
      <c r="A36" s="14"/>
      <c r="B36" s="35" t="s">
        <v>296</v>
      </c>
      <c r="C36" s="44"/>
      <c r="D36" s="52"/>
      <c r="E36" s="36"/>
      <c r="F36" s="33"/>
      <c r="G36" s="33" t="s">
        <v>297</v>
      </c>
      <c r="H36" s="34" t="s">
        <v>298</v>
      </c>
      <c r="I36" s="37">
        <f>ROUND(SUM(U47:U156)/1000,2)</f>
        <v>63.82</v>
      </c>
      <c r="J36" s="37">
        <f>ROUND((SUM(Q47:Q156))/1000,2)</f>
        <v>1.66</v>
      </c>
      <c r="K36" s="11" t="s">
        <v>294</v>
      </c>
      <c r="L36" s="14"/>
    </row>
    <row r="37" spans="1:12" ht="14.25">
      <c r="A37" s="14"/>
      <c r="B37" s="30" t="s">
        <v>299</v>
      </c>
      <c r="C37" s="51">
        <f>ROUND((Source!P131)/1000,2)</f>
        <v>924.8</v>
      </c>
      <c r="D37" s="115">
        <f>ROUND((SUM(AN47:AN156)+SUM(AR47:AR156))/1000,2)</f>
        <v>517.95</v>
      </c>
      <c r="E37" s="116"/>
      <c r="F37" s="33" t="s">
        <v>294</v>
      </c>
      <c r="G37" s="33" t="s">
        <v>300</v>
      </c>
      <c r="H37" s="34"/>
      <c r="I37" s="33"/>
      <c r="J37" s="53">
        <f>Source!P136</f>
        <v>190.081897</v>
      </c>
      <c r="K37" s="11" t="s">
        <v>234</v>
      </c>
      <c r="L37" s="14"/>
    </row>
    <row r="38" spans="1:12" ht="14.25">
      <c r="A38" s="14"/>
      <c r="B38" s="30" t="s">
        <v>301</v>
      </c>
      <c r="C38" s="51">
        <f>ROUND((Source!P132)/1000,2)</f>
        <v>0</v>
      </c>
      <c r="D38" s="115">
        <f>ROUND((SUM(AX47:AX156)+SUM(BB47:BB156))/1000,2)</f>
        <v>0</v>
      </c>
      <c r="E38" s="116"/>
      <c r="F38" s="33" t="s">
        <v>294</v>
      </c>
      <c r="G38" s="33" t="s">
        <v>302</v>
      </c>
      <c r="H38" s="34"/>
      <c r="I38" s="33"/>
      <c r="J38" s="53">
        <f>Source!P137</f>
        <v>0.896625</v>
      </c>
      <c r="K38" s="11" t="s">
        <v>234</v>
      </c>
      <c r="L38" s="14"/>
    </row>
    <row r="39" spans="1:12" ht="14.25">
      <c r="A39" s="14"/>
      <c r="B39" s="30" t="s">
        <v>303</v>
      </c>
      <c r="C39" s="51">
        <f>ROUND((Source!P123)/1000,2)</f>
        <v>0</v>
      </c>
      <c r="D39" s="115">
        <f>ROUND((SUM(BH47:BH156)+SUM(BI47:BI156))/1000,2)</f>
        <v>0</v>
      </c>
      <c r="E39" s="116"/>
      <c r="F39" s="33" t="s">
        <v>294</v>
      </c>
      <c r="G39" s="33" t="s">
        <v>304</v>
      </c>
      <c r="H39" s="34"/>
      <c r="I39" s="33"/>
      <c r="J39" s="38"/>
      <c r="K39" s="14"/>
      <c r="L39" s="14"/>
    </row>
    <row r="40" spans="1:12" ht="14.25">
      <c r="A40" s="14"/>
      <c r="B40" s="30" t="s">
        <v>305</v>
      </c>
      <c r="C40" s="51">
        <f>ROUND((Source!P133+Source!P134)/1000,2)</f>
        <v>0</v>
      </c>
      <c r="D40" s="115">
        <f>ROUND((SUM(BM47:BM156)+SUM(BN47:BN156)+SUM(BO47:BO156)+SUM(BP47:BP156))/1000,2)</f>
        <v>0</v>
      </c>
      <c r="E40" s="117"/>
      <c r="F40" s="33" t="s">
        <v>294</v>
      </c>
      <c r="G40" s="33" t="s">
        <v>306</v>
      </c>
      <c r="H40" s="34"/>
      <c r="I40" s="33">
        <f>Source!I20</f>
        <v>0</v>
      </c>
      <c r="J40" s="39">
        <f>Source!H20</f>
      </c>
      <c r="K40" s="14"/>
      <c r="L40" s="14"/>
    </row>
    <row r="41" spans="1:12" ht="14.25">
      <c r="A41" s="14"/>
      <c r="B41" s="14"/>
      <c r="C41" s="14"/>
      <c r="D41" s="34"/>
      <c r="E41" s="34"/>
      <c r="F41" s="34"/>
      <c r="G41" s="34"/>
      <c r="H41" s="34"/>
      <c r="I41" s="34"/>
      <c r="J41" s="34"/>
      <c r="K41" s="14"/>
      <c r="L41" s="14"/>
    </row>
    <row r="42" spans="1:12" ht="12.75">
      <c r="A42" s="102" t="s">
        <v>307</v>
      </c>
      <c r="B42" s="102" t="s">
        <v>308</v>
      </c>
      <c r="C42" s="102" t="s">
        <v>309</v>
      </c>
      <c r="D42" s="102" t="s">
        <v>310</v>
      </c>
      <c r="E42" s="105" t="s">
        <v>311</v>
      </c>
      <c r="F42" s="106"/>
      <c r="G42" s="107"/>
      <c r="H42" s="105" t="s">
        <v>312</v>
      </c>
      <c r="I42" s="106"/>
      <c r="J42" s="107"/>
      <c r="K42" s="102" t="s">
        <v>313</v>
      </c>
      <c r="L42" s="102" t="s">
        <v>314</v>
      </c>
    </row>
    <row r="43" spans="1:12" ht="12.75">
      <c r="A43" s="103"/>
      <c r="B43" s="103"/>
      <c r="C43" s="103"/>
      <c r="D43" s="103"/>
      <c r="E43" s="108"/>
      <c r="F43" s="109"/>
      <c r="G43" s="110"/>
      <c r="H43" s="108"/>
      <c r="I43" s="109"/>
      <c r="J43" s="110"/>
      <c r="K43" s="103"/>
      <c r="L43" s="103"/>
    </row>
    <row r="44" spans="1:12" ht="12.75">
      <c r="A44" s="103"/>
      <c r="B44" s="103"/>
      <c r="C44" s="103"/>
      <c r="D44" s="103"/>
      <c r="E44" s="111"/>
      <c r="F44" s="112"/>
      <c r="G44" s="113"/>
      <c r="H44" s="111"/>
      <c r="I44" s="112"/>
      <c r="J44" s="113"/>
      <c r="K44" s="103"/>
      <c r="L44" s="103"/>
    </row>
    <row r="45" spans="1:12" ht="25.5">
      <c r="A45" s="104"/>
      <c r="B45" s="104"/>
      <c r="C45" s="104"/>
      <c r="D45" s="104"/>
      <c r="E45" s="40" t="s">
        <v>315</v>
      </c>
      <c r="F45" s="40" t="s">
        <v>316</v>
      </c>
      <c r="G45" s="40" t="s">
        <v>317</v>
      </c>
      <c r="H45" s="40" t="s">
        <v>315</v>
      </c>
      <c r="I45" s="40" t="s">
        <v>316</v>
      </c>
      <c r="J45" s="40" t="s">
        <v>318</v>
      </c>
      <c r="K45" s="104"/>
      <c r="L45" s="104"/>
    </row>
    <row r="46" spans="1:12" ht="14.25">
      <c r="A46" s="41">
        <v>1</v>
      </c>
      <c r="B46" s="41">
        <v>2</v>
      </c>
      <c r="C46" s="41">
        <v>3</v>
      </c>
      <c r="D46" s="41">
        <v>4</v>
      </c>
      <c r="E46" s="41">
        <v>5</v>
      </c>
      <c r="F46" s="41">
        <v>6</v>
      </c>
      <c r="G46" s="41">
        <v>7</v>
      </c>
      <c r="H46" s="41">
        <v>8</v>
      </c>
      <c r="I46" s="41">
        <v>9</v>
      </c>
      <c r="J46" s="41">
        <v>10</v>
      </c>
      <c r="K46" s="42">
        <v>11</v>
      </c>
      <c r="L46" s="43">
        <v>12</v>
      </c>
    </row>
    <row r="48" spans="1:12" ht="16.5">
      <c r="A48" s="97" t="s">
        <v>322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56" ht="57">
      <c r="A49" s="72">
        <v>1</v>
      </c>
      <c r="B49" s="72" t="str">
        <f>Source!F29</f>
        <v>63-25-2</v>
      </c>
      <c r="C49" s="72" t="str">
        <f>Source!G29</f>
        <v>Смена разбитых стекол витринных на эластичной прокладке при площади стекла: свыше 3 до 5 м2 (Применительно)</v>
      </c>
      <c r="D49" s="55" t="str">
        <f>Source!DW29</f>
        <v>100 м2</v>
      </c>
      <c r="E49" s="56">
        <f>Source!K29</f>
        <v>0.9645</v>
      </c>
      <c r="F49" s="56"/>
      <c r="G49" s="56">
        <f>Source!I29</f>
        <v>0.9645</v>
      </c>
      <c r="H49" s="49"/>
      <c r="I49" s="57"/>
      <c r="J49" s="49"/>
      <c r="K49" s="57"/>
      <c r="L49" s="49"/>
      <c r="AG49">
        <f>ROUND((Source!AT29/100)*((ROUND(Source!AF29*Source!I29,2)+ROUND(Source!AE29*Source!I29,2))),2)</f>
        <v>1333.13</v>
      </c>
      <c r="AH49">
        <f>Source!X29</f>
        <v>51139.02</v>
      </c>
      <c r="AI49">
        <f>ROUND((Source!AU29/100)*((ROUND(Source!AF29*Source!I29,2)+ROUND(Source!AE29*Source!I29,2))),2)</f>
        <v>666.57</v>
      </c>
      <c r="AJ49">
        <f>Source!Y29</f>
        <v>25569.51</v>
      </c>
      <c r="AS49">
        <f>IF(Source!BI29&lt;=1,AH49,0)</f>
        <v>51139.02</v>
      </c>
      <c r="AT49">
        <f>IF(Source!BI29&lt;=1,AJ49,0)</f>
        <v>25569.51</v>
      </c>
      <c r="BC49">
        <f>IF(Source!BI29=2,AH49,0)</f>
        <v>0</v>
      </c>
      <c r="BD49">
        <f>IF(Source!BI29=2,AJ49,0)</f>
        <v>0</v>
      </c>
    </row>
    <row r="51" ht="12.75">
      <c r="C51" s="45" t="str">
        <f>"Объем: "&amp;Source!K29&amp;"=96,45/"&amp;"100"</f>
        <v>Объем: 0,9645=96,45/100</v>
      </c>
    </row>
    <row r="52" spans="1:12" ht="14.25">
      <c r="A52" s="72"/>
      <c r="B52" s="73">
        <v>1</v>
      </c>
      <c r="C52" s="72" t="s">
        <v>323</v>
      </c>
      <c r="D52" s="55"/>
      <c r="E52" s="56"/>
      <c r="F52" s="56"/>
      <c r="G52" s="56"/>
      <c r="H52" s="49">
        <f>Source!AO29</f>
        <v>1529.5</v>
      </c>
      <c r="I52" s="57"/>
      <c r="J52" s="49">
        <f>ROUND(Source!AF29*Source!I29,2)</f>
        <v>1475.2</v>
      </c>
      <c r="K52" s="57">
        <f>IF(Source!BA29&lt;&gt;0,Source!BA29,1)</f>
        <v>38.36</v>
      </c>
      <c r="L52" s="49">
        <f>Source!S29</f>
        <v>56588.78</v>
      </c>
    </row>
    <row r="53" spans="1:12" ht="14.25">
      <c r="A53" s="72"/>
      <c r="B53" s="73">
        <v>3</v>
      </c>
      <c r="C53" s="72" t="s">
        <v>324</v>
      </c>
      <c r="D53" s="55"/>
      <c r="E53" s="56"/>
      <c r="F53" s="56"/>
      <c r="G53" s="56"/>
      <c r="H53" s="49">
        <f>Source!AM29</f>
        <v>24.25</v>
      </c>
      <c r="I53" s="57"/>
      <c r="J53" s="49">
        <f>ROUND(Source!AD29*Source!I29,2)</f>
        <v>23.39</v>
      </c>
      <c r="K53" s="57">
        <f>IF(Source!BB29&lt;&gt;0,Source!BB29,1)</f>
        <v>14.56</v>
      </c>
      <c r="L53" s="49">
        <f>Source!Q29</f>
        <v>340.55</v>
      </c>
    </row>
    <row r="54" spans="1:12" ht="14.25">
      <c r="A54" s="72"/>
      <c r="B54" s="73">
        <v>2</v>
      </c>
      <c r="C54" s="72" t="s">
        <v>325</v>
      </c>
      <c r="D54" s="55"/>
      <c r="E54" s="56"/>
      <c r="F54" s="56"/>
      <c r="G54" s="56"/>
      <c r="H54" s="49">
        <f>Source!AN29</f>
        <v>6.28</v>
      </c>
      <c r="I54" s="57"/>
      <c r="J54" s="58">
        <f>ROUND(Source!AE29*Source!I29,2)</f>
        <v>6.06</v>
      </c>
      <c r="K54" s="57">
        <f>IF(Source!BS29&lt;&gt;0,Source!BS29,1)</f>
        <v>38.36</v>
      </c>
      <c r="L54" s="58">
        <f>Source!R29</f>
        <v>232.35</v>
      </c>
    </row>
    <row r="55" spans="1:12" ht="14.25">
      <c r="A55" s="72"/>
      <c r="B55" s="73">
        <v>4</v>
      </c>
      <c r="C55" s="72" t="s">
        <v>326</v>
      </c>
      <c r="D55" s="55"/>
      <c r="E55" s="56"/>
      <c r="F55" s="56"/>
      <c r="G55" s="56"/>
      <c r="H55" s="49">
        <f>Source!AL29</f>
        <v>1102.41</v>
      </c>
      <c r="I55" s="57"/>
      <c r="J55" s="49">
        <f>ROUND(Source!AC29*Source!I29,2)</f>
        <v>1063.27</v>
      </c>
      <c r="K55" s="57">
        <f>IF(Source!BC29&lt;&gt;0,Source!BC29,1)</f>
        <v>4.24</v>
      </c>
      <c r="L55" s="49">
        <f>Source!P29</f>
        <v>4508.28</v>
      </c>
    </row>
    <row r="56" spans="1:12" ht="14.25">
      <c r="A56" s="72"/>
      <c r="B56" s="72" t="str">
        <f>EtalonRes!I19</f>
        <v>01.8.02.03</v>
      </c>
      <c r="C56" s="72" t="str">
        <f>EtalonRes!K19</f>
        <v>Стекло витринное (полированное)</v>
      </c>
      <c r="D56" s="55" t="str">
        <f>EtalonRes!P19</f>
        <v>м2</v>
      </c>
      <c r="E56" s="56">
        <f>EtalonRes!X19</f>
        <v>102</v>
      </c>
      <c r="F56" s="56"/>
      <c r="G56" s="56">
        <f>ROUND(EtalonRes!AG19*Source!I29,7)</f>
        <v>98.379</v>
      </c>
      <c r="H56" s="49"/>
      <c r="I56" s="57"/>
      <c r="J56" s="49"/>
      <c r="K56" s="57"/>
      <c r="L56" s="49"/>
    </row>
    <row r="57" spans="1:12" ht="14.25">
      <c r="A57" s="72"/>
      <c r="B57" s="72" t="str">
        <f>EtalonRes!I20</f>
        <v>11.2.07.12</v>
      </c>
      <c r="C57" s="72" t="str">
        <f>EtalonRes!K20</f>
        <v>Штапики</v>
      </c>
      <c r="D57" s="55" t="str">
        <f>EtalonRes!P20</f>
        <v>м</v>
      </c>
      <c r="E57" s="56">
        <f>EtalonRes!X20</f>
        <v>0</v>
      </c>
      <c r="F57" s="56"/>
      <c r="G57" s="56">
        <f>ROUND(EtalonRes!AG20*Source!I29,7)</f>
        <v>0</v>
      </c>
      <c r="H57" s="49"/>
      <c r="I57" s="57"/>
      <c r="J57" s="49"/>
      <c r="K57" s="57"/>
      <c r="L57" s="49"/>
    </row>
    <row r="58" spans="1:12" ht="14.25">
      <c r="A58" s="72"/>
      <c r="B58" s="72"/>
      <c r="C58" s="72" t="s">
        <v>327</v>
      </c>
      <c r="D58" s="55" t="s">
        <v>328</v>
      </c>
      <c r="E58" s="56">
        <f>Source!AQ29</f>
        <v>175</v>
      </c>
      <c r="F58" s="56"/>
      <c r="G58" s="91">
        <f>ROUND(Source!U29,7)</f>
        <v>168.7875</v>
      </c>
      <c r="H58" s="49"/>
      <c r="I58" s="57"/>
      <c r="J58" s="49"/>
      <c r="K58" s="57"/>
      <c r="L58" s="49"/>
    </row>
    <row r="59" spans="1:12" ht="14.25">
      <c r="A59" s="72"/>
      <c r="B59" s="72"/>
      <c r="C59" s="74" t="s">
        <v>329</v>
      </c>
      <c r="D59" s="59" t="s">
        <v>328</v>
      </c>
      <c r="E59" s="60">
        <f>Source!AR29</f>
        <v>0.5</v>
      </c>
      <c r="F59" s="60"/>
      <c r="G59" s="92">
        <f>ROUND(Source!V29,7)</f>
        <v>0.48225</v>
      </c>
      <c r="H59" s="61"/>
      <c r="I59" s="62"/>
      <c r="J59" s="61"/>
      <c r="K59" s="62"/>
      <c r="L59" s="61"/>
    </row>
    <row r="60" spans="1:12" ht="14.25">
      <c r="A60" s="72"/>
      <c r="B60" s="72"/>
      <c r="C60" s="72" t="s">
        <v>330</v>
      </c>
      <c r="D60" s="55"/>
      <c r="E60" s="56"/>
      <c r="F60" s="56"/>
      <c r="G60" s="56"/>
      <c r="H60" s="49">
        <f>H52+H53+H55</f>
        <v>2656.16</v>
      </c>
      <c r="I60" s="57"/>
      <c r="J60" s="49">
        <f>J52+J53+J55</f>
        <v>2561.86</v>
      </c>
      <c r="K60" s="57"/>
      <c r="L60" s="49">
        <f>L52+L53+L55</f>
        <v>61437.61</v>
      </c>
    </row>
    <row r="61" spans="1:56" ht="14.25">
      <c r="A61" s="72" t="s">
        <v>38</v>
      </c>
      <c r="B61" s="72" t="str">
        <f>Source!F31</f>
        <v>Цена Поставщика</v>
      </c>
      <c r="C61" s="72" t="str">
        <f>Source!G31</f>
        <v>Стеклопакет 32 мм (6зак+20+6зак)</v>
      </c>
      <c r="D61" s="55" t="str">
        <f>Source!DW31</f>
        <v>М 2</v>
      </c>
      <c r="E61" s="56">
        <f>SmtRes!AT20</f>
        <v>100</v>
      </c>
      <c r="F61" s="56"/>
      <c r="G61" s="56">
        <f>Source!I31</f>
        <v>96.45</v>
      </c>
      <c r="H61" s="49">
        <f>Source!AL31+Source!AO31+Source!AM31</f>
        <v>5002.5</v>
      </c>
      <c r="I61" s="57"/>
      <c r="J61" s="49">
        <f>ROUND(Source!AC31*Source!I31,2)+ROUND(Source!AD31*Source!I31,2)+ROUND(Source!AF31*Source!I31,2)</f>
        <v>482491.13</v>
      </c>
      <c r="K61" s="57"/>
      <c r="L61" s="49"/>
      <c r="AF61" s="47">
        <f>J61</f>
        <v>482491.13</v>
      </c>
      <c r="AG61">
        <f>ROUND((Source!AT31/100)*((ROUND(Source!AF31*Source!I31,2)+ROUND(Source!AE31*Source!I31,2))),2)</f>
        <v>0</v>
      </c>
      <c r="AH61">
        <f>Source!X31</f>
        <v>0</v>
      </c>
      <c r="AI61">
        <f>ROUND((Source!AU31/100)*((ROUND(Source!AF31*Source!I31,2)+ROUND(Source!AE31*Source!I31,2))),2)</f>
        <v>0</v>
      </c>
      <c r="AJ61">
        <f>Source!Y31</f>
        <v>0</v>
      </c>
      <c r="AN61">
        <f>IF(Source!BI31&lt;=1,J61,0)</f>
        <v>482491.13</v>
      </c>
      <c r="AO61">
        <f>IF(Source!BI31&lt;=1,J61,0)</f>
        <v>482491.13</v>
      </c>
      <c r="AS61">
        <f>IF(Source!BI31&lt;=1,AH61,0)</f>
        <v>0</v>
      </c>
      <c r="AT61">
        <f>IF(Source!BI31&lt;=1,AJ61,0)</f>
        <v>0</v>
      </c>
      <c r="AX61">
        <f>IF(Source!BI31=2,J61,0)</f>
        <v>0</v>
      </c>
      <c r="AY61">
        <f>IF(Source!BI31=2,J61,0)</f>
        <v>0</v>
      </c>
      <c r="BC61">
        <f>IF(Source!BI31=2,AH61,0)</f>
        <v>0</v>
      </c>
      <c r="BD61">
        <f>IF(Source!BI31=2,AJ61,0)</f>
        <v>0</v>
      </c>
    </row>
    <row r="62" spans="1:56" ht="14.25">
      <c r="A62" s="72" t="s">
        <v>48</v>
      </c>
      <c r="B62" s="72" t="str">
        <f>Source!F33</f>
        <v>999-9900</v>
      </c>
      <c r="C62" s="72" t="str">
        <f>Source!G33</f>
        <v>Строительный мусор</v>
      </c>
      <c r="D62" s="55" t="str">
        <f>Source!DW33</f>
        <v>т</v>
      </c>
      <c r="E62" s="56">
        <f>SmtRes!AT19</f>
        <v>1.2</v>
      </c>
      <c r="F62" s="56"/>
      <c r="G62" s="91">
        <f>Source!I33</f>
        <v>1.1574</v>
      </c>
      <c r="H62" s="49">
        <f>Source!AL33+Source!AO33+Source!AM33</f>
        <v>0</v>
      </c>
      <c r="I62" s="57"/>
      <c r="J62" s="49">
        <f>ROUND(Source!AC33*Source!I33,2)+ROUND(Source!AD33*Source!I33,2)+ROUND(Source!AF33*Source!I33,2)</f>
        <v>0</v>
      </c>
      <c r="K62" s="57"/>
      <c r="L62" s="49"/>
      <c r="AF62" s="47">
        <f>J62</f>
        <v>0</v>
      </c>
      <c r="AG62">
        <f>ROUND((Source!AT33/100)*((ROUND(Source!AF33*Source!I33,2)+ROUND(Source!AE33*Source!I33,2))),2)</f>
        <v>0</v>
      </c>
      <c r="AH62">
        <f>Source!X33</f>
        <v>0</v>
      </c>
      <c r="AI62">
        <f>ROUND((Source!AU33/100)*((ROUND(Source!AF33*Source!I33,2)+ROUND(Source!AE33*Source!I33,2))),2)</f>
        <v>0</v>
      </c>
      <c r="AJ62">
        <f>Source!Y33</f>
        <v>0</v>
      </c>
      <c r="AN62">
        <f>IF(Source!BI33&lt;=1,J62,0)</f>
        <v>0</v>
      </c>
      <c r="AO62">
        <f>IF(Source!BI33&lt;=1,J62,0)</f>
        <v>0</v>
      </c>
      <c r="AS62">
        <f>IF(Source!BI33&lt;=1,AH62,0)</f>
        <v>0</v>
      </c>
      <c r="AT62">
        <f>IF(Source!BI33&lt;=1,AJ62,0)</f>
        <v>0</v>
      </c>
      <c r="AX62">
        <f>IF(Source!BI33=2,J62,0)</f>
        <v>0</v>
      </c>
      <c r="AY62">
        <f>IF(Source!BI33=2,J62,0)</f>
        <v>0</v>
      </c>
      <c r="BC62">
        <f>IF(Source!BI33=2,AH62,0)</f>
        <v>0</v>
      </c>
      <c r="BD62">
        <f>IF(Source!BI33=2,AJ62,0)</f>
        <v>0</v>
      </c>
    </row>
    <row r="63" spans="1:56" ht="28.5">
      <c r="A63" s="72" t="s">
        <v>52</v>
      </c>
      <c r="B63" s="72" t="str">
        <f>Source!F35</f>
        <v>91.06.06-014</v>
      </c>
      <c r="C63" s="72" t="str">
        <f>Source!G35</f>
        <v>Автогидроподъемники, высота подъема 28 м</v>
      </c>
      <c r="D63" s="55" t="str">
        <f>Source!DW35</f>
        <v>маш.-ч.</v>
      </c>
      <c r="E63" s="91">
        <f>SmtRes!AT13</f>
        <v>87.091757</v>
      </c>
      <c r="F63" s="56"/>
      <c r="G63" s="56">
        <f>Source!I35</f>
        <v>84</v>
      </c>
      <c r="H63" s="49">
        <f>Source!AL35+Source!AO35+Source!AM35</f>
        <v>243.49</v>
      </c>
      <c r="I63" s="57"/>
      <c r="J63" s="49">
        <f>ROUND(Source!AC35*Source!I35,2)+ROUND(Source!AD35*Source!I35,2)+ROUND(Source!AF35*Source!I35,2)</f>
        <v>20453.16</v>
      </c>
      <c r="K63" s="57">
        <f>IF(Source!BB35&lt;&gt;0,Source!BB35,1)</f>
        <v>7.93</v>
      </c>
      <c r="L63" s="49">
        <f>Source!O35</f>
        <v>162193.56</v>
      </c>
      <c r="X63">
        <f>ROUND(Source!AE35*Source!I35,2)</f>
        <v>1134</v>
      </c>
      <c r="Z63">
        <f>Source!R35</f>
        <v>43500.24</v>
      </c>
      <c r="AB63" s="47">
        <f>J63</f>
        <v>20453.16</v>
      </c>
      <c r="AD63" s="47">
        <f>L63</f>
        <v>162193.56</v>
      </c>
      <c r="AG63">
        <f>ROUND((Source!AT35/100)*((ROUND(Source!AF35*Source!I35,2)+ROUND(Source!AE35*Source!I35,2))),2)</f>
        <v>1315.44</v>
      </c>
      <c r="AH63">
        <f>Source!X35</f>
        <v>50460.28</v>
      </c>
      <c r="AI63">
        <f>ROUND((Source!AU35/100)*((ROUND(Source!AF35*Source!I35,2)+ROUND(Source!AE35*Source!I35,2))),2)</f>
        <v>907.2</v>
      </c>
      <c r="AJ63">
        <f>Source!Y35</f>
        <v>34800.19</v>
      </c>
      <c r="AN63">
        <f>IF(Source!BI35&lt;=1,J63,0)</f>
        <v>20453.16</v>
      </c>
      <c r="AP63">
        <f>IF(Source!BI35&lt;=1,J63,0)</f>
        <v>20453.16</v>
      </c>
      <c r="AS63">
        <f>IF(Source!BI35&lt;=1,AH63,0)</f>
        <v>50460.28</v>
      </c>
      <c r="AT63">
        <f>IF(Source!BI35&lt;=1,AJ63,0)</f>
        <v>34800.19</v>
      </c>
      <c r="AX63">
        <f>IF(Source!BI35=2,J63,0)</f>
        <v>0</v>
      </c>
      <c r="AZ63">
        <f>IF(Source!BI35=2,J63,0)</f>
        <v>0</v>
      </c>
      <c r="BC63">
        <f>IF(Source!BI35=2,AH63,0)</f>
        <v>0</v>
      </c>
      <c r="BD63">
        <f>IF(Source!BI35=2,AJ63,0)</f>
        <v>0</v>
      </c>
    </row>
    <row r="64" spans="1:56" ht="42.75">
      <c r="A64" s="72" t="s">
        <v>62</v>
      </c>
      <c r="B64" s="72" t="str">
        <f>Source!F37</f>
        <v>91.06.06-048</v>
      </c>
      <c r="C64" s="72" t="str">
        <f>Source!G37</f>
        <v>Подъемники одномачтовые, грузоподъемность до 500 кг, высота подъема 45 м</v>
      </c>
      <c r="D64" s="55" t="str">
        <f>Source!DW37</f>
        <v>маш.-ч.</v>
      </c>
      <c r="E64" s="56">
        <f>SmtRes!AT14</f>
        <v>-0.25</v>
      </c>
      <c r="F64" s="56"/>
      <c r="G64" s="91">
        <f>Source!I37</f>
        <v>-0.241125</v>
      </c>
      <c r="H64" s="49">
        <f>Source!AL37+Source!AO37+Source!AM37</f>
        <v>31.26</v>
      </c>
      <c r="I64" s="57"/>
      <c r="J64" s="49">
        <f>ROUND(Source!AC37*Source!I37,2)+ROUND(Source!AD37*Source!I37,2)+ROUND(Source!AF37*Source!I37,2)</f>
        <v>-7.54</v>
      </c>
      <c r="K64" s="57">
        <f>IF(Source!BB37&lt;&gt;0,Source!BB37,1)</f>
        <v>18.52</v>
      </c>
      <c r="L64" s="49">
        <f>Source!O37</f>
        <v>-139.6</v>
      </c>
      <c r="X64">
        <f>ROUND(Source!AE37*Source!I37,2)</f>
        <v>-3.26</v>
      </c>
      <c r="Z64">
        <f>Source!R37</f>
        <v>-124.87</v>
      </c>
      <c r="AB64" s="47">
        <f>J64</f>
        <v>-7.54</v>
      </c>
      <c r="AD64" s="47">
        <f>L64</f>
        <v>-139.6</v>
      </c>
      <c r="AG64">
        <f>ROUND((Source!AT37/100)*((ROUND(Source!AF37*Source!I37,2)+ROUND(Source!AE37*Source!I37,2))),2)</f>
        <v>-2.93</v>
      </c>
      <c r="AH64">
        <f>Source!X37</f>
        <v>-112.38</v>
      </c>
      <c r="AI64">
        <f>ROUND((Source!AU37/100)*((ROUND(Source!AF37*Source!I37,2)+ROUND(Source!AE37*Source!I37,2))),2)</f>
        <v>-1.47</v>
      </c>
      <c r="AJ64">
        <f>Source!Y37</f>
        <v>-56.19</v>
      </c>
      <c r="AN64">
        <f>IF(Source!BI37&lt;=1,J64,0)</f>
        <v>-7.54</v>
      </c>
      <c r="AP64">
        <f>IF(Source!BI37&lt;=1,J64,0)</f>
        <v>-7.54</v>
      </c>
      <c r="AS64">
        <f>IF(Source!BI37&lt;=1,AH64,0)</f>
        <v>-112.38</v>
      </c>
      <c r="AT64">
        <f>IF(Source!BI37&lt;=1,AJ64,0)</f>
        <v>-56.19</v>
      </c>
      <c r="AX64">
        <f>IF(Source!BI37=2,J64,0)</f>
        <v>0</v>
      </c>
      <c r="AZ64">
        <f>IF(Source!BI37=2,J64,0)</f>
        <v>0</v>
      </c>
      <c r="BC64">
        <f>IF(Source!BI37=2,AH64,0)</f>
        <v>0</v>
      </c>
      <c r="BD64">
        <f>IF(Source!BI37=2,AJ64,0)</f>
        <v>0</v>
      </c>
    </row>
    <row r="65" spans="1:12" ht="14.25">
      <c r="A65" s="72"/>
      <c r="B65" s="72"/>
      <c r="C65" s="72" t="s">
        <v>331</v>
      </c>
      <c r="D65" s="55"/>
      <c r="E65" s="56"/>
      <c r="F65" s="56"/>
      <c r="G65" s="56"/>
      <c r="H65" s="49"/>
      <c r="I65" s="57"/>
      <c r="J65" s="49">
        <f>SUM(Q49:Q68)+SUM(V49:V68)+SUM(X49:X68)+SUM(Y49:Y68)</f>
        <v>2612</v>
      </c>
      <c r="K65" s="57"/>
      <c r="L65" s="49">
        <f>SUM(U49:U68)+SUM(W49:W68)+SUM(Z49:Z68)+SUM(AA49:AA68)</f>
        <v>100196.5</v>
      </c>
    </row>
    <row r="66" spans="1:12" ht="28.5">
      <c r="A66" s="72"/>
      <c r="B66" s="72" t="s">
        <v>36</v>
      </c>
      <c r="C66" s="72" t="s">
        <v>332</v>
      </c>
      <c r="D66" s="55" t="s">
        <v>333</v>
      </c>
      <c r="E66" s="56">
        <f>Source!BZ29</f>
        <v>90</v>
      </c>
      <c r="F66" s="56"/>
      <c r="G66" s="56">
        <f>Source!AT29</f>
        <v>90</v>
      </c>
      <c r="H66" s="49"/>
      <c r="I66" s="57"/>
      <c r="J66" s="49">
        <f>SUM(AG49:AG68)</f>
        <v>2645.6400000000003</v>
      </c>
      <c r="K66" s="57"/>
      <c r="L66" s="49">
        <f>SUM(AH49:AH68)</f>
        <v>101486.91999999998</v>
      </c>
    </row>
    <row r="67" spans="1:12" ht="28.5">
      <c r="A67" s="74"/>
      <c r="B67" s="74" t="s">
        <v>37</v>
      </c>
      <c r="C67" s="74" t="s">
        <v>334</v>
      </c>
      <c r="D67" s="59" t="s">
        <v>333</v>
      </c>
      <c r="E67" s="60">
        <f>Source!CA29</f>
        <v>45</v>
      </c>
      <c r="F67" s="60"/>
      <c r="G67" s="60">
        <f>Source!AU29</f>
        <v>45</v>
      </c>
      <c r="H67" s="61"/>
      <c r="I67" s="62"/>
      <c r="J67" s="61">
        <f>SUM(AI49:AI68)</f>
        <v>1572.3</v>
      </c>
      <c r="K67" s="62"/>
      <c r="L67" s="61">
        <f>SUM(AJ49:AJ68)</f>
        <v>60313.509999999995</v>
      </c>
    </row>
    <row r="68" spans="3:53" ht="15">
      <c r="C68" s="96" t="s">
        <v>335</v>
      </c>
      <c r="D68" s="96"/>
      <c r="E68" s="96"/>
      <c r="F68" s="96"/>
      <c r="G68" s="96"/>
      <c r="H68" s="96"/>
      <c r="I68" s="96">
        <f>J52+J53+J55+J66+J67+SUM(J61:J64)</f>
        <v>509716.55</v>
      </c>
      <c r="J68" s="96"/>
      <c r="K68" s="96">
        <f>L52+L53+L55+L66+L67+SUM(L61:L64)</f>
        <v>385292</v>
      </c>
      <c r="L68" s="96"/>
      <c r="O68" s="47">
        <f>I68</f>
        <v>509716.55</v>
      </c>
      <c r="P68" s="47">
        <f>K68</f>
        <v>385292</v>
      </c>
      <c r="Q68" s="47">
        <f>J52</f>
        <v>1475.2</v>
      </c>
      <c r="R68" s="47">
        <f>J52</f>
        <v>1475.2</v>
      </c>
      <c r="U68" s="47">
        <f>L52</f>
        <v>56588.78</v>
      </c>
      <c r="X68" s="47">
        <f>J54</f>
        <v>6.06</v>
      </c>
      <c r="Z68" s="47">
        <f>L54</f>
        <v>232.35</v>
      </c>
      <c r="AB68" s="47">
        <f>J53</f>
        <v>23.39</v>
      </c>
      <c r="AD68" s="47">
        <f>L53</f>
        <v>340.55</v>
      </c>
      <c r="AF68" s="47">
        <f>J55</f>
        <v>1063.27</v>
      </c>
      <c r="AN68">
        <f>IF(Source!BI29&lt;=1,J52+J53+J55+J66+J67,0)</f>
        <v>6779.8</v>
      </c>
      <c r="AO68">
        <f>IF(Source!BI29&lt;=1,J55,0)</f>
        <v>1063.27</v>
      </c>
      <c r="AP68">
        <f>IF(Source!BI29&lt;=1,J53,0)</f>
        <v>23.39</v>
      </c>
      <c r="AQ68">
        <f>IF(Source!BI29&lt;=1,J52,0)</f>
        <v>1475.2</v>
      </c>
      <c r="AX68">
        <f>IF(Source!BI29=2,J52+J53+J55+J66+J67,0)</f>
        <v>0</v>
      </c>
      <c r="AY68">
        <f>IF(Source!BI29=2,J55,0)</f>
        <v>0</v>
      </c>
      <c r="AZ68">
        <f>IF(Source!BI29=2,J53,0)</f>
        <v>0</v>
      </c>
      <c r="BA68">
        <f>IF(Source!BI29=2,J52,0)</f>
        <v>0</v>
      </c>
    </row>
    <row r="69" spans="1:56" ht="130.5">
      <c r="A69" s="72">
        <v>2</v>
      </c>
      <c r="B69" s="72" t="str">
        <f>Source!F39</f>
        <v>07-05-039-19</v>
      </c>
      <c r="C69" s="72" t="s">
        <v>336</v>
      </c>
      <c r="D69" s="55" t="str">
        <f>Source!DW39</f>
        <v>100 м</v>
      </c>
      <c r="E69" s="56">
        <f>Source!K39</f>
        <v>2.55</v>
      </c>
      <c r="F69" s="56"/>
      <c r="G69" s="56">
        <f>Source!I39</f>
        <v>2.55</v>
      </c>
      <c r="H69" s="49"/>
      <c r="I69" s="57"/>
      <c r="J69" s="49"/>
      <c r="K69" s="57"/>
      <c r="L69" s="49"/>
      <c r="AG69">
        <f>ROUND((Source!AT39/100)*((ROUND(Source!AF39*Source!I39,2)+ROUND(Source!AE39*Source!I39,2))),2)</f>
        <v>183.57</v>
      </c>
      <c r="AH69">
        <f>Source!X39</f>
        <v>7041.87</v>
      </c>
      <c r="AI69">
        <f>ROUND((Source!AU39/100)*((ROUND(Source!AF39*Source!I39,2)+ROUND(Source!AE39*Source!I39,2))),2)</f>
        <v>119.56</v>
      </c>
      <c r="AJ69">
        <f>Source!Y39</f>
        <v>4586.66</v>
      </c>
      <c r="AS69">
        <f>IF(Source!BI39&lt;=1,AH69,0)</f>
        <v>7041.87</v>
      </c>
      <c r="AT69">
        <f>IF(Source!BI39&lt;=1,AJ69,0)</f>
        <v>4586.66</v>
      </c>
      <c r="BC69">
        <f>IF(Source!BI39=2,AH69,0)</f>
        <v>0</v>
      </c>
      <c r="BD69">
        <f>IF(Source!BI39=2,AJ69,0)</f>
        <v>0</v>
      </c>
    </row>
    <row r="70" ht="38.25">
      <c r="B70" s="48" t="str">
        <f>Source!EO39</f>
        <v>Поправка: М-ка 421/пр 04.08.20 п.58 п.п. б)</v>
      </c>
    </row>
    <row r="71" ht="12.75">
      <c r="C71" s="45" t="str">
        <f>"Объем: "&amp;Source!K39&amp;"=255/"&amp;"100"</f>
        <v>Объем: 2,55=255/100</v>
      </c>
    </row>
    <row r="72" spans="1:12" ht="14.25">
      <c r="A72" s="72"/>
      <c r="B72" s="73">
        <v>1</v>
      </c>
      <c r="C72" s="72" t="s">
        <v>323</v>
      </c>
      <c r="D72" s="55"/>
      <c r="E72" s="56"/>
      <c r="F72" s="56"/>
      <c r="G72" s="56"/>
      <c r="H72" s="49">
        <f>Source!AO39</f>
        <v>58.32</v>
      </c>
      <c r="I72" s="57">
        <f>ROUND(1.15,7)</f>
        <v>1.15</v>
      </c>
      <c r="J72" s="49">
        <f>ROUND(Source!AF39*Source!I39,2)</f>
        <v>171.02</v>
      </c>
      <c r="K72" s="57">
        <f>IF(Source!BA39&lt;&gt;0,Source!BA39,1)</f>
        <v>38.36</v>
      </c>
      <c r="L72" s="49">
        <f>Source!S39</f>
        <v>6560.46</v>
      </c>
    </row>
    <row r="73" spans="1:12" ht="14.25">
      <c r="A73" s="72"/>
      <c r="B73" s="73">
        <v>3</v>
      </c>
      <c r="C73" s="72" t="s">
        <v>324</v>
      </c>
      <c r="D73" s="55"/>
      <c r="E73" s="56"/>
      <c r="F73" s="56"/>
      <c r="G73" s="56"/>
      <c r="H73" s="49">
        <f>Source!AM39</f>
        <v>8.54</v>
      </c>
      <c r="I73" s="57">
        <f>ROUND(1.25,7)</f>
        <v>1.25</v>
      </c>
      <c r="J73" s="49">
        <f>ROUND(Source!AD39*Source!I39,2)</f>
        <v>27.22</v>
      </c>
      <c r="K73" s="57">
        <f>IF(Source!BB39&lt;&gt;0,Source!BB39,1)</f>
        <v>12.68</v>
      </c>
      <c r="L73" s="49">
        <f>Source!Q39</f>
        <v>345.17</v>
      </c>
    </row>
    <row r="74" spans="1:12" ht="14.25">
      <c r="A74" s="72"/>
      <c r="B74" s="73">
        <v>2</v>
      </c>
      <c r="C74" s="72" t="s">
        <v>325</v>
      </c>
      <c r="D74" s="55"/>
      <c r="E74" s="56"/>
      <c r="F74" s="56"/>
      <c r="G74" s="56"/>
      <c r="H74" s="49">
        <f>Source!AN39</f>
        <v>1.51</v>
      </c>
      <c r="I74" s="57">
        <f>ROUND(1.25,7)</f>
        <v>1.25</v>
      </c>
      <c r="J74" s="58">
        <f>ROUND(Source!AE39*Source!I39,2)</f>
        <v>4.81</v>
      </c>
      <c r="K74" s="57">
        <f>IF(Source!BS39&lt;&gt;0,Source!BS39,1)</f>
        <v>38.36</v>
      </c>
      <c r="L74" s="58">
        <f>Source!R39</f>
        <v>184.63</v>
      </c>
    </row>
    <row r="75" spans="1:12" ht="14.25">
      <c r="A75" s="72"/>
      <c r="B75" s="73">
        <v>4</v>
      </c>
      <c r="C75" s="72" t="s">
        <v>326</v>
      </c>
      <c r="D75" s="55"/>
      <c r="E75" s="56"/>
      <c r="F75" s="56"/>
      <c r="G75" s="56"/>
      <c r="H75" s="49">
        <f>Source!AL39</f>
        <v>2919.64</v>
      </c>
      <c r="I75" s="57"/>
      <c r="J75" s="49">
        <f>ROUND(Source!AC39*Source!I39,2)</f>
        <v>7445.08</v>
      </c>
      <c r="K75" s="57">
        <f>IF(Source!BC39&lt;&gt;0,Source!BC39,1)</f>
        <v>4.57</v>
      </c>
      <c r="L75" s="49">
        <f>Source!P39</f>
        <v>34024.02</v>
      </c>
    </row>
    <row r="76" spans="1:12" ht="14.25">
      <c r="A76" s="72"/>
      <c r="B76" s="72"/>
      <c r="C76" s="72" t="s">
        <v>327</v>
      </c>
      <c r="D76" s="55" t="s">
        <v>328</v>
      </c>
      <c r="E76" s="56">
        <f>Source!AQ39</f>
        <v>6.43</v>
      </c>
      <c r="F76" s="56">
        <f>ROUND(1.15,7)</f>
        <v>1.15</v>
      </c>
      <c r="G76" s="91">
        <f>ROUND(Source!U39,7)</f>
        <v>18.855975</v>
      </c>
      <c r="H76" s="49"/>
      <c r="I76" s="57"/>
      <c r="J76" s="49"/>
      <c r="K76" s="57"/>
      <c r="L76" s="49"/>
    </row>
    <row r="77" spans="1:12" ht="14.25">
      <c r="A77" s="72"/>
      <c r="B77" s="72"/>
      <c r="C77" s="74" t="s">
        <v>329</v>
      </c>
      <c r="D77" s="59" t="s">
        <v>328</v>
      </c>
      <c r="E77" s="60">
        <f>Source!AR39</f>
        <v>0.13</v>
      </c>
      <c r="F77" s="60">
        <f>ROUND(1.25,7)</f>
        <v>1.25</v>
      </c>
      <c r="G77" s="92">
        <f>ROUND(Source!V39,7)</f>
        <v>0.414375</v>
      </c>
      <c r="H77" s="61"/>
      <c r="I77" s="62"/>
      <c r="J77" s="61"/>
      <c r="K77" s="62"/>
      <c r="L77" s="61"/>
    </row>
    <row r="78" spans="1:12" ht="14.25">
      <c r="A78" s="72"/>
      <c r="B78" s="72"/>
      <c r="C78" s="72" t="s">
        <v>330</v>
      </c>
      <c r="D78" s="55"/>
      <c r="E78" s="56"/>
      <c r="F78" s="56"/>
      <c r="G78" s="56"/>
      <c r="H78" s="49">
        <f>H72+H73+H75</f>
        <v>2986.5</v>
      </c>
      <c r="I78" s="57"/>
      <c r="J78" s="49">
        <f>J72+J73+J75</f>
        <v>7643.32</v>
      </c>
      <c r="K78" s="57"/>
      <c r="L78" s="49">
        <f>L72+L73+L75</f>
        <v>40929.649999999994</v>
      </c>
    </row>
    <row r="79" spans="1:12" ht="14.25">
      <c r="A79" s="72"/>
      <c r="B79" s="72"/>
      <c r="C79" s="72" t="s">
        <v>331</v>
      </c>
      <c r="D79" s="55"/>
      <c r="E79" s="56"/>
      <c r="F79" s="56"/>
      <c r="G79" s="56"/>
      <c r="H79" s="49"/>
      <c r="I79" s="57"/>
      <c r="J79" s="49">
        <f>SUM(Q69:Q82)+SUM(V69:V82)+SUM(X69:X82)+SUM(Y69:Y82)</f>
        <v>175.83</v>
      </c>
      <c r="K79" s="57"/>
      <c r="L79" s="49">
        <f>SUM(U69:U82)+SUM(W69:W82)+SUM(Z69:Z82)+SUM(AA69:AA82)</f>
        <v>6745.09</v>
      </c>
    </row>
    <row r="80" spans="1:12" ht="71.25">
      <c r="A80" s="72"/>
      <c r="B80" s="72" t="s">
        <v>337</v>
      </c>
      <c r="C80" s="72" t="s">
        <v>338</v>
      </c>
      <c r="D80" s="55" t="s">
        <v>333</v>
      </c>
      <c r="E80" s="56">
        <f>Source!BZ39</f>
        <v>116</v>
      </c>
      <c r="F80" s="56">
        <f>ROUND(0.9,7)</f>
        <v>0.9</v>
      </c>
      <c r="G80" s="56">
        <f>Source!AT39</f>
        <v>104.4</v>
      </c>
      <c r="H80" s="49"/>
      <c r="I80" s="57"/>
      <c r="J80" s="49">
        <f>SUM(AG69:AG82)</f>
        <v>183.57</v>
      </c>
      <c r="K80" s="57"/>
      <c r="L80" s="49">
        <f>SUM(AH69:AH82)</f>
        <v>7041.87</v>
      </c>
    </row>
    <row r="81" spans="1:12" ht="71.25">
      <c r="A81" s="74"/>
      <c r="B81" s="74" t="s">
        <v>339</v>
      </c>
      <c r="C81" s="74" t="s">
        <v>340</v>
      </c>
      <c r="D81" s="59" t="s">
        <v>333</v>
      </c>
      <c r="E81" s="60">
        <f>Source!CA39</f>
        <v>80</v>
      </c>
      <c r="F81" s="60">
        <f>ROUND(0.85,7)</f>
        <v>0.85</v>
      </c>
      <c r="G81" s="60">
        <f>Source!AU39</f>
        <v>68</v>
      </c>
      <c r="H81" s="61"/>
      <c r="I81" s="62"/>
      <c r="J81" s="61">
        <f>SUM(AI69:AI82)</f>
        <v>119.56</v>
      </c>
      <c r="K81" s="62"/>
      <c r="L81" s="61">
        <f>SUM(AJ69:AJ82)</f>
        <v>4586.66</v>
      </c>
    </row>
    <row r="82" spans="3:53" ht="15">
      <c r="C82" s="96" t="s">
        <v>335</v>
      </c>
      <c r="D82" s="96"/>
      <c r="E82" s="96"/>
      <c r="F82" s="96"/>
      <c r="G82" s="96"/>
      <c r="H82" s="96"/>
      <c r="I82" s="96">
        <f>J72+J73+J75+J80+J81</f>
        <v>7946.45</v>
      </c>
      <c r="J82" s="96"/>
      <c r="K82" s="96">
        <f>L72+L73+L75+L80+L81</f>
        <v>52558.17999999999</v>
      </c>
      <c r="L82" s="96"/>
      <c r="O82" s="47">
        <f>I82</f>
        <v>7946.45</v>
      </c>
      <c r="P82" s="47">
        <f>K82</f>
        <v>52558.17999999999</v>
      </c>
      <c r="Q82" s="47">
        <f>J72</f>
        <v>171.02</v>
      </c>
      <c r="R82" s="47">
        <f>J72</f>
        <v>171.02</v>
      </c>
      <c r="U82" s="47">
        <f>L72</f>
        <v>6560.46</v>
      </c>
      <c r="X82" s="47">
        <f>J74</f>
        <v>4.81</v>
      </c>
      <c r="Z82" s="47">
        <f>L74</f>
        <v>184.63</v>
      </c>
      <c r="AB82" s="47">
        <f>J73</f>
        <v>27.22</v>
      </c>
      <c r="AD82" s="47">
        <f>L73</f>
        <v>345.17</v>
      </c>
      <c r="AF82" s="47">
        <f>J75</f>
        <v>7445.08</v>
      </c>
      <c r="AN82">
        <f>IF(Source!BI39&lt;=1,J72+J73+J75+J80+J81,0)</f>
        <v>7946.45</v>
      </c>
      <c r="AO82">
        <f>IF(Source!BI39&lt;=1,J75,0)</f>
        <v>7445.08</v>
      </c>
      <c r="AP82">
        <f>IF(Source!BI39&lt;=1,J73,0)</f>
        <v>27.22</v>
      </c>
      <c r="AQ82">
        <f>IF(Source!BI39&lt;=1,J72,0)</f>
        <v>171.02</v>
      </c>
      <c r="AX82">
        <f>IF(Source!BI39=2,J72+J73+J75+J80+J81,0)</f>
        <v>0</v>
      </c>
      <c r="AY82">
        <f>IF(Source!BI39=2,J75,0)</f>
        <v>0</v>
      </c>
      <c r="AZ82">
        <f>IF(Source!BI39=2,J73,0)</f>
        <v>0</v>
      </c>
      <c r="BA82">
        <f>IF(Source!BI39=2,J72,0)</f>
        <v>0</v>
      </c>
    </row>
    <row r="84" spans="1:95" ht="15">
      <c r="A84" s="64"/>
      <c r="B84" s="65"/>
      <c r="C84" s="95" t="s">
        <v>341</v>
      </c>
      <c r="D84" s="95"/>
      <c r="E84" s="95"/>
      <c r="F84" s="95"/>
      <c r="G84" s="95"/>
      <c r="H84" s="95"/>
      <c r="I84" s="66"/>
      <c r="J84" s="67">
        <f>J86+J87+J88+J89</f>
        <v>513141.93000000005</v>
      </c>
      <c r="K84" s="67"/>
      <c r="L84" s="67">
        <f>L86+L87+L88+L89</f>
        <v>746912.35</v>
      </c>
      <c r="CQ84" s="76" t="s">
        <v>341</v>
      </c>
    </row>
    <row r="85" spans="1:12" ht="14.25">
      <c r="A85" s="68"/>
      <c r="B85" s="69"/>
      <c r="C85" s="93" t="s">
        <v>342</v>
      </c>
      <c r="D85" s="94"/>
      <c r="E85" s="94"/>
      <c r="F85" s="94"/>
      <c r="G85" s="94"/>
      <c r="H85" s="94"/>
      <c r="I85" s="70"/>
      <c r="J85" s="71"/>
      <c r="K85" s="71"/>
      <c r="L85" s="71"/>
    </row>
    <row r="86" spans="1:12" ht="14.25">
      <c r="A86" s="68"/>
      <c r="B86" s="69"/>
      <c r="C86" s="94" t="s">
        <v>343</v>
      </c>
      <c r="D86" s="94"/>
      <c r="E86" s="94"/>
      <c r="F86" s="94"/>
      <c r="G86" s="94"/>
      <c r="H86" s="94"/>
      <c r="I86" s="70"/>
      <c r="J86" s="71">
        <f>SUM(Q48:Q82)</f>
        <v>1646.22</v>
      </c>
      <c r="K86" s="71"/>
      <c r="L86" s="71">
        <f>SUM(U48:U82)</f>
        <v>63149.24</v>
      </c>
    </row>
    <row r="87" spans="1:12" ht="14.25">
      <c r="A87" s="68"/>
      <c r="B87" s="69"/>
      <c r="C87" s="94" t="s">
        <v>344</v>
      </c>
      <c r="D87" s="94"/>
      <c r="E87" s="94"/>
      <c r="F87" s="94"/>
      <c r="G87" s="94"/>
      <c r="H87" s="94"/>
      <c r="I87" s="70"/>
      <c r="J87" s="71">
        <f>SUM(AB48:AB82)</f>
        <v>20496.23</v>
      </c>
      <c r="K87" s="71"/>
      <c r="L87" s="71">
        <f>SUM(AD48:AD82)</f>
        <v>162739.68</v>
      </c>
    </row>
    <row r="88" spans="1:12" ht="14.25">
      <c r="A88" s="68"/>
      <c r="B88" s="69"/>
      <c r="C88" s="94" t="s">
        <v>345</v>
      </c>
      <c r="D88" s="94"/>
      <c r="E88" s="94"/>
      <c r="F88" s="94"/>
      <c r="G88" s="94"/>
      <c r="H88" s="94"/>
      <c r="I88" s="70"/>
      <c r="J88" s="71">
        <f>SUM(AF48:AF82)-J93</f>
        <v>490999.48000000004</v>
      </c>
      <c r="K88" s="71"/>
      <c r="L88" s="71">
        <f>Source!P44-L93</f>
        <v>521023.43</v>
      </c>
    </row>
    <row r="89" spans="1:12" ht="13.5" customHeight="1" hidden="1">
      <c r="A89" s="68"/>
      <c r="B89" s="69"/>
      <c r="C89" s="94" t="s">
        <v>346</v>
      </c>
      <c r="D89" s="94"/>
      <c r="E89" s="94"/>
      <c r="F89" s="94"/>
      <c r="G89" s="94"/>
      <c r="H89" s="94"/>
      <c r="I89" s="70"/>
      <c r="J89" s="71">
        <f>SUM(AR48:AR82)+SUM(BB48:BB82)+SUM(BI48:BI82)+SUM(BP48:BP82)</f>
        <v>0</v>
      </c>
      <c r="K89" s="71"/>
      <c r="L89" s="71">
        <f>Source!P66</f>
        <v>0</v>
      </c>
    </row>
    <row r="90" spans="1:12" ht="14.25">
      <c r="A90" s="68"/>
      <c r="B90" s="69"/>
      <c r="C90" s="94" t="s">
        <v>347</v>
      </c>
      <c r="D90" s="94"/>
      <c r="E90" s="94"/>
      <c r="F90" s="94"/>
      <c r="G90" s="94"/>
      <c r="H90" s="94"/>
      <c r="I90" s="70"/>
      <c r="J90" s="71">
        <f>SUM(Q48:Q82)+SUM(X48:X82)</f>
        <v>2787.83</v>
      </c>
      <c r="K90" s="71"/>
      <c r="L90" s="71">
        <f>SUM(U48:U82)+SUM(Z48:Z82)</f>
        <v>106941.59</v>
      </c>
    </row>
    <row r="91" spans="1:12" ht="14.25">
      <c r="A91" s="68"/>
      <c r="B91" s="69"/>
      <c r="C91" s="94" t="s">
        <v>348</v>
      </c>
      <c r="D91" s="94"/>
      <c r="E91" s="94"/>
      <c r="F91" s="94"/>
      <c r="G91" s="94"/>
      <c r="H91" s="94"/>
      <c r="I91" s="70"/>
      <c r="J91" s="71">
        <f>SUM(AG48:AG82)</f>
        <v>2829.2100000000005</v>
      </c>
      <c r="K91" s="71"/>
      <c r="L91" s="71">
        <f>Source!P67</f>
        <v>108528.79</v>
      </c>
    </row>
    <row r="92" spans="1:12" ht="14.25">
      <c r="A92" s="68"/>
      <c r="B92" s="69"/>
      <c r="C92" s="94" t="s">
        <v>349</v>
      </c>
      <c r="D92" s="94"/>
      <c r="E92" s="94"/>
      <c r="F92" s="94"/>
      <c r="G92" s="94"/>
      <c r="H92" s="94"/>
      <c r="I92" s="70"/>
      <c r="J92" s="71">
        <f>SUM(AI48:AI82)</f>
        <v>1691.86</v>
      </c>
      <c r="K92" s="71"/>
      <c r="L92" s="71">
        <f>Source!P68</f>
        <v>64900.17</v>
      </c>
    </row>
    <row r="93" spans="1:12" ht="13.5" customHeight="1" hidden="1">
      <c r="A93" s="68"/>
      <c r="B93" s="69"/>
      <c r="C93" s="94" t="s">
        <v>350</v>
      </c>
      <c r="D93" s="94"/>
      <c r="E93" s="94"/>
      <c r="F93" s="94"/>
      <c r="G93" s="94"/>
      <c r="H93" s="94"/>
      <c r="I93" s="70"/>
      <c r="J93" s="71">
        <f>SUM(BH48:BH82)</f>
        <v>0</v>
      </c>
      <c r="K93" s="71"/>
      <c r="L93" s="71">
        <f>Source!P50</f>
        <v>0</v>
      </c>
    </row>
    <row r="94" spans="1:12" ht="13.5" customHeight="1" hidden="1">
      <c r="A94" s="68"/>
      <c r="B94" s="69"/>
      <c r="C94" s="94" t="s">
        <v>351</v>
      </c>
      <c r="D94" s="94"/>
      <c r="E94" s="94"/>
      <c r="F94" s="94"/>
      <c r="G94" s="94"/>
      <c r="H94" s="94"/>
      <c r="I94" s="70"/>
      <c r="J94" s="71">
        <f>SUM(BM48:BM82)+SUM(BN48:BN82)+SUM(BO48:BO82)+SUM(BP48:BP82)</f>
        <v>0</v>
      </c>
      <c r="K94" s="71"/>
      <c r="L94" s="71">
        <f>Source!P60</f>
        <v>0</v>
      </c>
    </row>
    <row r="95" spans="1:12" ht="15">
      <c r="A95" s="64"/>
      <c r="B95" s="65"/>
      <c r="C95" s="95" t="s">
        <v>352</v>
      </c>
      <c r="D95" s="95"/>
      <c r="E95" s="95"/>
      <c r="F95" s="95"/>
      <c r="G95" s="95"/>
      <c r="H95" s="95"/>
      <c r="I95" s="66"/>
      <c r="J95" s="67">
        <f>J84+J91+J92+J93</f>
        <v>517663.00000000006</v>
      </c>
      <c r="K95" s="67"/>
      <c r="L95" s="67">
        <f>Source!P69</f>
        <v>920341.31</v>
      </c>
    </row>
    <row r="96" spans="1:12" ht="13.5" customHeight="1" hidden="1">
      <c r="A96" s="68"/>
      <c r="B96" s="69"/>
      <c r="C96" s="93" t="s">
        <v>353</v>
      </c>
      <c r="D96" s="94"/>
      <c r="E96" s="94"/>
      <c r="F96" s="94"/>
      <c r="G96" s="94"/>
      <c r="H96" s="94"/>
      <c r="I96" s="70"/>
      <c r="J96" s="71"/>
      <c r="K96" s="71"/>
      <c r="L96" s="71"/>
    </row>
    <row r="97" spans="1:12" ht="13.5" customHeight="1" hidden="1">
      <c r="A97" s="68"/>
      <c r="B97" s="69"/>
      <c r="C97" s="94" t="s">
        <v>354</v>
      </c>
      <c r="D97" s="94"/>
      <c r="E97" s="94"/>
      <c r="F97" s="94"/>
      <c r="G97" s="94"/>
      <c r="H97" s="94"/>
      <c r="I97" s="70"/>
      <c r="J97" s="71"/>
      <c r="K97" s="71"/>
      <c r="L97" s="71">
        <f>SUM(BS48:BS82)</f>
        <v>0</v>
      </c>
    </row>
    <row r="98" spans="1:12" ht="13.5" customHeight="1" hidden="1">
      <c r="A98" s="68"/>
      <c r="B98" s="69"/>
      <c r="C98" s="94" t="s">
        <v>355</v>
      </c>
      <c r="D98" s="94"/>
      <c r="E98" s="94"/>
      <c r="F98" s="94"/>
      <c r="G98" s="94"/>
      <c r="H98" s="94"/>
      <c r="I98" s="70"/>
      <c r="J98" s="71"/>
      <c r="K98" s="71"/>
      <c r="L98" s="71">
        <f>SUM(BT48:BT82)</f>
        <v>0</v>
      </c>
    </row>
    <row r="99" spans="3:12" ht="14.25">
      <c r="C99" s="101" t="str">
        <f>Source!H70</f>
        <v>итого по разделу</v>
      </c>
      <c r="D99" s="101"/>
      <c r="E99" s="101"/>
      <c r="F99" s="101"/>
      <c r="G99" s="101"/>
      <c r="H99" s="101"/>
      <c r="I99" s="101"/>
      <c r="J99" s="101"/>
      <c r="K99" s="101"/>
      <c r="L99" s="49">
        <f>IF(Source!AB70=0,"",Source!AB70)</f>
        <v>920341.31</v>
      </c>
    </row>
    <row r="101" spans="1:12" ht="16.5">
      <c r="A101" s="97" t="s">
        <v>356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56" ht="28.5">
      <c r="A102" s="72">
        <v>3</v>
      </c>
      <c r="B102" s="72" t="str">
        <f>Source!F77</f>
        <v>69-15-1</v>
      </c>
      <c r="C102" s="72" t="str">
        <f>Source!G77</f>
        <v>Затаривание строительного мусора в мешки</v>
      </c>
      <c r="D102" s="55" t="str">
        <f>Source!DW77</f>
        <v>т</v>
      </c>
      <c r="E102" s="91">
        <f>Source!K77</f>
        <v>2.3674</v>
      </c>
      <c r="F102" s="56"/>
      <c r="G102" s="91">
        <f>Source!I77</f>
        <v>2.3674</v>
      </c>
      <c r="H102" s="49"/>
      <c r="I102" s="57"/>
      <c r="J102" s="49"/>
      <c r="K102" s="57"/>
      <c r="L102" s="49"/>
      <c r="AG102">
        <f>ROUND((Source!AT77/100)*((ROUND(Source!AF77*Source!I77,2)+ROUND(Source!AE77*Source!I77,2))),2)</f>
        <v>16.14</v>
      </c>
      <c r="AH102">
        <f>Source!X77</f>
        <v>619.1</v>
      </c>
      <c r="AI102">
        <f>ROUND((Source!AU77/100)*((ROUND(Source!AF77*Source!I77,2)+ROUND(Source!AE77*Source!I77,2))),2)</f>
        <v>7.72</v>
      </c>
      <c r="AJ102">
        <f>Source!Y77</f>
        <v>296.09</v>
      </c>
      <c r="AS102">
        <f>IF(Source!BI77&lt;=1,AH102,0)</f>
        <v>619.1</v>
      </c>
      <c r="AT102">
        <f>IF(Source!BI77&lt;=1,AJ102,0)</f>
        <v>296.09</v>
      </c>
      <c r="BC102">
        <f>IF(Source!BI77=2,AH102,0)</f>
        <v>0</v>
      </c>
      <c r="BD102">
        <f>IF(Source!BI77=2,AJ102,0)</f>
        <v>0</v>
      </c>
    </row>
    <row r="104" spans="1:12" ht="14.25">
      <c r="A104" s="72"/>
      <c r="B104" s="73">
        <v>1</v>
      </c>
      <c r="C104" s="72" t="s">
        <v>323</v>
      </c>
      <c r="D104" s="55"/>
      <c r="E104" s="56"/>
      <c r="F104" s="91"/>
      <c r="G104" s="56"/>
      <c r="H104" s="49">
        <f>Source!AO77</f>
        <v>7.41</v>
      </c>
      <c r="I104" s="57"/>
      <c r="J104" s="49">
        <f>ROUND(Source!AF77*Source!I77,2)</f>
        <v>17.54</v>
      </c>
      <c r="K104" s="57">
        <f>IF(Source!BA77&lt;&gt;0,Source!BA77,1)</f>
        <v>38.36</v>
      </c>
      <c r="L104" s="49">
        <f>Source!S77</f>
        <v>672.93</v>
      </c>
    </row>
    <row r="105" spans="1:12" ht="14.25">
      <c r="A105" s="72"/>
      <c r="B105" s="73">
        <v>4</v>
      </c>
      <c r="C105" s="72" t="s">
        <v>326</v>
      </c>
      <c r="D105" s="55"/>
      <c r="E105" s="56"/>
      <c r="F105" s="56"/>
      <c r="G105" s="56"/>
      <c r="H105" s="49">
        <f>Source!AL77</f>
        <v>16.4</v>
      </c>
      <c r="I105" s="57"/>
      <c r="J105" s="49">
        <f>ROUND(Source!AC77*Source!I77,2)</f>
        <v>38.83</v>
      </c>
      <c r="K105" s="57">
        <f>IF(Source!BC77&lt;&gt;0,Source!BC77,1)</f>
        <v>7.27</v>
      </c>
      <c r="L105" s="49">
        <f>Source!P77</f>
        <v>282.26</v>
      </c>
    </row>
    <row r="106" spans="1:12" ht="14.25">
      <c r="A106" s="72"/>
      <c r="B106" s="72"/>
      <c r="C106" s="74" t="s">
        <v>327</v>
      </c>
      <c r="D106" s="59" t="s">
        <v>328</v>
      </c>
      <c r="E106" s="60">
        <f>Source!AQ77</f>
        <v>1.03</v>
      </c>
      <c r="F106" s="60"/>
      <c r="G106" s="92">
        <f>ROUND(Source!U77,7)</f>
        <v>2.438422</v>
      </c>
      <c r="H106" s="61"/>
      <c r="I106" s="62"/>
      <c r="J106" s="61"/>
      <c r="K106" s="62"/>
      <c r="L106" s="61"/>
    </row>
    <row r="107" spans="1:12" ht="14.25">
      <c r="A107" s="72"/>
      <c r="B107" s="72"/>
      <c r="C107" s="72" t="s">
        <v>330</v>
      </c>
      <c r="D107" s="55"/>
      <c r="E107" s="56"/>
      <c r="F107" s="56"/>
      <c r="G107" s="56"/>
      <c r="H107" s="49">
        <f>H104+H105</f>
        <v>23.81</v>
      </c>
      <c r="I107" s="57"/>
      <c r="J107" s="49">
        <f>J104+J105</f>
        <v>56.37</v>
      </c>
      <c r="K107" s="57"/>
      <c r="L107" s="49">
        <f>L104+L105</f>
        <v>955.1899999999999</v>
      </c>
    </row>
    <row r="108" spans="1:12" ht="14.25">
      <c r="A108" s="72"/>
      <c r="B108" s="72"/>
      <c r="C108" s="72" t="s">
        <v>331</v>
      </c>
      <c r="D108" s="55"/>
      <c r="E108" s="56"/>
      <c r="F108" s="56"/>
      <c r="G108" s="56"/>
      <c r="H108" s="49"/>
      <c r="I108" s="57"/>
      <c r="J108" s="49">
        <f>SUM(Q102:Q111)+SUM(V102:V111)+SUM(X102:X111)+SUM(Y102:Y111)</f>
        <v>17.54</v>
      </c>
      <c r="K108" s="57"/>
      <c r="L108" s="49">
        <f>SUM(U102:U111)+SUM(W102:W111)+SUM(Z102:Z111)+SUM(AA102:AA111)</f>
        <v>672.93</v>
      </c>
    </row>
    <row r="109" spans="1:12" ht="28.5">
      <c r="A109" s="72"/>
      <c r="B109" s="72" t="s">
        <v>139</v>
      </c>
      <c r="C109" s="72" t="s">
        <v>357</v>
      </c>
      <c r="D109" s="55" t="s">
        <v>333</v>
      </c>
      <c r="E109" s="56">
        <f>Source!BZ77</f>
        <v>92</v>
      </c>
      <c r="F109" s="56"/>
      <c r="G109" s="56">
        <f>Source!AT77</f>
        <v>92</v>
      </c>
      <c r="H109" s="49"/>
      <c r="I109" s="57"/>
      <c r="J109" s="49">
        <f>SUM(AG102:AG111)</f>
        <v>16.14</v>
      </c>
      <c r="K109" s="57"/>
      <c r="L109" s="49">
        <f>SUM(AH102:AH111)</f>
        <v>619.1</v>
      </c>
    </row>
    <row r="110" spans="1:12" ht="28.5">
      <c r="A110" s="74"/>
      <c r="B110" s="74" t="s">
        <v>140</v>
      </c>
      <c r="C110" s="74" t="s">
        <v>358</v>
      </c>
      <c r="D110" s="59" t="s">
        <v>333</v>
      </c>
      <c r="E110" s="60">
        <f>Source!CA77</f>
        <v>44</v>
      </c>
      <c r="F110" s="60"/>
      <c r="G110" s="60">
        <f>Source!AU77</f>
        <v>44</v>
      </c>
      <c r="H110" s="61"/>
      <c r="I110" s="62"/>
      <c r="J110" s="61">
        <f>SUM(AI102:AI111)</f>
        <v>7.72</v>
      </c>
      <c r="K110" s="62"/>
      <c r="L110" s="61">
        <f>SUM(AJ102:AJ111)</f>
        <v>296.09</v>
      </c>
    </row>
    <row r="111" spans="3:53" ht="15">
      <c r="C111" s="96" t="s">
        <v>335</v>
      </c>
      <c r="D111" s="96"/>
      <c r="E111" s="96"/>
      <c r="F111" s="96"/>
      <c r="G111" s="96"/>
      <c r="H111" s="96"/>
      <c r="I111" s="96">
        <f>J104+J105+J109+J110</f>
        <v>80.22999999999999</v>
      </c>
      <c r="J111" s="96"/>
      <c r="K111" s="96">
        <f>L104+L105+L109+L110</f>
        <v>1870.3799999999999</v>
      </c>
      <c r="L111" s="96"/>
      <c r="O111" s="47">
        <f>I111</f>
        <v>80.22999999999999</v>
      </c>
      <c r="P111" s="47">
        <f>K111</f>
        <v>1870.3799999999999</v>
      </c>
      <c r="Q111" s="47">
        <f>J104</f>
        <v>17.54</v>
      </c>
      <c r="R111" s="47">
        <f>J104</f>
        <v>17.54</v>
      </c>
      <c r="U111" s="47">
        <f>L104</f>
        <v>672.93</v>
      </c>
      <c r="X111">
        <f>0</f>
        <v>0</v>
      </c>
      <c r="Z111">
        <f>0</f>
        <v>0</v>
      </c>
      <c r="AB111">
        <f>0</f>
        <v>0</v>
      </c>
      <c r="AD111">
        <f>0</f>
        <v>0</v>
      </c>
      <c r="AF111" s="47">
        <f>J105</f>
        <v>38.83</v>
      </c>
      <c r="AN111">
        <f>IF(Source!BI77&lt;=1,J104+J105+J109+J110,0)</f>
        <v>80.22999999999999</v>
      </c>
      <c r="AO111">
        <f>IF(Source!BI77&lt;=1,J105,0)</f>
        <v>38.83</v>
      </c>
      <c r="AP111">
        <f>IF(Source!BI77&lt;=1,0,0)</f>
        <v>0</v>
      </c>
      <c r="AQ111">
        <f>IF(Source!BI77&lt;=1,J104,0)</f>
        <v>17.54</v>
      </c>
      <c r="AX111">
        <f>IF(Source!BI77=2,J104+J105+J109+J110,0)</f>
        <v>0</v>
      </c>
      <c r="AY111">
        <f>IF(Source!BI77=2,J105,0)</f>
        <v>0</v>
      </c>
      <c r="AZ111">
        <f>IF(Source!BI77=2,0,0)</f>
        <v>0</v>
      </c>
      <c r="BA111">
        <f>IF(Source!BI77=2,J104,0)</f>
        <v>0</v>
      </c>
    </row>
    <row r="112" spans="1:56" ht="42.75">
      <c r="A112" s="72">
        <v>4</v>
      </c>
      <c r="B112" s="72" t="str">
        <f>Source!F79</f>
        <v>т01-01-01-041</v>
      </c>
      <c r="C112" s="72" t="str">
        <f>Source!G79</f>
        <v>Погрузочные работы при автомобильных перевозках мусора строительного с погрузкой вручную</v>
      </c>
      <c r="D112" s="55" t="str">
        <f>Source!DW79</f>
        <v>1 Т ГРУЗА</v>
      </c>
      <c r="E112" s="91">
        <f>Source!K79</f>
        <v>2.3674</v>
      </c>
      <c r="F112" s="56"/>
      <c r="G112" s="91">
        <f>Source!I79</f>
        <v>2.3674</v>
      </c>
      <c r="H112" s="49">
        <f>Source!AK79</f>
        <v>42.98</v>
      </c>
      <c r="I112" s="57"/>
      <c r="J112" s="49">
        <f>ROUND(Source!AB79*Source!I79,2)</f>
        <v>101.75</v>
      </c>
      <c r="K112" s="57">
        <f>Source!AZ79</f>
        <v>14.12</v>
      </c>
      <c r="L112" s="49">
        <f>Source!GM79</f>
        <v>1436.72</v>
      </c>
      <c r="AG112">
        <f>ROUND((Source!AT79/100)*((ROUND(0*Source!I79,2)+ROUND(0*Source!I79,2))),2)</f>
        <v>0</v>
      </c>
      <c r="AH112">
        <f>Source!X79</f>
        <v>0</v>
      </c>
      <c r="AI112">
        <f>ROUND((Source!AU79/100)*((ROUND(0*Source!I79,2)+ROUND(0*Source!I79,2))),2)</f>
        <v>0</v>
      </c>
      <c r="AJ112">
        <f>Source!Y79</f>
        <v>0</v>
      </c>
      <c r="AS112">
        <f>IF(Source!BI79&lt;=1,AH112,0)</f>
        <v>0</v>
      </c>
      <c r="AT112">
        <f>IF(Source!BI79&lt;=1,AJ112,0)</f>
        <v>0</v>
      </c>
      <c r="BC112">
        <f>IF(Source!BI79=2,AH112,0)</f>
        <v>0</v>
      </c>
      <c r="BD112">
        <f>IF(Source!BI79=2,AJ112,0)</f>
        <v>0</v>
      </c>
    </row>
    <row r="113" spans="1:12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</row>
    <row r="114" spans="3:61" ht="15">
      <c r="C114" s="96" t="s">
        <v>335</v>
      </c>
      <c r="D114" s="96"/>
      <c r="E114" s="96"/>
      <c r="F114" s="96"/>
      <c r="G114" s="96"/>
      <c r="H114" s="96"/>
      <c r="I114" s="96">
        <f>J112</f>
        <v>101.75</v>
      </c>
      <c r="J114" s="96"/>
      <c r="K114" s="96">
        <f>L112</f>
        <v>1436.72</v>
      </c>
      <c r="L114" s="96"/>
      <c r="O114" s="47">
        <f>I114</f>
        <v>101.75</v>
      </c>
      <c r="P114" s="47">
        <f>K114</f>
        <v>1436.72</v>
      </c>
      <c r="R114">
        <f>0</f>
        <v>0</v>
      </c>
      <c r="V114">
        <f>0</f>
        <v>0</v>
      </c>
      <c r="W114">
        <f>0</f>
        <v>0</v>
      </c>
      <c r="Y114">
        <f>0</f>
        <v>0</v>
      </c>
      <c r="AA114">
        <f>0</f>
        <v>0</v>
      </c>
      <c r="AC114">
        <f>0</f>
        <v>0</v>
      </c>
      <c r="AE114">
        <f>0</f>
        <v>0</v>
      </c>
      <c r="AF114">
        <f>0</f>
        <v>0</v>
      </c>
      <c r="AO114">
        <f>IF(Source!BI79&lt;=1,0,0)</f>
        <v>0</v>
      </c>
      <c r="AR114">
        <f>IF(Source!BI79&lt;=1,J112,0)</f>
        <v>101.75</v>
      </c>
      <c r="AY114">
        <f>IF(Source!BI79=2,0,0)</f>
        <v>0</v>
      </c>
      <c r="BB114">
        <f>IF(Source!BI79=2,J112,0)</f>
        <v>0</v>
      </c>
      <c r="BI114">
        <f>IF(Source!BI79=3,J112,0)</f>
        <v>0</v>
      </c>
    </row>
    <row r="115" spans="1:56" ht="57">
      <c r="A115" s="72">
        <v>5</v>
      </c>
      <c r="B115" s="72" t="str">
        <f>Source!F81</f>
        <v>т03-02-01-050</v>
      </c>
      <c r="C115" s="72" t="str">
        <f>Source!G81</f>
        <v>Перевозка грузов I класса автомобилями бортовыми грузоподъемностью до 5 т на расстояние: до 50 км</v>
      </c>
      <c r="D115" s="55" t="str">
        <f>Source!DW81</f>
        <v>1 Т ГРУЗА</v>
      </c>
      <c r="E115" s="91">
        <f>Source!K81</f>
        <v>2.3674</v>
      </c>
      <c r="F115" s="56"/>
      <c r="G115" s="91">
        <f>Source!I81</f>
        <v>2.3674</v>
      </c>
      <c r="H115" s="49">
        <f>Source!AK81</f>
        <v>46.37</v>
      </c>
      <c r="I115" s="57"/>
      <c r="J115" s="49">
        <f>ROUND(Source!AB81*Source!I81,2)</f>
        <v>109.78</v>
      </c>
      <c r="K115" s="57">
        <f>Source!AZ81</f>
        <v>10.49</v>
      </c>
      <c r="L115" s="49">
        <f>Source!GM81</f>
        <v>1151.55</v>
      </c>
      <c r="AG115">
        <f>ROUND((Source!AT81/100)*((ROUND(0*Source!I81,2)+ROUND(0*Source!I81,2))),2)</f>
        <v>0</v>
      </c>
      <c r="AH115">
        <f>Source!X81</f>
        <v>0</v>
      </c>
      <c r="AI115">
        <f>ROUND((Source!AU81/100)*((ROUND(0*Source!I81,2)+ROUND(0*Source!I81,2))),2)</f>
        <v>0</v>
      </c>
      <c r="AJ115">
        <f>Source!Y81</f>
        <v>0</v>
      </c>
      <c r="AS115">
        <f>IF(Source!BI81&lt;=1,AH115,0)</f>
        <v>0</v>
      </c>
      <c r="AT115">
        <f>IF(Source!BI81&lt;=1,AJ115,0)</f>
        <v>0</v>
      </c>
      <c r="BC115">
        <f>IF(Source!BI81=2,AH115,0)</f>
        <v>0</v>
      </c>
      <c r="BD115">
        <f>IF(Source!BI81=2,AJ115,0)</f>
        <v>0</v>
      </c>
    </row>
    <row r="116" spans="1:12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</row>
    <row r="117" spans="3:61" ht="15">
      <c r="C117" s="96" t="s">
        <v>335</v>
      </c>
      <c r="D117" s="96"/>
      <c r="E117" s="96"/>
      <c r="F117" s="96"/>
      <c r="G117" s="96"/>
      <c r="H117" s="96"/>
      <c r="I117" s="96">
        <f>J115</f>
        <v>109.78</v>
      </c>
      <c r="J117" s="96"/>
      <c r="K117" s="96">
        <f>L115</f>
        <v>1151.55</v>
      </c>
      <c r="L117" s="96"/>
      <c r="O117" s="47">
        <f>I117</f>
        <v>109.78</v>
      </c>
      <c r="P117" s="47">
        <f>K117</f>
        <v>1151.55</v>
      </c>
      <c r="R117">
        <f>0</f>
        <v>0</v>
      </c>
      <c r="V117">
        <f>0</f>
        <v>0</v>
      </c>
      <c r="W117">
        <f>0</f>
        <v>0</v>
      </c>
      <c r="Y117">
        <f>0</f>
        <v>0</v>
      </c>
      <c r="AA117">
        <f>0</f>
        <v>0</v>
      </c>
      <c r="AC117">
        <f>0</f>
        <v>0</v>
      </c>
      <c r="AE117">
        <f>0</f>
        <v>0</v>
      </c>
      <c r="AF117">
        <f>0</f>
        <v>0</v>
      </c>
      <c r="AO117">
        <f>IF(Source!BI81&lt;=1,0,0)</f>
        <v>0</v>
      </c>
      <c r="AR117">
        <f>IF(Source!BI81&lt;=1,J115,0)</f>
        <v>109.78</v>
      </c>
      <c r="AY117">
        <f>IF(Source!BI81=2,0,0)</f>
        <v>0</v>
      </c>
      <c r="BB117">
        <f>IF(Source!BI81=2,J115,0)</f>
        <v>0</v>
      </c>
      <c r="BI117">
        <f>IF(Source!BI81=3,J115,0)</f>
        <v>0</v>
      </c>
    </row>
    <row r="119" spans="1:95" ht="15">
      <c r="A119" s="64"/>
      <c r="B119" s="65"/>
      <c r="C119" s="95" t="s">
        <v>341</v>
      </c>
      <c r="D119" s="95"/>
      <c r="E119" s="95"/>
      <c r="F119" s="95"/>
      <c r="G119" s="95"/>
      <c r="H119" s="95"/>
      <c r="I119" s="66"/>
      <c r="J119" s="67">
        <f>J121+J122+J123+J124</f>
        <v>267.9</v>
      </c>
      <c r="K119" s="67"/>
      <c r="L119" s="67">
        <f>L121+L122+L123+L124</f>
        <v>3543.46</v>
      </c>
      <c r="CQ119" s="76" t="s">
        <v>341</v>
      </c>
    </row>
    <row r="120" spans="1:12" ht="14.25">
      <c r="A120" s="68"/>
      <c r="B120" s="69"/>
      <c r="C120" s="93" t="s">
        <v>342</v>
      </c>
      <c r="D120" s="94"/>
      <c r="E120" s="94"/>
      <c r="F120" s="94"/>
      <c r="G120" s="94"/>
      <c r="H120" s="94"/>
      <c r="I120" s="70"/>
      <c r="J120" s="71"/>
      <c r="K120" s="71"/>
      <c r="L120" s="71"/>
    </row>
    <row r="121" spans="1:12" ht="14.25">
      <c r="A121" s="68"/>
      <c r="B121" s="69"/>
      <c r="C121" s="94" t="s">
        <v>343</v>
      </c>
      <c r="D121" s="94"/>
      <c r="E121" s="94"/>
      <c r="F121" s="94"/>
      <c r="G121" s="94"/>
      <c r="H121" s="94"/>
      <c r="I121" s="70"/>
      <c r="J121" s="71">
        <f>SUM(Q101:Q117)</f>
        <v>17.54</v>
      </c>
      <c r="K121" s="71"/>
      <c r="L121" s="71">
        <f>SUM(U101:U117)</f>
        <v>672.93</v>
      </c>
    </row>
    <row r="122" spans="1:12" ht="13.5" customHeight="1" hidden="1">
      <c r="A122" s="68"/>
      <c r="B122" s="69"/>
      <c r="C122" s="94" t="s">
        <v>344</v>
      </c>
      <c r="D122" s="94"/>
      <c r="E122" s="94"/>
      <c r="F122" s="94"/>
      <c r="G122" s="94"/>
      <c r="H122" s="94"/>
      <c r="I122" s="70"/>
      <c r="J122" s="71">
        <f>SUM(AB101:AB117)</f>
        <v>0</v>
      </c>
      <c r="K122" s="71"/>
      <c r="L122" s="71">
        <f>SUM(AD101:AD117)</f>
        <v>0</v>
      </c>
    </row>
    <row r="123" spans="1:12" ht="14.25">
      <c r="A123" s="68"/>
      <c r="B123" s="69"/>
      <c r="C123" s="94" t="s">
        <v>345</v>
      </c>
      <c r="D123" s="94"/>
      <c r="E123" s="94"/>
      <c r="F123" s="94"/>
      <c r="G123" s="94"/>
      <c r="H123" s="94"/>
      <c r="I123" s="70"/>
      <c r="J123" s="71">
        <f>SUM(AF101:AF117)-J128</f>
        <v>38.83</v>
      </c>
      <c r="K123" s="71"/>
      <c r="L123" s="71">
        <f>Source!P86-L128</f>
        <v>282.26</v>
      </c>
    </row>
    <row r="124" spans="1:12" ht="14.25">
      <c r="A124" s="68"/>
      <c r="B124" s="69"/>
      <c r="C124" s="94" t="s">
        <v>346</v>
      </c>
      <c r="D124" s="94"/>
      <c r="E124" s="94"/>
      <c r="F124" s="94"/>
      <c r="G124" s="94"/>
      <c r="H124" s="94"/>
      <c r="I124" s="70"/>
      <c r="J124" s="71">
        <f>SUM(AR101:AR117)+SUM(BB101:BB117)+SUM(BI101:BI117)+SUM(BP101:BP117)</f>
        <v>211.53</v>
      </c>
      <c r="K124" s="71"/>
      <c r="L124" s="71">
        <f>Source!P108</f>
        <v>2588.27</v>
      </c>
    </row>
    <row r="125" spans="1:12" ht="14.25">
      <c r="A125" s="68"/>
      <c r="B125" s="69"/>
      <c r="C125" s="94" t="s">
        <v>347</v>
      </c>
      <c r="D125" s="94"/>
      <c r="E125" s="94"/>
      <c r="F125" s="94"/>
      <c r="G125" s="94"/>
      <c r="H125" s="94"/>
      <c r="I125" s="70"/>
      <c r="J125" s="71">
        <f>SUM(Q101:Q117)+SUM(X101:X117)</f>
        <v>17.54</v>
      </c>
      <c r="K125" s="71"/>
      <c r="L125" s="71">
        <f>SUM(U101:U117)+SUM(Z101:Z117)</f>
        <v>672.93</v>
      </c>
    </row>
    <row r="126" spans="1:12" ht="14.25">
      <c r="A126" s="68"/>
      <c r="B126" s="69"/>
      <c r="C126" s="94" t="s">
        <v>348</v>
      </c>
      <c r="D126" s="94"/>
      <c r="E126" s="94"/>
      <c r="F126" s="94"/>
      <c r="G126" s="94"/>
      <c r="H126" s="94"/>
      <c r="I126" s="70"/>
      <c r="J126" s="71">
        <f>SUM(AG101:AG117)</f>
        <v>16.14</v>
      </c>
      <c r="K126" s="71"/>
      <c r="L126" s="71">
        <f>Source!P109</f>
        <v>619.1</v>
      </c>
    </row>
    <row r="127" spans="1:12" ht="14.25">
      <c r="A127" s="68"/>
      <c r="B127" s="69"/>
      <c r="C127" s="94" t="s">
        <v>349</v>
      </c>
      <c r="D127" s="94"/>
      <c r="E127" s="94"/>
      <c r="F127" s="94"/>
      <c r="G127" s="94"/>
      <c r="H127" s="94"/>
      <c r="I127" s="70"/>
      <c r="J127" s="71">
        <f>SUM(AI101:AI117)</f>
        <v>7.72</v>
      </c>
      <c r="K127" s="71"/>
      <c r="L127" s="71">
        <f>Source!P110</f>
        <v>296.09</v>
      </c>
    </row>
    <row r="128" spans="1:12" ht="13.5" customHeight="1" hidden="1">
      <c r="A128" s="68"/>
      <c r="B128" s="69"/>
      <c r="C128" s="94" t="s">
        <v>350</v>
      </c>
      <c r="D128" s="94"/>
      <c r="E128" s="94"/>
      <c r="F128" s="94"/>
      <c r="G128" s="94"/>
      <c r="H128" s="94"/>
      <c r="I128" s="70"/>
      <c r="J128" s="71">
        <f>SUM(BH101:BH117)</f>
        <v>0</v>
      </c>
      <c r="K128" s="71"/>
      <c r="L128" s="71">
        <f>Source!P92</f>
        <v>0</v>
      </c>
    </row>
    <row r="129" spans="1:12" ht="13.5" customHeight="1" hidden="1">
      <c r="A129" s="68"/>
      <c r="B129" s="69"/>
      <c r="C129" s="94" t="s">
        <v>351</v>
      </c>
      <c r="D129" s="94"/>
      <c r="E129" s="94"/>
      <c r="F129" s="94"/>
      <c r="G129" s="94"/>
      <c r="H129" s="94"/>
      <c r="I129" s="70"/>
      <c r="J129" s="71">
        <f>SUM(BM101:BM117)+SUM(BN101:BN117)+SUM(BO101:BO117)+SUM(BP101:BP117)</f>
        <v>0</v>
      </c>
      <c r="K129" s="71"/>
      <c r="L129" s="71">
        <f>Source!P102</f>
        <v>0</v>
      </c>
    </row>
    <row r="130" spans="1:12" ht="15">
      <c r="A130" s="64"/>
      <c r="B130" s="65"/>
      <c r="C130" s="95" t="s">
        <v>352</v>
      </c>
      <c r="D130" s="95"/>
      <c r="E130" s="95"/>
      <c r="F130" s="95"/>
      <c r="G130" s="95"/>
      <c r="H130" s="95"/>
      <c r="I130" s="66"/>
      <c r="J130" s="67">
        <f>J119+J126+J127+J128</f>
        <v>291.76</v>
      </c>
      <c r="K130" s="67"/>
      <c r="L130" s="67">
        <f>Source!P111</f>
        <v>4458.65</v>
      </c>
    </row>
    <row r="131" spans="1:12" ht="13.5" customHeight="1" hidden="1">
      <c r="A131" s="68"/>
      <c r="B131" s="69"/>
      <c r="C131" s="93" t="s">
        <v>353</v>
      </c>
      <c r="D131" s="94"/>
      <c r="E131" s="94"/>
      <c r="F131" s="94"/>
      <c r="G131" s="94"/>
      <c r="H131" s="94"/>
      <c r="I131" s="70"/>
      <c r="J131" s="71"/>
      <c r="K131" s="71"/>
      <c r="L131" s="71"/>
    </row>
    <row r="132" spans="1:12" ht="13.5" customHeight="1" hidden="1">
      <c r="A132" s="68"/>
      <c r="B132" s="69"/>
      <c r="C132" s="94" t="s">
        <v>354</v>
      </c>
      <c r="D132" s="94"/>
      <c r="E132" s="94"/>
      <c r="F132" s="94"/>
      <c r="G132" s="94"/>
      <c r="H132" s="94"/>
      <c r="I132" s="70"/>
      <c r="J132" s="71"/>
      <c r="K132" s="71"/>
      <c r="L132" s="71">
        <f>SUM(BS101:BS117)</f>
        <v>0</v>
      </c>
    </row>
    <row r="133" spans="1:12" ht="13.5" customHeight="1" hidden="1">
      <c r="A133" s="68"/>
      <c r="B133" s="69"/>
      <c r="C133" s="94" t="s">
        <v>355</v>
      </c>
      <c r="D133" s="94"/>
      <c r="E133" s="94"/>
      <c r="F133" s="94"/>
      <c r="G133" s="94"/>
      <c r="H133" s="94"/>
      <c r="I133" s="70"/>
      <c r="J133" s="71"/>
      <c r="K133" s="71"/>
      <c r="L133" s="71">
        <f>SUM(BT101:BT117)</f>
        <v>0</v>
      </c>
    </row>
    <row r="134" spans="3:12" ht="14.25">
      <c r="C134" s="101" t="str">
        <f>Source!H112</f>
        <v>итого по разделу</v>
      </c>
      <c r="D134" s="101"/>
      <c r="E134" s="101"/>
      <c r="F134" s="101"/>
      <c r="G134" s="101"/>
      <c r="H134" s="101"/>
      <c r="I134" s="101"/>
      <c r="J134" s="101"/>
      <c r="K134" s="101"/>
      <c r="L134" s="49">
        <f>IF(Source!AB112=0,"",Source!AB112)</f>
        <v>4458.65</v>
      </c>
    </row>
    <row r="136" spans="1:12" ht="15">
      <c r="A136" s="64"/>
      <c r="B136" s="65"/>
      <c r="C136" s="95" t="s">
        <v>359</v>
      </c>
      <c r="D136" s="95"/>
      <c r="E136" s="95"/>
      <c r="F136" s="95"/>
      <c r="G136" s="95"/>
      <c r="H136" s="95"/>
      <c r="I136" s="66"/>
      <c r="J136" s="67"/>
      <c r="K136" s="67"/>
      <c r="L136" s="67"/>
    </row>
    <row r="137" spans="1:12" ht="15">
      <c r="A137" s="64"/>
      <c r="B137" s="65"/>
      <c r="C137" s="95" t="s">
        <v>360</v>
      </c>
      <c r="D137" s="95"/>
      <c r="E137" s="95"/>
      <c r="F137" s="95"/>
      <c r="G137" s="95"/>
      <c r="H137" s="95"/>
      <c r="I137" s="66"/>
      <c r="J137" s="67">
        <f>J139+J140+J141+J142</f>
        <v>513409.8300000001</v>
      </c>
      <c r="K137" s="67"/>
      <c r="L137" s="67">
        <f>L139+L140+L141+L142</f>
        <v>750455.81</v>
      </c>
    </row>
    <row r="138" spans="1:12" ht="14.25">
      <c r="A138" s="68"/>
      <c r="B138" s="69"/>
      <c r="C138" s="93" t="s">
        <v>342</v>
      </c>
      <c r="D138" s="94"/>
      <c r="E138" s="94"/>
      <c r="F138" s="94"/>
      <c r="G138" s="94"/>
      <c r="H138" s="94"/>
      <c r="I138" s="70"/>
      <c r="J138" s="71"/>
      <c r="K138" s="71"/>
      <c r="L138" s="71"/>
    </row>
    <row r="139" spans="1:12" ht="14.25">
      <c r="A139" s="68"/>
      <c r="B139" s="69"/>
      <c r="C139" s="94" t="s">
        <v>343</v>
      </c>
      <c r="D139" s="94"/>
      <c r="E139" s="94"/>
      <c r="F139" s="94"/>
      <c r="G139" s="94"/>
      <c r="H139" s="94"/>
      <c r="I139" s="70"/>
      <c r="J139" s="71">
        <f>SUM(Q47:Q134)</f>
        <v>1663.76</v>
      </c>
      <c r="K139" s="71"/>
      <c r="L139" s="71">
        <f>SUM(U47:U134)</f>
        <v>63822.17</v>
      </c>
    </row>
    <row r="140" spans="1:12" ht="14.25">
      <c r="A140" s="68"/>
      <c r="B140" s="69"/>
      <c r="C140" s="94" t="s">
        <v>344</v>
      </c>
      <c r="D140" s="94"/>
      <c r="E140" s="94"/>
      <c r="F140" s="94"/>
      <c r="G140" s="94"/>
      <c r="H140" s="94"/>
      <c r="I140" s="70"/>
      <c r="J140" s="71">
        <f>SUM(AB47:AB134)</f>
        <v>20496.23</v>
      </c>
      <c r="K140" s="71"/>
      <c r="L140" s="71">
        <f>SUM(AD47:AD134)</f>
        <v>162739.68</v>
      </c>
    </row>
    <row r="141" spans="1:12" ht="14.25">
      <c r="A141" s="68"/>
      <c r="B141" s="69"/>
      <c r="C141" s="94" t="s">
        <v>345</v>
      </c>
      <c r="D141" s="94"/>
      <c r="E141" s="94"/>
      <c r="F141" s="94"/>
      <c r="G141" s="94"/>
      <c r="H141" s="94"/>
      <c r="I141" s="70"/>
      <c r="J141" s="71">
        <f>SUM(AF47:AF134)-J146</f>
        <v>491038.31000000006</v>
      </c>
      <c r="K141" s="71"/>
      <c r="L141" s="71">
        <f>Source!P117-L146</f>
        <v>521305.69</v>
      </c>
    </row>
    <row r="142" spans="1:12" ht="14.25">
      <c r="A142" s="68"/>
      <c r="B142" s="69"/>
      <c r="C142" s="94" t="s">
        <v>346</v>
      </c>
      <c r="D142" s="94"/>
      <c r="E142" s="94"/>
      <c r="F142" s="94"/>
      <c r="G142" s="94"/>
      <c r="H142" s="94"/>
      <c r="I142" s="70"/>
      <c r="J142" s="71">
        <f>SUM(AR47:AR134)+SUM(BB47:BB134)+SUM(BI47:BI134)+SUM(BP47:BP134)</f>
        <v>211.53</v>
      </c>
      <c r="K142" s="71"/>
      <c r="L142" s="71">
        <f>Source!P139</f>
        <v>2588.27</v>
      </c>
    </row>
    <row r="143" spans="1:12" ht="14.25">
      <c r="A143" s="68"/>
      <c r="B143" s="69"/>
      <c r="C143" s="94" t="s">
        <v>361</v>
      </c>
      <c r="D143" s="94"/>
      <c r="E143" s="94"/>
      <c r="F143" s="94"/>
      <c r="G143" s="94"/>
      <c r="H143" s="94"/>
      <c r="I143" s="70"/>
      <c r="J143" s="71">
        <f>SUM(Q47:Q134)+SUM(X47:X134)</f>
        <v>2805.37</v>
      </c>
      <c r="K143" s="71"/>
      <c r="L143" s="71">
        <f>SUM(U47:U134)+SUM(Z47:Z134)</f>
        <v>107614.51999999999</v>
      </c>
    </row>
    <row r="144" spans="1:12" ht="14.25">
      <c r="A144" s="68"/>
      <c r="B144" s="69"/>
      <c r="C144" s="94" t="s">
        <v>362</v>
      </c>
      <c r="D144" s="94"/>
      <c r="E144" s="94"/>
      <c r="F144" s="94"/>
      <c r="G144" s="94"/>
      <c r="H144" s="94"/>
      <c r="I144" s="70"/>
      <c r="J144" s="71">
        <f>SUM(AG47:AG134)</f>
        <v>2845.3500000000004</v>
      </c>
      <c r="K144" s="71"/>
      <c r="L144" s="71">
        <f>Source!P140</f>
        <v>109147.89</v>
      </c>
    </row>
    <row r="145" spans="1:12" ht="14.25">
      <c r="A145" s="68"/>
      <c r="B145" s="69"/>
      <c r="C145" s="94" t="s">
        <v>363</v>
      </c>
      <c r="D145" s="94"/>
      <c r="E145" s="94"/>
      <c r="F145" s="94"/>
      <c r="G145" s="94"/>
      <c r="H145" s="94"/>
      <c r="I145" s="70"/>
      <c r="J145" s="71">
        <f>SUM(AI47:AI134)</f>
        <v>1699.58</v>
      </c>
      <c r="K145" s="71"/>
      <c r="L145" s="71">
        <f>Source!P141</f>
        <v>65196.26</v>
      </c>
    </row>
    <row r="146" spans="1:12" ht="13.5" customHeight="1" hidden="1">
      <c r="A146" s="68"/>
      <c r="B146" s="69"/>
      <c r="C146" s="94" t="s">
        <v>364</v>
      </c>
      <c r="D146" s="94"/>
      <c r="E146" s="94"/>
      <c r="F146" s="94"/>
      <c r="G146" s="94"/>
      <c r="H146" s="94"/>
      <c r="I146" s="70"/>
      <c r="J146" s="71">
        <f>SUM(BH47:BH134)</f>
        <v>0</v>
      </c>
      <c r="K146" s="71"/>
      <c r="L146" s="71">
        <f>Source!P123</f>
        <v>0</v>
      </c>
    </row>
    <row r="147" spans="1:12" ht="13.5" customHeight="1" hidden="1">
      <c r="A147" s="68"/>
      <c r="B147" s="69"/>
      <c r="C147" s="94" t="s">
        <v>365</v>
      </c>
      <c r="D147" s="94"/>
      <c r="E147" s="94"/>
      <c r="F147" s="94"/>
      <c r="G147" s="94"/>
      <c r="H147" s="94"/>
      <c r="I147" s="70"/>
      <c r="J147" s="71">
        <f>SUM(BM47:BM134)+SUM(BN47:BN134)+SUM(BO47:BO134)+SUM(BP47:BP134)</f>
        <v>0</v>
      </c>
      <c r="K147" s="71"/>
      <c r="L147" s="71">
        <f>Source!P133</f>
        <v>0</v>
      </c>
    </row>
    <row r="148" spans="1:12" ht="15">
      <c r="A148" s="64"/>
      <c r="B148" s="65"/>
      <c r="C148" s="95" t="s">
        <v>359</v>
      </c>
      <c r="D148" s="95"/>
      <c r="E148" s="95"/>
      <c r="F148" s="95"/>
      <c r="G148" s="95"/>
      <c r="H148" s="95"/>
      <c r="I148" s="66"/>
      <c r="J148" s="67">
        <f>J137+J144+J145+J146</f>
        <v>517954.76000000007</v>
      </c>
      <c r="K148" s="67"/>
      <c r="L148" s="67">
        <f>Source!P142</f>
        <v>924799.96</v>
      </c>
    </row>
    <row r="149" spans="1:12" ht="13.5" customHeight="1" hidden="1">
      <c r="A149" s="68"/>
      <c r="B149" s="69"/>
      <c r="C149" s="93" t="s">
        <v>342</v>
      </c>
      <c r="D149" s="94"/>
      <c r="E149" s="94"/>
      <c r="F149" s="94"/>
      <c r="G149" s="94"/>
      <c r="H149" s="94"/>
      <c r="I149" s="70"/>
      <c r="J149" s="71"/>
      <c r="K149" s="71"/>
      <c r="L149" s="71"/>
    </row>
    <row r="150" spans="1:12" ht="13.5" customHeight="1" hidden="1">
      <c r="A150" s="68"/>
      <c r="B150" s="69"/>
      <c r="C150" s="94" t="s">
        <v>354</v>
      </c>
      <c r="D150" s="94"/>
      <c r="E150" s="94"/>
      <c r="F150" s="94"/>
      <c r="G150" s="94"/>
      <c r="H150" s="94"/>
      <c r="I150" s="70"/>
      <c r="J150" s="71"/>
      <c r="K150" s="71"/>
      <c r="L150" s="71">
        <f>SUM(BS47:BS134)</f>
        <v>0</v>
      </c>
    </row>
    <row r="151" spans="1:12" ht="13.5" customHeight="1" hidden="1">
      <c r="A151" s="68"/>
      <c r="B151" s="69"/>
      <c r="C151" s="94" t="s">
        <v>355</v>
      </c>
      <c r="D151" s="94"/>
      <c r="E151" s="94"/>
      <c r="F151" s="94"/>
      <c r="G151" s="94"/>
      <c r="H151" s="94"/>
      <c r="I151" s="70"/>
      <c r="J151" s="71"/>
      <c r="K151" s="71"/>
      <c r="L151" s="71">
        <f>SUM(BT47:BT134)</f>
        <v>0</v>
      </c>
    </row>
    <row r="152" spans="3:12" ht="14.25">
      <c r="C152" s="101" t="str">
        <f>Source!H143</f>
        <v>всего по разделу</v>
      </c>
      <c r="D152" s="101"/>
      <c r="E152" s="101"/>
      <c r="F152" s="101"/>
      <c r="G152" s="101"/>
      <c r="H152" s="101"/>
      <c r="I152" s="101"/>
      <c r="J152" s="101"/>
      <c r="K152" s="101"/>
      <c r="L152" s="49">
        <f>IF(Source!AB143=0,"",Source!AB143)</f>
        <v>924799.96</v>
      </c>
    </row>
    <row r="153" spans="3:12" ht="14.25">
      <c r="C153" s="101" t="str">
        <f>Source!H144</f>
        <v>Резерв средств на непр. расходы 2% (Приказ Минстроя России № 421-пр от 04.08.2020 п. 179а)</v>
      </c>
      <c r="D153" s="101"/>
      <c r="E153" s="101"/>
      <c r="F153" s="101"/>
      <c r="G153" s="101"/>
      <c r="H153" s="101"/>
      <c r="I153" s="101"/>
      <c r="J153" s="101"/>
      <c r="K153" s="101"/>
      <c r="L153" s="49">
        <f>IF(Source!AB144=0,"",Source!AB144)</f>
        <v>18496</v>
      </c>
    </row>
    <row r="154" spans="3:12" ht="14.25">
      <c r="C154" s="101" t="str">
        <f>Source!H145</f>
        <v>Итого</v>
      </c>
      <c r="D154" s="101"/>
      <c r="E154" s="101"/>
      <c r="F154" s="101"/>
      <c r="G154" s="101"/>
      <c r="H154" s="101"/>
      <c r="I154" s="101"/>
      <c r="J154" s="101"/>
      <c r="K154" s="101"/>
      <c r="L154" s="49">
        <f>IF(Source!AB145=0,"",Source!AB145)</f>
        <v>943295.96</v>
      </c>
    </row>
    <row r="155" spans="3:12" ht="14.25">
      <c r="C155" s="101" t="str">
        <f>Source!H146</f>
        <v>НДС20%</v>
      </c>
      <c r="D155" s="101"/>
      <c r="E155" s="101"/>
      <c r="F155" s="101"/>
      <c r="G155" s="101"/>
      <c r="H155" s="101"/>
      <c r="I155" s="101"/>
      <c r="J155" s="101"/>
      <c r="K155" s="101"/>
      <c r="L155" s="49">
        <f>IF(Source!AB146=0,"",Source!AB146)</f>
        <v>188659.19</v>
      </c>
    </row>
    <row r="156" spans="3:12" ht="14.25">
      <c r="C156" s="101" t="str">
        <f>Source!H147</f>
        <v>Всего по разделу</v>
      </c>
      <c r="D156" s="101"/>
      <c r="E156" s="101"/>
      <c r="F156" s="101"/>
      <c r="G156" s="101"/>
      <c r="H156" s="101"/>
      <c r="I156" s="101"/>
      <c r="J156" s="101"/>
      <c r="K156" s="101"/>
      <c r="L156" s="49">
        <f>IF(Source!AB147=0,"",Source!AB147)</f>
        <v>1131955.15</v>
      </c>
    </row>
    <row r="159" spans="1:11" ht="14.25">
      <c r="A159" s="98" t="s">
        <v>366</v>
      </c>
      <c r="B159" s="98"/>
      <c r="C159" s="46" t="str">
        <f>IF(Source!AC12&lt;&gt;"",Source!AC12," ")</f>
        <v>Вед. инженер РЕСО</v>
      </c>
      <c r="D159" s="46"/>
      <c r="E159" s="46"/>
      <c r="F159" s="46"/>
      <c r="G159" s="46"/>
      <c r="H159" s="99" t="str">
        <f>IF(Source!AB12&lt;&gt;"",Source!AB12," ")</f>
        <v>Степанова А.М.</v>
      </c>
      <c r="I159" s="99"/>
      <c r="J159" s="99"/>
      <c r="K159" s="99"/>
    </row>
    <row r="160" spans="1:11" ht="14.25">
      <c r="A160" s="14"/>
      <c r="B160" s="14"/>
      <c r="C160" s="100" t="s">
        <v>367</v>
      </c>
      <c r="D160" s="100"/>
      <c r="E160" s="100"/>
      <c r="F160" s="100"/>
      <c r="G160" s="100"/>
      <c r="H160" s="14"/>
      <c r="I160" s="14"/>
      <c r="J160" s="14"/>
      <c r="K160" s="14"/>
    </row>
    <row r="161" spans="1:11" ht="14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4.25">
      <c r="A162" s="98" t="s">
        <v>368</v>
      </c>
      <c r="B162" s="98"/>
      <c r="C162" s="46" t="str">
        <f>IF(Source!AE12&lt;&gt;"",Source!AE12," ")</f>
        <v>Заведующий РЕСО</v>
      </c>
      <c r="D162" s="46"/>
      <c r="E162" s="46"/>
      <c r="F162" s="46"/>
      <c r="G162" s="46"/>
      <c r="H162" s="99" t="str">
        <f>IF(Source!AD12&lt;&gt;"",Source!AD12," ")</f>
        <v>Покшин В.И.</v>
      </c>
      <c r="I162" s="99"/>
      <c r="J162" s="99"/>
      <c r="K162" s="99"/>
    </row>
    <row r="163" spans="1:11" ht="14.25">
      <c r="A163" s="14"/>
      <c r="B163" s="14"/>
      <c r="C163" s="100" t="s">
        <v>367</v>
      </c>
      <c r="D163" s="100"/>
      <c r="E163" s="100"/>
      <c r="F163" s="100"/>
      <c r="G163" s="100"/>
      <c r="H163" s="14"/>
      <c r="I163" s="14"/>
      <c r="J163" s="14"/>
      <c r="K163" s="14"/>
    </row>
  </sheetData>
  <sheetProtection/>
  <mergeCells count="108">
    <mergeCell ref="B3:E3"/>
    <mergeCell ref="H3:L3"/>
    <mergeCell ref="B4:E4"/>
    <mergeCell ref="H4:L4"/>
    <mergeCell ref="B6:E6"/>
    <mergeCell ref="H6:L6"/>
    <mergeCell ref="B18:K18"/>
    <mergeCell ref="B19:K19"/>
    <mergeCell ref="B21:K21"/>
    <mergeCell ref="B23:K23"/>
    <mergeCell ref="B24:K24"/>
    <mergeCell ref="C29:G29"/>
    <mergeCell ref="B7:E7"/>
    <mergeCell ref="H7:L7"/>
    <mergeCell ref="A10:L10"/>
    <mergeCell ref="A12:K12"/>
    <mergeCell ref="B15:K15"/>
    <mergeCell ref="B16:K16"/>
    <mergeCell ref="A42:A45"/>
    <mergeCell ref="B42:B45"/>
    <mergeCell ref="C42:C45"/>
    <mergeCell ref="D42:D45"/>
    <mergeCell ref="E42:G44"/>
    <mergeCell ref="H42:J44"/>
    <mergeCell ref="C30:G30"/>
    <mergeCell ref="D34:E34"/>
    <mergeCell ref="D37:E37"/>
    <mergeCell ref="D38:E38"/>
    <mergeCell ref="D39:E39"/>
    <mergeCell ref="D40:E40"/>
    <mergeCell ref="K42:K45"/>
    <mergeCell ref="L42:L45"/>
    <mergeCell ref="C99:K99"/>
    <mergeCell ref="C134:K134"/>
    <mergeCell ref="C152:K152"/>
    <mergeCell ref="C153:K153"/>
    <mergeCell ref="C95:H95"/>
    <mergeCell ref="C94:H94"/>
    <mergeCell ref="C93:H93"/>
    <mergeCell ref="C92:H92"/>
    <mergeCell ref="C91:H91"/>
    <mergeCell ref="C90:H90"/>
    <mergeCell ref="C89:H89"/>
    <mergeCell ref="C88:H88"/>
    <mergeCell ref="C87:H87"/>
    <mergeCell ref="C86:H86"/>
    <mergeCell ref="A162:B162"/>
    <mergeCell ref="H162:K162"/>
    <mergeCell ref="C163:G163"/>
    <mergeCell ref="C98:H98"/>
    <mergeCell ref="C97:H97"/>
    <mergeCell ref="C96:H96"/>
    <mergeCell ref="K117:L117"/>
    <mergeCell ref="I117:J117"/>
    <mergeCell ref="C117:H117"/>
    <mergeCell ref="K114:L114"/>
    <mergeCell ref="C154:K154"/>
    <mergeCell ref="C155:K155"/>
    <mergeCell ref="C156:K156"/>
    <mergeCell ref="A159:B159"/>
    <mergeCell ref="H159:K159"/>
    <mergeCell ref="C160:G160"/>
    <mergeCell ref="I114:J114"/>
    <mergeCell ref="C114:H114"/>
    <mergeCell ref="K111:L111"/>
    <mergeCell ref="I111:J111"/>
    <mergeCell ref="C111:H111"/>
    <mergeCell ref="A101:L101"/>
    <mergeCell ref="A48:L48"/>
    <mergeCell ref="C127:H127"/>
    <mergeCell ref="C126:H126"/>
    <mergeCell ref="C125:H125"/>
    <mergeCell ref="C124:H124"/>
    <mergeCell ref="C123:H123"/>
    <mergeCell ref="C122:H122"/>
    <mergeCell ref="C121:H121"/>
    <mergeCell ref="C120:H120"/>
    <mergeCell ref="C119:H119"/>
    <mergeCell ref="C85:H85"/>
    <mergeCell ref="C84:H84"/>
    <mergeCell ref="K82:L82"/>
    <mergeCell ref="I82:J82"/>
    <mergeCell ref="C82:H82"/>
    <mergeCell ref="K68:L68"/>
    <mergeCell ref="I68:J68"/>
    <mergeCell ref="C68:H68"/>
    <mergeCell ref="C131:H131"/>
    <mergeCell ref="C130:H130"/>
    <mergeCell ref="C129:H129"/>
    <mergeCell ref="C128:H128"/>
    <mergeCell ref="C151:H151"/>
    <mergeCell ref="C150:H150"/>
    <mergeCell ref="C149:H149"/>
    <mergeCell ref="C148:H148"/>
    <mergeCell ref="C147:H147"/>
    <mergeCell ref="C146:H146"/>
    <mergeCell ref="C139:H139"/>
    <mergeCell ref="C138:H138"/>
    <mergeCell ref="C137:H137"/>
    <mergeCell ref="C136:H136"/>
    <mergeCell ref="C133:H133"/>
    <mergeCell ref="C132:H132"/>
    <mergeCell ref="C145:H145"/>
    <mergeCell ref="C144:H144"/>
    <mergeCell ref="C143:H143"/>
    <mergeCell ref="C142:H142"/>
    <mergeCell ref="C141:H141"/>
    <mergeCell ref="C140:H140"/>
  </mergeCells>
  <printOptions/>
  <pageMargins left="0.4" right="0.2" top="0.2" bottom="0.4" header="0.2" footer="0.2"/>
  <pageSetup fitToHeight="0" fitToWidth="1" horizontalDpi="600" verticalDpi="600" orientation="portrait" paperSize="9" scale="5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2" width="0" style="0" hidden="1" customWidth="1"/>
  </cols>
  <sheetData>
    <row r="1" ht="12.75">
      <c r="A1" s="12" t="str">
        <f>Source!B1</f>
        <v>Smeta.RU  (495) 974-1589</v>
      </c>
    </row>
    <row r="2" spans="3:4" ht="14.25">
      <c r="C2" s="14"/>
      <c r="D2" s="14"/>
    </row>
    <row r="3" spans="3:4" ht="15">
      <c r="C3" s="14"/>
      <c r="D3" s="63" t="s">
        <v>283</v>
      </c>
    </row>
    <row r="4" spans="3:4" ht="15">
      <c r="C4" s="63"/>
      <c r="D4" s="63"/>
    </row>
    <row r="5" spans="3:4" ht="15">
      <c r="C5" s="127" t="s">
        <v>369</v>
      </c>
      <c r="D5" s="127"/>
    </row>
    <row r="6" spans="3:4" ht="15">
      <c r="C6" s="77"/>
      <c r="D6" s="77"/>
    </row>
    <row r="7" spans="3:4" ht="15">
      <c r="C7" s="127" t="s">
        <v>369</v>
      </c>
      <c r="D7" s="127"/>
    </row>
    <row r="8" spans="3:4" ht="15">
      <c r="C8" s="77"/>
      <c r="D8" s="77"/>
    </row>
    <row r="9" spans="3:4" ht="15">
      <c r="C9" s="63" t="s">
        <v>370</v>
      </c>
      <c r="D9" s="14"/>
    </row>
    <row r="10" spans="1:5" ht="14.25">
      <c r="A10" s="14"/>
      <c r="B10" s="14"/>
      <c r="C10" s="14"/>
      <c r="D10" s="14"/>
      <c r="E10" s="14"/>
    </row>
    <row r="11" spans="1:5" ht="15.75">
      <c r="A11" s="128" t="str">
        <f>CONCATENATE("Дефектный акт ",IF(Source!AN15&lt;&gt;"",Source!AN15," "))</f>
        <v>Дефектный акт  </v>
      </c>
      <c r="B11" s="128"/>
      <c r="C11" s="128"/>
      <c r="D11" s="128"/>
      <c r="E11" s="14"/>
    </row>
    <row r="12" spans="1:5" ht="15">
      <c r="A12" s="129" t="str">
        <f>CONCATENATE("На капитальный ремонт ",Source!F12," ",Source!G12)</f>
        <v>На капитальный ремонт  Выполение работ по замене стеклопакетов в ИПУ РАН</v>
      </c>
      <c r="B12" s="129"/>
      <c r="C12" s="129"/>
      <c r="D12" s="129"/>
      <c r="E12" s="14"/>
    </row>
    <row r="13" spans="1:5" ht="14.25">
      <c r="A13" s="14"/>
      <c r="B13" s="14"/>
      <c r="C13" s="14"/>
      <c r="D13" s="14"/>
      <c r="E13" s="14"/>
    </row>
    <row r="14" spans="1:5" ht="15">
      <c r="A14" s="14"/>
      <c r="B14" s="78" t="s">
        <v>371</v>
      </c>
      <c r="C14" s="14"/>
      <c r="D14" s="14"/>
      <c r="E14" s="14"/>
    </row>
    <row r="15" spans="1:5" ht="15">
      <c r="A15" s="14"/>
      <c r="B15" s="78" t="s">
        <v>372</v>
      </c>
      <c r="C15" s="14"/>
      <c r="D15" s="14"/>
      <c r="E15" s="14"/>
    </row>
    <row r="16" spans="1:5" ht="15">
      <c r="A16" s="14"/>
      <c r="B16" s="78" t="s">
        <v>373</v>
      </c>
      <c r="C16" s="14"/>
      <c r="D16" s="14"/>
      <c r="E16" s="14"/>
    </row>
    <row r="17" spans="1:5" ht="28.5">
      <c r="A17" s="79" t="s">
        <v>307</v>
      </c>
      <c r="B17" s="79" t="s">
        <v>309</v>
      </c>
      <c r="C17" s="79" t="s">
        <v>310</v>
      </c>
      <c r="D17" s="79" t="s">
        <v>311</v>
      </c>
      <c r="E17" s="80" t="s">
        <v>374</v>
      </c>
    </row>
    <row r="18" spans="1:5" ht="14.25">
      <c r="A18" s="81">
        <v>1</v>
      </c>
      <c r="B18" s="81">
        <v>2</v>
      </c>
      <c r="C18" s="81">
        <v>3</v>
      </c>
      <c r="D18" s="81">
        <v>4</v>
      </c>
      <c r="E18" s="82">
        <v>5</v>
      </c>
    </row>
    <row r="19" spans="1:5" ht="16.5">
      <c r="A19" s="126" t="str">
        <f>CONCATENATE("Локальная смета: ",Source!G20)</f>
        <v>Локальная смета: Выполнение работ по замене стеклопакетов на 3 этаже КОНа</v>
      </c>
      <c r="B19" s="126"/>
      <c r="C19" s="126"/>
      <c r="D19" s="126"/>
      <c r="E19" s="126"/>
    </row>
    <row r="20" spans="1:5" ht="16.5">
      <c r="A20" s="126" t="str">
        <f>CONCATENATE("Раздел: ",Source!G24)</f>
        <v>Раздел: Замена стекол</v>
      </c>
      <c r="B20" s="126"/>
      <c r="C20" s="126"/>
      <c r="D20" s="126"/>
      <c r="E20" s="126"/>
    </row>
    <row r="21" spans="1:5" ht="28.5">
      <c r="A21" s="87">
        <v>1</v>
      </c>
      <c r="B21" s="88" t="str">
        <f>Source!G28</f>
        <v>Смена разбитых стекол витринных на эластичной прокладке при площади стекла: свыше 3 до 5 м2 (Применительно)</v>
      </c>
      <c r="C21" s="89" t="str">
        <f>Source!H28</f>
        <v>100 м2</v>
      </c>
      <c r="D21" s="90">
        <f>Source!I28</f>
        <v>0.9645</v>
      </c>
      <c r="E21" s="88"/>
    </row>
    <row r="22" spans="1:5" ht="14.25">
      <c r="A22" s="87">
        <v>1.1</v>
      </c>
      <c r="B22" s="88" t="str">
        <f>Source!G30</f>
        <v>Стеклопакет 32 мм (6зак+20+6зак)</v>
      </c>
      <c r="C22" s="89" t="str">
        <f>Source!H30</f>
        <v>М 2</v>
      </c>
      <c r="D22" s="90">
        <f>Source!I30</f>
        <v>96.45</v>
      </c>
      <c r="E22" s="88"/>
    </row>
    <row r="23" spans="1:5" ht="14.25">
      <c r="A23" s="87">
        <v>1.2</v>
      </c>
      <c r="B23" s="88" t="str">
        <f>Source!G32</f>
        <v>Строительный мусор</v>
      </c>
      <c r="C23" s="89" t="str">
        <f>Source!H32</f>
        <v>т</v>
      </c>
      <c r="D23" s="90">
        <f>Source!I32</f>
        <v>1.1574</v>
      </c>
      <c r="E23" s="88"/>
    </row>
    <row r="24" spans="1:5" ht="14.25">
      <c r="A24" s="87">
        <v>1.3</v>
      </c>
      <c r="B24" s="88" t="str">
        <f>Source!G34</f>
        <v>Автогидроподъемники, высота подъема 28 м</v>
      </c>
      <c r="C24" s="89" t="str">
        <f>Source!H34</f>
        <v>маш.-ч.</v>
      </c>
      <c r="D24" s="90">
        <f>Source!I34</f>
        <v>84</v>
      </c>
      <c r="E24" s="88"/>
    </row>
    <row r="25" spans="1:5" ht="28.5">
      <c r="A25" s="87">
        <v>1.4</v>
      </c>
      <c r="B25" s="88" t="str">
        <f>Source!G36</f>
        <v>Подъемники одномачтовые, грузоподъемность до 500 кг, высота подъема 45 м</v>
      </c>
      <c r="C25" s="89" t="str">
        <f>Source!H36</f>
        <v>маш.-ч.</v>
      </c>
      <c r="D25" s="90">
        <f>Source!I36</f>
        <v>-0.241125</v>
      </c>
      <c r="E25" s="88"/>
    </row>
    <row r="26" spans="1:5" ht="14.25">
      <c r="A26" s="87">
        <v>2</v>
      </c>
      <c r="B26" s="88" t="str">
        <f>Source!G38</f>
        <v>Замена уплотнителей  окон (Применительно)</v>
      </c>
      <c r="C26" s="89" t="str">
        <f>Source!H38</f>
        <v>100 м</v>
      </c>
      <c r="D26" s="90">
        <f>Source!I38</f>
        <v>2.55</v>
      </c>
      <c r="E26" s="88"/>
    </row>
    <row r="27" spans="1:5" ht="16.5">
      <c r="A27" s="126" t="str">
        <f>CONCATENATE("Раздел: ",Source!G72)</f>
        <v>Раздел: Разные работы</v>
      </c>
      <c r="B27" s="126"/>
      <c r="C27" s="126"/>
      <c r="D27" s="126"/>
      <c r="E27" s="126"/>
    </row>
    <row r="28" spans="1:5" ht="14.25">
      <c r="A28" s="87">
        <v>3</v>
      </c>
      <c r="B28" s="88" t="str">
        <f>Source!G76</f>
        <v>Затаривание строительного мусора в мешки</v>
      </c>
      <c r="C28" s="89" t="str">
        <f>Source!H76</f>
        <v>т</v>
      </c>
      <c r="D28" s="90">
        <f>Source!I76</f>
        <v>2.3674</v>
      </c>
      <c r="E28" s="88"/>
    </row>
    <row r="29" spans="1:5" ht="28.5">
      <c r="A29" s="87">
        <v>4</v>
      </c>
      <c r="B29" s="88" t="str">
        <f>Source!G78</f>
        <v>Погрузочные работы при автомобильных перевозках мусора строительного с погрузкой вручную</v>
      </c>
      <c r="C29" s="89" t="str">
        <f>Source!H78</f>
        <v>1 Т ГРУЗА</v>
      </c>
      <c r="D29" s="90">
        <f>Source!I78</f>
        <v>2.3674</v>
      </c>
      <c r="E29" s="88"/>
    </row>
    <row r="30" spans="1:5" ht="28.5">
      <c r="A30" s="83">
        <v>5</v>
      </c>
      <c r="B30" s="84" t="str">
        <f>Source!G80</f>
        <v>Перевозка грузов I класса автомобилями бортовыми грузоподъемностью до 5 т на расстояние: до 50 км</v>
      </c>
      <c r="C30" s="85" t="str">
        <f>Source!H80</f>
        <v>1 Т ГРУЗА</v>
      </c>
      <c r="D30" s="86">
        <f>Source!I80</f>
        <v>2.3674</v>
      </c>
      <c r="E30" s="84"/>
    </row>
    <row r="33" spans="1:5" ht="15">
      <c r="A33" s="54" t="s">
        <v>375</v>
      </c>
      <c r="B33" s="54"/>
      <c r="C33" s="54" t="s">
        <v>376</v>
      </c>
      <c r="D33" s="54"/>
      <c r="E33" s="54"/>
    </row>
  </sheetData>
  <sheetProtection/>
  <mergeCells count="7">
    <mergeCell ref="A27:E27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horizontalDpi="600" verticalDpi="600" orientation="portrait" paperSize="9" scale="76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216"/>
  <sheetViews>
    <sheetView zoomScalePageLayoutView="0" workbookViewId="0" topLeftCell="A1">
      <selection activeCell="A212" sqref="A212:AN212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210</v>
      </c>
      <c r="C12" s="1">
        <v>0</v>
      </c>
      <c r="D12" s="1">
        <f>ROW(A149)</f>
        <v>149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405274632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280</v>
      </c>
      <c r="CR12" s="1" t="s">
        <v>18</v>
      </c>
      <c r="CS12" s="1">
        <v>44484</v>
      </c>
      <c r="CT12" s="1">
        <v>389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B149</f>
        <v>210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Выполение работ по замене стеклопакетов в ИПУ РАН</v>
      </c>
      <c r="H18" s="3"/>
      <c r="I18" s="3"/>
      <c r="J18" s="3"/>
      <c r="K18" s="3"/>
      <c r="L18" s="3"/>
      <c r="M18" s="3"/>
      <c r="N18" s="3"/>
      <c r="O18" s="3">
        <f aca="true" t="shared" si="1" ref="O18:AT18">O149</f>
        <v>513198.3</v>
      </c>
      <c r="P18" s="3">
        <f t="shared" si="1"/>
        <v>491038.31</v>
      </c>
      <c r="Q18" s="3">
        <f t="shared" si="1"/>
        <v>20496.23</v>
      </c>
      <c r="R18" s="3">
        <f t="shared" si="1"/>
        <v>1141.61</v>
      </c>
      <c r="S18" s="3">
        <f t="shared" si="1"/>
        <v>1663.76</v>
      </c>
      <c r="T18" s="3">
        <f t="shared" si="1"/>
        <v>0</v>
      </c>
      <c r="U18" s="3">
        <f t="shared" si="1"/>
        <v>190.081897</v>
      </c>
      <c r="V18" s="3">
        <f t="shared" si="1"/>
        <v>0.896625</v>
      </c>
      <c r="W18" s="3">
        <f t="shared" si="1"/>
        <v>0</v>
      </c>
      <c r="X18" s="3">
        <f t="shared" si="1"/>
        <v>2845.35</v>
      </c>
      <c r="Y18" s="3">
        <f t="shared" si="1"/>
        <v>1699.58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517954.76</v>
      </c>
      <c r="AS18" s="3">
        <f t="shared" si="1"/>
        <v>517954.76</v>
      </c>
      <c r="AT18" s="3">
        <f t="shared" si="1"/>
        <v>0</v>
      </c>
      <c r="AU18" s="3">
        <f aca="true" t="shared" si="2" ref="AU18:BZ18">AU149</f>
        <v>0</v>
      </c>
      <c r="AV18" s="3">
        <f t="shared" si="2"/>
        <v>491038.31</v>
      </c>
      <c r="AW18" s="3">
        <f t="shared" si="2"/>
        <v>491038.31</v>
      </c>
      <c r="AX18" s="3">
        <f t="shared" si="2"/>
        <v>0</v>
      </c>
      <c r="AY18" s="3">
        <f t="shared" si="2"/>
        <v>491038.31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211.53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CA149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DG149</f>
        <v>747867.54</v>
      </c>
      <c r="DH18" s="4">
        <f t="shared" si="4"/>
        <v>521305.69</v>
      </c>
      <c r="DI18" s="4">
        <f t="shared" si="4"/>
        <v>162739.68</v>
      </c>
      <c r="DJ18" s="4">
        <f t="shared" si="4"/>
        <v>43792.35</v>
      </c>
      <c r="DK18" s="4">
        <f t="shared" si="4"/>
        <v>63822.17</v>
      </c>
      <c r="DL18" s="4">
        <f t="shared" si="4"/>
        <v>0</v>
      </c>
      <c r="DM18" s="4">
        <f t="shared" si="4"/>
        <v>190.081897</v>
      </c>
      <c r="DN18" s="4">
        <f t="shared" si="4"/>
        <v>0.896625</v>
      </c>
      <c r="DO18" s="4">
        <f t="shared" si="4"/>
        <v>0</v>
      </c>
      <c r="DP18" s="4">
        <f t="shared" si="4"/>
        <v>109147.89</v>
      </c>
      <c r="DQ18" s="4">
        <f t="shared" si="4"/>
        <v>65196.26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924799.96</v>
      </c>
      <c r="EK18" s="4">
        <f t="shared" si="4"/>
        <v>924799.96</v>
      </c>
      <c r="EL18" s="4">
        <f t="shared" si="4"/>
        <v>0</v>
      </c>
      <c r="EM18" s="4">
        <f aca="true" t="shared" si="5" ref="EM18:FR18">EM149</f>
        <v>0</v>
      </c>
      <c r="EN18" s="4">
        <f t="shared" si="5"/>
        <v>521305.69</v>
      </c>
      <c r="EO18" s="4">
        <f t="shared" si="5"/>
        <v>521305.69</v>
      </c>
      <c r="EP18" s="4">
        <f t="shared" si="5"/>
        <v>0</v>
      </c>
      <c r="EQ18" s="4">
        <f t="shared" si="5"/>
        <v>521305.69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2588.27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FS149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ROW(A114)</f>
        <v>114</v>
      </c>
      <c r="E20" s="1"/>
      <c r="F20" s="1" t="s">
        <v>3</v>
      </c>
      <c r="G20" s="1" t="s">
        <v>19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0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5</v>
      </c>
      <c r="AC20" s="1" t="s">
        <v>20</v>
      </c>
      <c r="AD20" s="1" t="s">
        <v>21</v>
      </c>
      <c r="AE20" s="1" t="s">
        <v>22</v>
      </c>
      <c r="AF20" s="1" t="s">
        <v>23</v>
      </c>
      <c r="AG20" s="1" t="s">
        <v>24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B114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>
        <f t="shared" si="7"/>
      </c>
      <c r="G22" s="3" t="str">
        <f t="shared" si="7"/>
        <v>Выполнение работ по замене стеклопакетов на 3 этаже КОНа</v>
      </c>
      <c r="H22" s="3"/>
      <c r="I22" s="3"/>
      <c r="J22" s="3"/>
      <c r="K22" s="3"/>
      <c r="L22" s="3"/>
      <c r="M22" s="3"/>
      <c r="N22" s="3"/>
      <c r="O22" s="3">
        <f aca="true" t="shared" si="8" ref="O22:AT22">O114</f>
        <v>513198.3</v>
      </c>
      <c r="P22" s="3">
        <f t="shared" si="8"/>
        <v>491038.31</v>
      </c>
      <c r="Q22" s="3">
        <f t="shared" si="8"/>
        <v>20496.23</v>
      </c>
      <c r="R22" s="3">
        <f t="shared" si="8"/>
        <v>1141.61</v>
      </c>
      <c r="S22" s="3">
        <f t="shared" si="8"/>
        <v>1663.76</v>
      </c>
      <c r="T22" s="3">
        <f t="shared" si="8"/>
        <v>0</v>
      </c>
      <c r="U22" s="3">
        <f t="shared" si="8"/>
        <v>190.081897</v>
      </c>
      <c r="V22" s="3">
        <f t="shared" si="8"/>
        <v>0.896625</v>
      </c>
      <c r="W22" s="3">
        <f t="shared" si="8"/>
        <v>0</v>
      </c>
      <c r="X22" s="3">
        <f t="shared" si="8"/>
        <v>2845.35</v>
      </c>
      <c r="Y22" s="3">
        <f t="shared" si="8"/>
        <v>1699.58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517954.76</v>
      </c>
      <c r="AS22" s="3">
        <f t="shared" si="8"/>
        <v>517954.76</v>
      </c>
      <c r="AT22" s="3">
        <f t="shared" si="8"/>
        <v>0</v>
      </c>
      <c r="AU22" s="3">
        <f aca="true" t="shared" si="9" ref="AU22:BZ22">AU114</f>
        <v>0</v>
      </c>
      <c r="AV22" s="3">
        <f t="shared" si="9"/>
        <v>491038.31</v>
      </c>
      <c r="AW22" s="3">
        <f t="shared" si="9"/>
        <v>491038.31</v>
      </c>
      <c r="AX22" s="3">
        <f t="shared" si="9"/>
        <v>0</v>
      </c>
      <c r="AY22" s="3">
        <f t="shared" si="9"/>
        <v>491038.31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211.53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CA114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DG114</f>
        <v>747867.54</v>
      </c>
      <c r="DH22" s="4">
        <f t="shared" si="11"/>
        <v>521305.69</v>
      </c>
      <c r="DI22" s="4">
        <f t="shared" si="11"/>
        <v>162739.68</v>
      </c>
      <c r="DJ22" s="4">
        <f t="shared" si="11"/>
        <v>43792.35</v>
      </c>
      <c r="DK22" s="4">
        <f t="shared" si="11"/>
        <v>63822.17</v>
      </c>
      <c r="DL22" s="4">
        <f t="shared" si="11"/>
        <v>0</v>
      </c>
      <c r="DM22" s="4">
        <f t="shared" si="11"/>
        <v>190.081897</v>
      </c>
      <c r="DN22" s="4">
        <f t="shared" si="11"/>
        <v>0.896625</v>
      </c>
      <c r="DO22" s="4">
        <f t="shared" si="11"/>
        <v>0</v>
      </c>
      <c r="DP22" s="4">
        <f t="shared" si="11"/>
        <v>109147.89</v>
      </c>
      <c r="DQ22" s="4">
        <f t="shared" si="11"/>
        <v>65196.26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924799.96</v>
      </c>
      <c r="EK22" s="4">
        <f t="shared" si="11"/>
        <v>924799.96</v>
      </c>
      <c r="EL22" s="4">
        <f t="shared" si="11"/>
        <v>0</v>
      </c>
      <c r="EM22" s="4">
        <f aca="true" t="shared" si="12" ref="EM22:FR22">EM114</f>
        <v>0</v>
      </c>
      <c r="EN22" s="4">
        <f t="shared" si="12"/>
        <v>521305.69</v>
      </c>
      <c r="EO22" s="4">
        <f t="shared" si="12"/>
        <v>521305.69</v>
      </c>
      <c r="EP22" s="4">
        <f t="shared" si="12"/>
        <v>0</v>
      </c>
      <c r="EQ22" s="4">
        <f t="shared" si="12"/>
        <v>521305.69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2588.27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FS114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ROW(A41)</f>
        <v>41</v>
      </c>
      <c r="E24" s="1"/>
      <c r="F24" s="1" t="s">
        <v>25</v>
      </c>
      <c r="G24" s="1" t="s">
        <v>26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0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B41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Замена стекол</v>
      </c>
      <c r="H26" s="3"/>
      <c r="I26" s="3"/>
      <c r="J26" s="3"/>
      <c r="K26" s="3"/>
      <c r="L26" s="3"/>
      <c r="M26" s="3"/>
      <c r="N26" s="3"/>
      <c r="O26" s="3">
        <f aca="true" t="shared" si="15" ref="O26:AT26">O41</f>
        <v>513141.93</v>
      </c>
      <c r="P26" s="3">
        <f t="shared" si="15"/>
        <v>490999.48</v>
      </c>
      <c r="Q26" s="3">
        <f t="shared" si="15"/>
        <v>20496.23</v>
      </c>
      <c r="R26" s="3">
        <f t="shared" si="15"/>
        <v>1141.61</v>
      </c>
      <c r="S26" s="3">
        <f t="shared" si="15"/>
        <v>1646.22</v>
      </c>
      <c r="T26" s="3">
        <f t="shared" si="15"/>
        <v>0</v>
      </c>
      <c r="U26" s="3">
        <f t="shared" si="15"/>
        <v>187.643475</v>
      </c>
      <c r="V26" s="3">
        <f t="shared" si="15"/>
        <v>0.896625</v>
      </c>
      <c r="W26" s="3">
        <f t="shared" si="15"/>
        <v>0</v>
      </c>
      <c r="X26" s="3">
        <f t="shared" si="15"/>
        <v>2829.21</v>
      </c>
      <c r="Y26" s="3">
        <f t="shared" si="15"/>
        <v>1691.86</v>
      </c>
      <c r="Z26" s="3">
        <f t="shared" si="15"/>
        <v>0</v>
      </c>
      <c r="AA26" s="3">
        <f t="shared" si="15"/>
        <v>0</v>
      </c>
      <c r="AB26" s="3">
        <f t="shared" si="15"/>
        <v>513141.93</v>
      </c>
      <c r="AC26" s="3">
        <f t="shared" si="15"/>
        <v>490999.48</v>
      </c>
      <c r="AD26" s="3">
        <f t="shared" si="15"/>
        <v>20496.23</v>
      </c>
      <c r="AE26" s="3">
        <f t="shared" si="15"/>
        <v>1141.61</v>
      </c>
      <c r="AF26" s="3">
        <f t="shared" si="15"/>
        <v>1646.22</v>
      </c>
      <c r="AG26" s="3">
        <f t="shared" si="15"/>
        <v>0</v>
      </c>
      <c r="AH26" s="3">
        <f t="shared" si="15"/>
        <v>187.643475</v>
      </c>
      <c r="AI26" s="3">
        <f t="shared" si="15"/>
        <v>0.896625</v>
      </c>
      <c r="AJ26" s="3">
        <f t="shared" si="15"/>
        <v>0</v>
      </c>
      <c r="AK26" s="3">
        <f t="shared" si="15"/>
        <v>2829.21</v>
      </c>
      <c r="AL26" s="3">
        <f t="shared" si="15"/>
        <v>1691.86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517663</v>
      </c>
      <c r="AS26" s="3">
        <f t="shared" si="15"/>
        <v>517663</v>
      </c>
      <c r="AT26" s="3">
        <f t="shared" si="15"/>
        <v>0</v>
      </c>
      <c r="AU26" s="3">
        <f aca="true" t="shared" si="16" ref="AU26:BZ26">AU41</f>
        <v>0</v>
      </c>
      <c r="AV26" s="3">
        <f t="shared" si="16"/>
        <v>490999.48</v>
      </c>
      <c r="AW26" s="3">
        <f t="shared" si="16"/>
        <v>490999.48</v>
      </c>
      <c r="AX26" s="3">
        <f t="shared" si="16"/>
        <v>0</v>
      </c>
      <c r="AY26" s="3">
        <f t="shared" si="16"/>
        <v>490999.48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CA41</f>
        <v>517663</v>
      </c>
      <c r="CB26" s="3">
        <f t="shared" si="17"/>
        <v>517663</v>
      </c>
      <c r="CC26" s="3">
        <f t="shared" si="17"/>
        <v>0</v>
      </c>
      <c r="CD26" s="3">
        <f t="shared" si="17"/>
        <v>0</v>
      </c>
      <c r="CE26" s="3">
        <f t="shared" si="17"/>
        <v>490999.48</v>
      </c>
      <c r="CF26" s="3">
        <f t="shared" si="17"/>
        <v>490999.48</v>
      </c>
      <c r="CG26" s="3">
        <f t="shared" si="17"/>
        <v>0</v>
      </c>
      <c r="CH26" s="3">
        <f t="shared" si="17"/>
        <v>490999.48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DG41</f>
        <v>746912.35</v>
      </c>
      <c r="DH26" s="4">
        <f t="shared" si="18"/>
        <v>521023.43</v>
      </c>
      <c r="DI26" s="4">
        <f t="shared" si="18"/>
        <v>162739.68</v>
      </c>
      <c r="DJ26" s="4">
        <f t="shared" si="18"/>
        <v>43792.35</v>
      </c>
      <c r="DK26" s="4">
        <f t="shared" si="18"/>
        <v>63149.24</v>
      </c>
      <c r="DL26" s="4">
        <f t="shared" si="18"/>
        <v>0</v>
      </c>
      <c r="DM26" s="4">
        <f t="shared" si="18"/>
        <v>187.643475</v>
      </c>
      <c r="DN26" s="4">
        <f t="shared" si="18"/>
        <v>0.896625</v>
      </c>
      <c r="DO26" s="4">
        <f t="shared" si="18"/>
        <v>0</v>
      </c>
      <c r="DP26" s="4">
        <f t="shared" si="18"/>
        <v>108528.79</v>
      </c>
      <c r="DQ26" s="4">
        <f t="shared" si="18"/>
        <v>64900.17</v>
      </c>
      <c r="DR26" s="4">
        <f t="shared" si="18"/>
        <v>0</v>
      </c>
      <c r="DS26" s="4">
        <f t="shared" si="18"/>
        <v>0</v>
      </c>
      <c r="DT26" s="4">
        <f t="shared" si="18"/>
        <v>746912.35</v>
      </c>
      <c r="DU26" s="4">
        <f t="shared" si="18"/>
        <v>521023.43</v>
      </c>
      <c r="DV26" s="4">
        <f t="shared" si="18"/>
        <v>162739.68</v>
      </c>
      <c r="DW26" s="4">
        <f t="shared" si="18"/>
        <v>43792.35</v>
      </c>
      <c r="DX26" s="4">
        <f t="shared" si="18"/>
        <v>63149.24</v>
      </c>
      <c r="DY26" s="4">
        <f t="shared" si="18"/>
        <v>0</v>
      </c>
      <c r="DZ26" s="4">
        <f t="shared" si="18"/>
        <v>187.643475</v>
      </c>
      <c r="EA26" s="4">
        <f t="shared" si="18"/>
        <v>0.896625</v>
      </c>
      <c r="EB26" s="4">
        <f t="shared" si="18"/>
        <v>0</v>
      </c>
      <c r="EC26" s="4">
        <f t="shared" si="18"/>
        <v>108528.79</v>
      </c>
      <c r="ED26" s="4">
        <f t="shared" si="18"/>
        <v>64900.17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920341.31</v>
      </c>
      <c r="EK26" s="4">
        <f t="shared" si="18"/>
        <v>920341.31</v>
      </c>
      <c r="EL26" s="4">
        <f t="shared" si="18"/>
        <v>0</v>
      </c>
      <c r="EM26" s="4">
        <f aca="true" t="shared" si="19" ref="EM26:FR26">EM41</f>
        <v>0</v>
      </c>
      <c r="EN26" s="4">
        <f t="shared" si="19"/>
        <v>521023.43</v>
      </c>
      <c r="EO26" s="4">
        <f t="shared" si="19"/>
        <v>521023.43</v>
      </c>
      <c r="EP26" s="4">
        <f t="shared" si="19"/>
        <v>0</v>
      </c>
      <c r="EQ26" s="4">
        <f t="shared" si="19"/>
        <v>521023.43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FS41</f>
        <v>920341.31</v>
      </c>
      <c r="FT26" s="4">
        <f t="shared" si="20"/>
        <v>920341.31</v>
      </c>
      <c r="FU26" s="4">
        <f t="shared" si="20"/>
        <v>0</v>
      </c>
      <c r="FV26" s="4">
        <f t="shared" si="20"/>
        <v>0</v>
      </c>
      <c r="FW26" s="4">
        <f t="shared" si="20"/>
        <v>521023.43</v>
      </c>
      <c r="FX26" s="4">
        <f t="shared" si="20"/>
        <v>521023.43</v>
      </c>
      <c r="FY26" s="4">
        <f t="shared" si="20"/>
        <v>0</v>
      </c>
      <c r="FZ26" s="4">
        <f t="shared" si="20"/>
        <v>521023.43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ROW(SmtRes!A10)</f>
        <v>10</v>
      </c>
      <c r="D28" s="2">
        <f>ROW(EtalonRes!A11)</f>
        <v>11</v>
      </c>
      <c r="E28" s="2" t="s">
        <v>27</v>
      </c>
      <c r="F28" s="2" t="s">
        <v>28</v>
      </c>
      <c r="G28" s="2" t="s">
        <v>29</v>
      </c>
      <c r="H28" s="2" t="s">
        <v>30</v>
      </c>
      <c r="I28" s="2">
        <f>ROUND(96.45/100,7)</f>
        <v>0.9645</v>
      </c>
      <c r="J28" s="2">
        <v>0</v>
      </c>
      <c r="K28" s="2">
        <f>ROUND(96.45/100,7)</f>
        <v>0.9645</v>
      </c>
      <c r="L28" s="2"/>
      <c r="M28" s="2"/>
      <c r="N28" s="2"/>
      <c r="O28" s="2">
        <f aca="true" t="shared" si="21" ref="O28:O39">ROUND(CP28,2)</f>
        <v>2561.86</v>
      </c>
      <c r="P28" s="2">
        <f aca="true" t="shared" si="22" ref="P28:P39">ROUND(CQ28*I28,2)</f>
        <v>1063.27</v>
      </c>
      <c r="Q28" s="2">
        <f aca="true" t="shared" si="23" ref="Q28:Q39">ROUND(CR28*I28,2)</f>
        <v>23.39</v>
      </c>
      <c r="R28" s="2">
        <f aca="true" t="shared" si="24" ref="R28:R39">ROUND(CS28*I28,2)</f>
        <v>6.06</v>
      </c>
      <c r="S28" s="2">
        <f aca="true" t="shared" si="25" ref="S28:S39">ROUND(CT28*I28,2)</f>
        <v>1475.2</v>
      </c>
      <c r="T28" s="2">
        <f aca="true" t="shared" si="26" ref="T28:T39">ROUND(CU28*I28,2)</f>
        <v>0</v>
      </c>
      <c r="U28" s="2">
        <f aca="true" t="shared" si="27" ref="U28:U39">CV28*I28</f>
        <v>168.7875</v>
      </c>
      <c r="V28" s="2">
        <f aca="true" t="shared" si="28" ref="V28:V39">CW28*I28</f>
        <v>0.48225</v>
      </c>
      <c r="W28" s="2">
        <f aca="true" t="shared" si="29" ref="W28:W39">ROUND(CX28*I28,2)</f>
        <v>0</v>
      </c>
      <c r="X28" s="2">
        <f aca="true" t="shared" si="30" ref="X28:X39">ROUND(CY28,2)</f>
        <v>1333.13</v>
      </c>
      <c r="Y28" s="2">
        <f aca="true" t="shared" si="31" ref="Y28:Y39">ROUND(CZ28,2)</f>
        <v>666.57</v>
      </c>
      <c r="Z28" s="2"/>
      <c r="AA28" s="2">
        <v>55115741</v>
      </c>
      <c r="AB28" s="2">
        <f aca="true" t="shared" si="32" ref="AB28:AB39">ROUND((AC28+AD28+AF28),6)</f>
        <v>2656.16</v>
      </c>
      <c r="AC28" s="2">
        <f aca="true" t="shared" si="33" ref="AC28:AC39">ROUND((ES28),6)</f>
        <v>1102.41</v>
      </c>
      <c r="AD28" s="2">
        <f aca="true" t="shared" si="34" ref="AD28:AD37">ROUND((((ET28)-(EU28))+AE28),6)</f>
        <v>24.25</v>
      </c>
      <c r="AE28" s="2">
        <f aca="true" t="shared" si="35" ref="AE28:AE37">ROUND((EU28),6)</f>
        <v>6.28</v>
      </c>
      <c r="AF28" s="2">
        <f aca="true" t="shared" si="36" ref="AF28:AF37">ROUND((EV28),6)</f>
        <v>1529.5</v>
      </c>
      <c r="AG28" s="2">
        <f aca="true" t="shared" si="37" ref="AG28:AG39">ROUND((AP28),6)</f>
        <v>0</v>
      </c>
      <c r="AH28" s="2">
        <f aca="true" t="shared" si="38" ref="AH28:AH37">(EW28)</f>
        <v>175</v>
      </c>
      <c r="AI28" s="2">
        <f aca="true" t="shared" si="39" ref="AI28:AI37">(EX28)</f>
        <v>0.5</v>
      </c>
      <c r="AJ28" s="2">
        <f aca="true" t="shared" si="40" ref="AJ28:AJ39">(AS28)</f>
        <v>0</v>
      </c>
      <c r="AK28" s="2">
        <v>2656.16</v>
      </c>
      <c r="AL28" s="2">
        <v>1102.41</v>
      </c>
      <c r="AM28" s="2">
        <v>24.25</v>
      </c>
      <c r="AN28" s="2">
        <v>6.28</v>
      </c>
      <c r="AO28" s="2">
        <v>1529.5</v>
      </c>
      <c r="AP28" s="2">
        <v>0</v>
      </c>
      <c r="AQ28" s="2">
        <v>175</v>
      </c>
      <c r="AR28" s="2">
        <v>0.5</v>
      </c>
      <c r="AS28" s="2">
        <v>0</v>
      </c>
      <c r="AT28" s="2">
        <v>90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31</v>
      </c>
      <c r="BK28" s="2"/>
      <c r="BL28" s="2"/>
      <c r="BM28" s="2">
        <v>63001</v>
      </c>
      <c r="BN28" s="2">
        <v>0</v>
      </c>
      <c r="BO28" s="2" t="s">
        <v>3</v>
      </c>
      <c r="BP28" s="2">
        <v>0</v>
      </c>
      <c r="BQ28" s="2">
        <v>6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90</v>
      </c>
      <c r="CA28" s="2">
        <v>45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aca="true" t="shared" si="41" ref="CP28:CP39">(P28+Q28+S28)</f>
        <v>2561.86</v>
      </c>
      <c r="CQ28" s="2">
        <f aca="true" t="shared" si="42" ref="CQ28:CQ39">AC28*BC28</f>
        <v>1102.41</v>
      </c>
      <c r="CR28" s="2">
        <f aca="true" t="shared" si="43" ref="CR28:CR39">AD28*BB28</f>
        <v>24.25</v>
      </c>
      <c r="CS28" s="2">
        <f aca="true" t="shared" si="44" ref="CS28:CS39">AE28*BS28</f>
        <v>6.28</v>
      </c>
      <c r="CT28" s="2">
        <f aca="true" t="shared" si="45" ref="CT28:CT39">AF28*BA28</f>
        <v>1529.5</v>
      </c>
      <c r="CU28" s="2">
        <f aca="true" t="shared" si="46" ref="CU28:CU39">AG28</f>
        <v>0</v>
      </c>
      <c r="CV28" s="2">
        <f aca="true" t="shared" si="47" ref="CV28:CV39">AH28</f>
        <v>175</v>
      </c>
      <c r="CW28" s="2">
        <f aca="true" t="shared" si="48" ref="CW28:CW39">AI28</f>
        <v>0.5</v>
      </c>
      <c r="CX28" s="2">
        <f aca="true" t="shared" si="49" ref="CX28:CX39">AJ28</f>
        <v>0</v>
      </c>
      <c r="CY28" s="2">
        <f aca="true" t="shared" si="50" ref="CY28:CY39">(((S28+R28)*AT28)/100)</f>
        <v>1333.134</v>
      </c>
      <c r="CZ28" s="2">
        <f aca="true" t="shared" si="51" ref="CZ28:CZ39">(((S28+R28)*AU28)/100)</f>
        <v>666.567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30</v>
      </c>
      <c r="DW28" s="2" t="s">
        <v>30</v>
      </c>
      <c r="DX28" s="2">
        <v>100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53470341</v>
      </c>
      <c r="EF28" s="2">
        <v>6</v>
      </c>
      <c r="EG28" s="2" t="s">
        <v>32</v>
      </c>
      <c r="EH28" s="2">
        <v>97</v>
      </c>
      <c r="EI28" s="2" t="s">
        <v>33</v>
      </c>
      <c r="EJ28" s="2">
        <v>1</v>
      </c>
      <c r="EK28" s="2">
        <v>63001</v>
      </c>
      <c r="EL28" s="2" t="s">
        <v>34</v>
      </c>
      <c r="EM28" s="2" t="s">
        <v>35</v>
      </c>
      <c r="EN28" s="2"/>
      <c r="EO28" s="2" t="s">
        <v>3</v>
      </c>
      <c r="EP28" s="2"/>
      <c r="EQ28" s="2">
        <v>0</v>
      </c>
      <c r="ER28" s="2">
        <v>2656.16</v>
      </c>
      <c r="ES28" s="2">
        <v>1102.41</v>
      </c>
      <c r="ET28" s="2">
        <v>24.25</v>
      </c>
      <c r="EU28" s="2">
        <v>6.28</v>
      </c>
      <c r="EV28" s="2">
        <v>1529.5</v>
      </c>
      <c r="EW28" s="2">
        <v>175</v>
      </c>
      <c r="EX28" s="2">
        <v>0.5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52" ref="FR28:FR39">ROUND(IF(AND(BH28=3,BI28=3),P28,0),2)</f>
        <v>0</v>
      </c>
      <c r="FS28" s="2">
        <v>0</v>
      </c>
      <c r="FT28" s="2"/>
      <c r="FU28" s="2"/>
      <c r="FV28" s="2"/>
      <c r="FW28" s="2"/>
      <c r="FX28" s="2">
        <v>90</v>
      </c>
      <c r="FY28" s="2">
        <v>45</v>
      </c>
      <c r="FZ28" s="2"/>
      <c r="GA28" s="2" t="s">
        <v>3</v>
      </c>
      <c r="GB28" s="2"/>
      <c r="GC28" s="2"/>
      <c r="GD28" s="2">
        <v>1</v>
      </c>
      <c r="GE28" s="2"/>
      <c r="GF28" s="2">
        <v>-1366143134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aca="true" t="shared" si="53" ref="GL28:GL39">ROUND(IF(AND(BH28=3,BI28=3,FS28&lt;&gt;0),P28,0),2)</f>
        <v>0</v>
      </c>
      <c r="GM28" s="2">
        <f aca="true" t="shared" si="54" ref="GM28:GM39">ROUND(O28+X28+Y28,2)+GX28</f>
        <v>4561.56</v>
      </c>
      <c r="GN28" s="2">
        <f aca="true" t="shared" si="55" ref="GN28:GN39">IF(OR(BI28=0,BI28=1),ROUND(O28+X28+Y28,2),0)</f>
        <v>4561.56</v>
      </c>
      <c r="GO28" s="2">
        <f aca="true" t="shared" si="56" ref="GO28:GO39">IF(BI28=2,ROUND(O28+X28+Y28,2),0)</f>
        <v>0</v>
      </c>
      <c r="GP28" s="2">
        <f aca="true" t="shared" si="57" ref="GP28:GP39">IF(BI28=4,ROUND(O28+X28+Y28,2)+GX28,0)</f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aca="true" t="shared" si="58" ref="GV28:GV39">ROUND((GT28),6)</f>
        <v>0</v>
      </c>
      <c r="GW28" s="2">
        <v>1</v>
      </c>
      <c r="GX28" s="2">
        <f aca="true" t="shared" si="59" ref="GX28:GX39">ROUND(HC28*I28,2)</f>
        <v>0</v>
      </c>
      <c r="GY28" s="2"/>
      <c r="GZ28" s="2"/>
      <c r="HA28" s="2">
        <v>0</v>
      </c>
      <c r="HB28" s="2">
        <v>0</v>
      </c>
      <c r="HC28" s="2">
        <f aca="true" t="shared" si="60" ref="HC28:HC39">GV28*GW28</f>
        <v>0</v>
      </c>
      <c r="HD28" s="2"/>
      <c r="HE28" s="2" t="s">
        <v>3</v>
      </c>
      <c r="HF28" s="2" t="s">
        <v>3</v>
      </c>
      <c r="HG28" s="2"/>
      <c r="HH28" s="2"/>
      <c r="HI28" s="2"/>
      <c r="HJ28" s="2"/>
      <c r="HK28" s="2"/>
      <c r="HL28" s="2"/>
      <c r="HM28" s="2" t="s">
        <v>3</v>
      </c>
      <c r="HN28" s="2" t="s">
        <v>36</v>
      </c>
      <c r="HO28" s="2" t="s">
        <v>37</v>
      </c>
      <c r="HP28" s="2" t="s">
        <v>34</v>
      </c>
      <c r="HQ28" s="2" t="s">
        <v>34</v>
      </c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ROW(SmtRes!A20)</f>
        <v>20</v>
      </c>
      <c r="D29">
        <f>ROW(EtalonRes!A22)</f>
        <v>22</v>
      </c>
      <c r="E29" t="s">
        <v>27</v>
      </c>
      <c r="F29" t="s">
        <v>28</v>
      </c>
      <c r="G29" t="s">
        <v>29</v>
      </c>
      <c r="H29" t="s">
        <v>30</v>
      </c>
      <c r="I29">
        <f>ROUND(96.45/100,7)</f>
        <v>0.9645</v>
      </c>
      <c r="J29">
        <v>0</v>
      </c>
      <c r="K29">
        <f>ROUND(96.45/100,7)</f>
        <v>0.9645</v>
      </c>
      <c r="O29">
        <f t="shared" si="21"/>
        <v>61437.61</v>
      </c>
      <c r="P29">
        <f t="shared" si="22"/>
        <v>4508.28</v>
      </c>
      <c r="Q29">
        <f t="shared" si="23"/>
        <v>340.55</v>
      </c>
      <c r="R29">
        <f t="shared" si="24"/>
        <v>232.35</v>
      </c>
      <c r="S29">
        <f t="shared" si="25"/>
        <v>56588.78</v>
      </c>
      <c r="T29">
        <f t="shared" si="26"/>
        <v>0</v>
      </c>
      <c r="U29">
        <f t="shared" si="27"/>
        <v>168.7875</v>
      </c>
      <c r="V29">
        <f t="shared" si="28"/>
        <v>0.48225</v>
      </c>
      <c r="W29">
        <f t="shared" si="29"/>
        <v>0</v>
      </c>
      <c r="X29">
        <f t="shared" si="30"/>
        <v>51139.02</v>
      </c>
      <c r="Y29">
        <f t="shared" si="31"/>
        <v>25569.51</v>
      </c>
      <c r="AA29">
        <v>55115742</v>
      </c>
      <c r="AB29">
        <f t="shared" si="32"/>
        <v>2656.16</v>
      </c>
      <c r="AC29">
        <f t="shared" si="33"/>
        <v>1102.41</v>
      </c>
      <c r="AD29">
        <f t="shared" si="34"/>
        <v>24.25</v>
      </c>
      <c r="AE29">
        <f t="shared" si="35"/>
        <v>6.28</v>
      </c>
      <c r="AF29">
        <f t="shared" si="36"/>
        <v>1529.5</v>
      </c>
      <c r="AG29">
        <f t="shared" si="37"/>
        <v>0</v>
      </c>
      <c r="AH29">
        <f t="shared" si="38"/>
        <v>175</v>
      </c>
      <c r="AI29">
        <f t="shared" si="39"/>
        <v>0.5</v>
      </c>
      <c r="AJ29">
        <f t="shared" si="40"/>
        <v>0</v>
      </c>
      <c r="AK29">
        <v>2656.16</v>
      </c>
      <c r="AL29">
        <v>1102.41</v>
      </c>
      <c r="AM29">
        <v>24.25</v>
      </c>
      <c r="AN29">
        <v>6.28</v>
      </c>
      <c r="AO29">
        <v>1529.5</v>
      </c>
      <c r="AP29">
        <v>0</v>
      </c>
      <c r="AQ29">
        <v>175</v>
      </c>
      <c r="AR29">
        <v>0.5</v>
      </c>
      <c r="AS29">
        <v>0</v>
      </c>
      <c r="AT29">
        <v>90</v>
      </c>
      <c r="AU29">
        <v>45</v>
      </c>
      <c r="AV29">
        <v>1</v>
      </c>
      <c r="AW29">
        <v>1</v>
      </c>
      <c r="AZ29">
        <v>1</v>
      </c>
      <c r="BA29">
        <v>38.36</v>
      </c>
      <c r="BB29">
        <v>14.56</v>
      </c>
      <c r="BC29">
        <v>4.24</v>
      </c>
      <c r="BH29">
        <v>0</v>
      </c>
      <c r="BI29">
        <v>1</v>
      </c>
      <c r="BJ29" t="s">
        <v>31</v>
      </c>
      <c r="BM29">
        <v>63001</v>
      </c>
      <c r="BN29">
        <v>0</v>
      </c>
      <c r="BO29" t="s">
        <v>28</v>
      </c>
      <c r="BP29">
        <v>1</v>
      </c>
      <c r="BQ29">
        <v>6</v>
      </c>
      <c r="BR29">
        <v>0</v>
      </c>
      <c r="BS29">
        <v>38.36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90</v>
      </c>
      <c r="CA29">
        <v>45</v>
      </c>
      <c r="CE29">
        <v>0</v>
      </c>
      <c r="CF29">
        <v>0</v>
      </c>
      <c r="CG29">
        <v>0</v>
      </c>
      <c r="CM29">
        <v>0</v>
      </c>
      <c r="CO29">
        <v>0</v>
      </c>
      <c r="CP29">
        <f t="shared" si="41"/>
        <v>61437.61</v>
      </c>
      <c r="CQ29">
        <f t="shared" si="42"/>
        <v>4674.218400000001</v>
      </c>
      <c r="CR29">
        <f t="shared" si="43"/>
        <v>353.08</v>
      </c>
      <c r="CS29">
        <f t="shared" si="44"/>
        <v>240.9008</v>
      </c>
      <c r="CT29">
        <f t="shared" si="45"/>
        <v>58671.62</v>
      </c>
      <c r="CU29">
        <f t="shared" si="46"/>
        <v>0</v>
      </c>
      <c r="CV29">
        <f t="shared" si="47"/>
        <v>175</v>
      </c>
      <c r="CW29">
        <f t="shared" si="48"/>
        <v>0.5</v>
      </c>
      <c r="CX29">
        <f t="shared" si="49"/>
        <v>0</v>
      </c>
      <c r="CY29">
        <f t="shared" si="50"/>
        <v>51139.017</v>
      </c>
      <c r="CZ29">
        <f t="shared" si="51"/>
        <v>25569.5085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30</v>
      </c>
      <c r="DW29" t="s">
        <v>30</v>
      </c>
      <c r="DX29">
        <v>100</v>
      </c>
      <c r="EE29">
        <v>53470341</v>
      </c>
      <c r="EF29">
        <v>6</v>
      </c>
      <c r="EG29" t="s">
        <v>32</v>
      </c>
      <c r="EH29">
        <v>97</v>
      </c>
      <c r="EI29" t="s">
        <v>33</v>
      </c>
      <c r="EJ29">
        <v>1</v>
      </c>
      <c r="EK29">
        <v>63001</v>
      </c>
      <c r="EL29" t="s">
        <v>34</v>
      </c>
      <c r="EM29" t="s">
        <v>35</v>
      </c>
      <c r="EQ29">
        <v>0</v>
      </c>
      <c r="ER29">
        <v>2656.16</v>
      </c>
      <c r="ES29">
        <v>1102.41</v>
      </c>
      <c r="ET29">
        <v>24.25</v>
      </c>
      <c r="EU29">
        <v>6.28</v>
      </c>
      <c r="EV29">
        <v>1529.5</v>
      </c>
      <c r="EW29">
        <v>175</v>
      </c>
      <c r="EX29">
        <v>0.5</v>
      </c>
      <c r="EY29">
        <v>0</v>
      </c>
      <c r="FQ29">
        <v>0</v>
      </c>
      <c r="FR29">
        <f t="shared" si="52"/>
        <v>0</v>
      </c>
      <c r="FS29">
        <v>0</v>
      </c>
      <c r="FX29">
        <v>90</v>
      </c>
      <c r="FY29">
        <v>45</v>
      </c>
      <c r="GD29">
        <v>1</v>
      </c>
      <c r="GF29">
        <v>-1366143134</v>
      </c>
      <c r="GG29">
        <v>2</v>
      </c>
      <c r="GH29">
        <v>1</v>
      </c>
      <c r="GI29">
        <v>2</v>
      </c>
      <c r="GJ29">
        <v>0</v>
      </c>
      <c r="GK29">
        <v>0</v>
      </c>
      <c r="GL29">
        <f t="shared" si="53"/>
        <v>0</v>
      </c>
      <c r="GM29">
        <f t="shared" si="54"/>
        <v>138146.14</v>
      </c>
      <c r="GN29">
        <f t="shared" si="55"/>
        <v>138146.14</v>
      </c>
      <c r="GO29">
        <f t="shared" si="56"/>
        <v>0</v>
      </c>
      <c r="GP29">
        <f t="shared" si="57"/>
        <v>0</v>
      </c>
      <c r="GR29">
        <v>0</v>
      </c>
      <c r="GS29">
        <v>3</v>
      </c>
      <c r="GT29">
        <v>0</v>
      </c>
      <c r="GV29">
        <f t="shared" si="58"/>
        <v>0</v>
      </c>
      <c r="GW29">
        <v>1</v>
      </c>
      <c r="GX29">
        <f t="shared" si="59"/>
        <v>0</v>
      </c>
      <c r="HA29">
        <v>0</v>
      </c>
      <c r="HB29">
        <v>0</v>
      </c>
      <c r="HC29">
        <f t="shared" si="60"/>
        <v>0</v>
      </c>
      <c r="HN29" t="s">
        <v>36</v>
      </c>
      <c r="HO29" t="s">
        <v>37</v>
      </c>
      <c r="HP29" t="s">
        <v>34</v>
      </c>
      <c r="HQ29" t="s">
        <v>34</v>
      </c>
      <c r="IK29">
        <v>0</v>
      </c>
    </row>
    <row r="30" spans="1:255" ht="12.75">
      <c r="A30" s="2">
        <v>18</v>
      </c>
      <c r="B30" s="2">
        <v>1</v>
      </c>
      <c r="C30" s="2">
        <v>10</v>
      </c>
      <c r="D30" s="2"/>
      <c r="E30" s="2" t="s">
        <v>38</v>
      </c>
      <c r="F30" s="2" t="s">
        <v>39</v>
      </c>
      <c r="G30" s="2" t="s">
        <v>40</v>
      </c>
      <c r="H30" s="2" t="s">
        <v>41</v>
      </c>
      <c r="I30" s="2">
        <f>I28*J30</f>
        <v>96.45</v>
      </c>
      <c r="J30" s="2">
        <v>100</v>
      </c>
      <c r="K30" s="2">
        <v>100</v>
      </c>
      <c r="L30" s="2"/>
      <c r="M30" s="2"/>
      <c r="N30" s="2"/>
      <c r="O30" s="2">
        <f t="shared" si="21"/>
        <v>482491.13</v>
      </c>
      <c r="P30" s="2">
        <f t="shared" si="22"/>
        <v>482491.13</v>
      </c>
      <c r="Q30" s="2">
        <f t="shared" si="23"/>
        <v>0</v>
      </c>
      <c r="R30" s="2">
        <f t="shared" si="24"/>
        <v>0</v>
      </c>
      <c r="S30" s="2">
        <f t="shared" si="25"/>
        <v>0</v>
      </c>
      <c r="T30" s="2">
        <f t="shared" si="26"/>
        <v>0</v>
      </c>
      <c r="U30" s="2">
        <f t="shared" si="27"/>
        <v>0</v>
      </c>
      <c r="V30" s="2">
        <f t="shared" si="28"/>
        <v>0</v>
      </c>
      <c r="W30" s="2">
        <f t="shared" si="29"/>
        <v>0</v>
      </c>
      <c r="X30" s="2">
        <f t="shared" si="30"/>
        <v>0</v>
      </c>
      <c r="Y30" s="2">
        <f t="shared" si="31"/>
        <v>0</v>
      </c>
      <c r="Z30" s="2"/>
      <c r="AA30" s="2">
        <v>55115741</v>
      </c>
      <c r="AB30" s="2">
        <f t="shared" si="32"/>
        <v>5002.5</v>
      </c>
      <c r="AC30" s="2">
        <f t="shared" si="33"/>
        <v>5002.5</v>
      </c>
      <c r="AD30" s="2">
        <f t="shared" si="34"/>
        <v>0</v>
      </c>
      <c r="AE30" s="2">
        <f t="shared" si="35"/>
        <v>0</v>
      </c>
      <c r="AF30" s="2">
        <f t="shared" si="36"/>
        <v>0</v>
      </c>
      <c r="AG30" s="2">
        <f t="shared" si="37"/>
        <v>0</v>
      </c>
      <c r="AH30" s="2">
        <f t="shared" si="38"/>
        <v>0</v>
      </c>
      <c r="AI30" s="2">
        <f t="shared" si="39"/>
        <v>0</v>
      </c>
      <c r="AJ30" s="2">
        <f t="shared" si="40"/>
        <v>0</v>
      </c>
      <c r="AK30" s="2">
        <v>5002.5</v>
      </c>
      <c r="AL30" s="2">
        <v>5002.5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93</v>
      </c>
      <c r="AU30" s="2">
        <v>62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3</v>
      </c>
      <c r="BI30" s="2">
        <v>1</v>
      </c>
      <c r="BJ30" s="2" t="s">
        <v>3</v>
      </c>
      <c r="BK30" s="2"/>
      <c r="BL30" s="2"/>
      <c r="BM30" s="2">
        <v>9001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93</v>
      </c>
      <c r="CA30" s="2">
        <v>62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41"/>
        <v>482491.13</v>
      </c>
      <c r="CQ30" s="2">
        <f t="shared" si="42"/>
        <v>5002.5</v>
      </c>
      <c r="CR30" s="2">
        <f t="shared" si="43"/>
        <v>0</v>
      </c>
      <c r="CS30" s="2">
        <f t="shared" si="44"/>
        <v>0</v>
      </c>
      <c r="CT30" s="2">
        <f t="shared" si="45"/>
        <v>0</v>
      </c>
      <c r="CU30" s="2">
        <f t="shared" si="46"/>
        <v>0</v>
      </c>
      <c r="CV30" s="2">
        <f t="shared" si="47"/>
        <v>0</v>
      </c>
      <c r="CW30" s="2">
        <f t="shared" si="48"/>
        <v>0</v>
      </c>
      <c r="CX30" s="2">
        <f t="shared" si="49"/>
        <v>0</v>
      </c>
      <c r="CY30" s="2">
        <f t="shared" si="50"/>
        <v>0</v>
      </c>
      <c r="CZ30" s="2">
        <f t="shared" si="51"/>
        <v>0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41</v>
      </c>
      <c r="DW30" s="2" t="s">
        <v>41</v>
      </c>
      <c r="DX30" s="2">
        <v>1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53470168</v>
      </c>
      <c r="EF30" s="2">
        <v>2</v>
      </c>
      <c r="EG30" s="2" t="s">
        <v>42</v>
      </c>
      <c r="EH30" s="2">
        <v>9</v>
      </c>
      <c r="EI30" s="2" t="s">
        <v>43</v>
      </c>
      <c r="EJ30" s="2">
        <v>1</v>
      </c>
      <c r="EK30" s="2">
        <v>9001</v>
      </c>
      <c r="EL30" s="2" t="s">
        <v>43</v>
      </c>
      <c r="EM30" s="2" t="s">
        <v>44</v>
      </c>
      <c r="EN30" s="2"/>
      <c r="EO30" s="2" t="s">
        <v>3</v>
      </c>
      <c r="EP30" s="2"/>
      <c r="EQ30" s="2">
        <v>0</v>
      </c>
      <c r="ER30" s="2">
        <v>0</v>
      </c>
      <c r="ES30" s="2">
        <v>5002.5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52"/>
        <v>0</v>
      </c>
      <c r="FS30" s="2">
        <v>0</v>
      </c>
      <c r="FT30" s="2"/>
      <c r="FU30" s="2"/>
      <c r="FV30" s="2"/>
      <c r="FW30" s="2"/>
      <c r="FX30" s="2">
        <v>93</v>
      </c>
      <c r="FY30" s="2">
        <v>62</v>
      </c>
      <c r="FZ30" s="2"/>
      <c r="GA30" s="2" t="s">
        <v>45</v>
      </c>
      <c r="GB30" s="2"/>
      <c r="GC30" s="2"/>
      <c r="GD30" s="2">
        <v>1</v>
      </c>
      <c r="GE30" s="2"/>
      <c r="GF30" s="2">
        <v>280787102</v>
      </c>
      <c r="GG30" s="2">
        <v>2</v>
      </c>
      <c r="GH30" s="2">
        <v>4</v>
      </c>
      <c r="GI30" s="2">
        <v>-2</v>
      </c>
      <c r="GJ30" s="2">
        <v>0</v>
      </c>
      <c r="GK30" s="2">
        <v>0</v>
      </c>
      <c r="GL30" s="2">
        <f t="shared" si="53"/>
        <v>0</v>
      </c>
      <c r="GM30" s="2">
        <f t="shared" si="54"/>
        <v>482491.13</v>
      </c>
      <c r="GN30" s="2">
        <f t="shared" si="55"/>
        <v>482491.13</v>
      </c>
      <c r="GO30" s="2">
        <f t="shared" si="56"/>
        <v>0</v>
      </c>
      <c r="GP30" s="2">
        <f t="shared" si="57"/>
        <v>0</v>
      </c>
      <c r="GQ30" s="2"/>
      <c r="GR30" s="2">
        <v>0</v>
      </c>
      <c r="GS30" s="2">
        <v>2</v>
      </c>
      <c r="GT30" s="2">
        <v>0</v>
      </c>
      <c r="GU30" s="2" t="s">
        <v>3</v>
      </c>
      <c r="GV30" s="2">
        <f t="shared" si="58"/>
        <v>0</v>
      </c>
      <c r="GW30" s="2">
        <v>1</v>
      </c>
      <c r="GX30" s="2">
        <f t="shared" si="59"/>
        <v>0</v>
      </c>
      <c r="GY30" s="2"/>
      <c r="GZ30" s="2"/>
      <c r="HA30" s="2">
        <v>0</v>
      </c>
      <c r="HB30" s="2">
        <v>0</v>
      </c>
      <c r="HC30" s="2">
        <f t="shared" si="60"/>
        <v>0</v>
      </c>
      <c r="HD30" s="2"/>
      <c r="HE30" s="2" t="s">
        <v>3</v>
      </c>
      <c r="HF30" s="2" t="s">
        <v>3</v>
      </c>
      <c r="HG30" s="2"/>
      <c r="HH30" s="2"/>
      <c r="HI30" s="2"/>
      <c r="HJ30" s="2"/>
      <c r="HK30" s="2"/>
      <c r="HL30" s="2"/>
      <c r="HM30" s="2" t="s">
        <v>3</v>
      </c>
      <c r="HN30" s="2" t="s">
        <v>46</v>
      </c>
      <c r="HO30" s="2" t="s">
        <v>47</v>
      </c>
      <c r="HP30" s="2" t="s">
        <v>43</v>
      </c>
      <c r="HQ30" s="2" t="s">
        <v>43</v>
      </c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18</v>
      </c>
      <c r="B31">
        <v>1</v>
      </c>
      <c r="C31">
        <v>20</v>
      </c>
      <c r="E31" t="s">
        <v>38</v>
      </c>
      <c r="F31" t="s">
        <v>39</v>
      </c>
      <c r="G31" t="s">
        <v>40</v>
      </c>
      <c r="H31" t="s">
        <v>41</v>
      </c>
      <c r="I31">
        <f>I29*J31</f>
        <v>96.45</v>
      </c>
      <c r="J31">
        <v>100</v>
      </c>
      <c r="K31">
        <v>100</v>
      </c>
      <c r="O31">
        <f t="shared" si="21"/>
        <v>482491.13</v>
      </c>
      <c r="P31">
        <f t="shared" si="22"/>
        <v>482491.13</v>
      </c>
      <c r="Q31">
        <f t="shared" si="23"/>
        <v>0</v>
      </c>
      <c r="R31">
        <f t="shared" si="24"/>
        <v>0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1"/>
        <v>0</v>
      </c>
      <c r="AA31">
        <v>55115742</v>
      </c>
      <c r="AB31">
        <f t="shared" si="32"/>
        <v>5002.5</v>
      </c>
      <c r="AC31">
        <f t="shared" si="33"/>
        <v>5002.5</v>
      </c>
      <c r="AD31">
        <f t="shared" si="34"/>
        <v>0</v>
      </c>
      <c r="AE31">
        <f t="shared" si="35"/>
        <v>0</v>
      </c>
      <c r="AF31">
        <f t="shared" si="36"/>
        <v>0</v>
      </c>
      <c r="AG31">
        <f t="shared" si="37"/>
        <v>0</v>
      </c>
      <c r="AH31">
        <f t="shared" si="38"/>
        <v>0</v>
      </c>
      <c r="AI31">
        <f t="shared" si="39"/>
        <v>0</v>
      </c>
      <c r="AJ31">
        <f t="shared" si="40"/>
        <v>0</v>
      </c>
      <c r="AK31">
        <v>5002.5</v>
      </c>
      <c r="AL31">
        <v>5002.5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93</v>
      </c>
      <c r="AU31">
        <v>62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3</v>
      </c>
      <c r="BI31">
        <v>1</v>
      </c>
      <c r="BM31">
        <v>9001</v>
      </c>
      <c r="BN31">
        <v>0</v>
      </c>
      <c r="BP31">
        <v>0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93</v>
      </c>
      <c r="CA31">
        <v>62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41"/>
        <v>482491.13</v>
      </c>
      <c r="CQ31">
        <f t="shared" si="42"/>
        <v>5002.5</v>
      </c>
      <c r="CR31">
        <f t="shared" si="43"/>
        <v>0</v>
      </c>
      <c r="CS31">
        <f t="shared" si="44"/>
        <v>0</v>
      </c>
      <c r="CT31">
        <f t="shared" si="45"/>
        <v>0</v>
      </c>
      <c r="CU31">
        <f t="shared" si="46"/>
        <v>0</v>
      </c>
      <c r="CV31">
        <f t="shared" si="47"/>
        <v>0</v>
      </c>
      <c r="CW31">
        <f t="shared" si="48"/>
        <v>0</v>
      </c>
      <c r="CX31">
        <f t="shared" si="49"/>
        <v>0</v>
      </c>
      <c r="CY31">
        <f t="shared" si="50"/>
        <v>0</v>
      </c>
      <c r="CZ31">
        <f t="shared" si="51"/>
        <v>0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41</v>
      </c>
      <c r="DW31" t="s">
        <v>41</v>
      </c>
      <c r="DX31">
        <v>1</v>
      </c>
      <c r="EE31">
        <v>53470168</v>
      </c>
      <c r="EF31">
        <v>2</v>
      </c>
      <c r="EG31" t="s">
        <v>42</v>
      </c>
      <c r="EH31">
        <v>9</v>
      </c>
      <c r="EI31" t="s">
        <v>43</v>
      </c>
      <c r="EJ31">
        <v>1</v>
      </c>
      <c r="EK31">
        <v>9001</v>
      </c>
      <c r="EL31" t="s">
        <v>43</v>
      </c>
      <c r="EM31" t="s">
        <v>44</v>
      </c>
      <c r="EQ31">
        <v>0</v>
      </c>
      <c r="ER31">
        <v>0</v>
      </c>
      <c r="ES31">
        <v>5002.5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52"/>
        <v>0</v>
      </c>
      <c r="FS31">
        <v>0</v>
      </c>
      <c r="FX31">
        <v>93</v>
      </c>
      <c r="FY31">
        <v>62</v>
      </c>
      <c r="GA31" t="s">
        <v>45</v>
      </c>
      <c r="GD31">
        <v>1</v>
      </c>
      <c r="GF31">
        <v>280787102</v>
      </c>
      <c r="GG31">
        <v>2</v>
      </c>
      <c r="GH31">
        <v>2</v>
      </c>
      <c r="GI31">
        <v>-2</v>
      </c>
      <c r="GJ31">
        <v>0</v>
      </c>
      <c r="GK31">
        <v>0</v>
      </c>
      <c r="GL31">
        <f t="shared" si="53"/>
        <v>0</v>
      </c>
      <c r="GM31">
        <f t="shared" si="54"/>
        <v>482491.13</v>
      </c>
      <c r="GN31">
        <f t="shared" si="55"/>
        <v>482491.13</v>
      </c>
      <c r="GO31">
        <f t="shared" si="56"/>
        <v>0</v>
      </c>
      <c r="GP31">
        <f t="shared" si="57"/>
        <v>0</v>
      </c>
      <c r="GR31">
        <v>0</v>
      </c>
      <c r="GS31">
        <v>4</v>
      </c>
      <c r="GT31">
        <v>0</v>
      </c>
      <c r="GV31">
        <f t="shared" si="58"/>
        <v>0</v>
      </c>
      <c r="GW31">
        <v>1</v>
      </c>
      <c r="GX31">
        <f t="shared" si="59"/>
        <v>0</v>
      </c>
      <c r="HA31">
        <v>0</v>
      </c>
      <c r="HB31">
        <v>0</v>
      </c>
      <c r="HC31">
        <f t="shared" si="60"/>
        <v>0</v>
      </c>
      <c r="HN31" t="s">
        <v>46</v>
      </c>
      <c r="HO31" t="s">
        <v>47</v>
      </c>
      <c r="HP31" t="s">
        <v>43</v>
      </c>
      <c r="HQ31" t="s">
        <v>43</v>
      </c>
      <c r="IK31">
        <v>0</v>
      </c>
    </row>
    <row r="32" spans="1:255" ht="12.75">
      <c r="A32" s="2">
        <v>18</v>
      </c>
      <c r="B32" s="2">
        <v>1</v>
      </c>
      <c r="C32" s="2">
        <v>9</v>
      </c>
      <c r="D32" s="2"/>
      <c r="E32" s="2" t="s">
        <v>48</v>
      </c>
      <c r="F32" s="2" t="s">
        <v>49</v>
      </c>
      <c r="G32" s="2" t="s">
        <v>50</v>
      </c>
      <c r="H32" s="2" t="s">
        <v>51</v>
      </c>
      <c r="I32" s="2">
        <f>I28*J32</f>
        <v>1.1574</v>
      </c>
      <c r="J32" s="2">
        <v>1.2</v>
      </c>
      <c r="K32" s="2">
        <v>1.2</v>
      </c>
      <c r="L32" s="2"/>
      <c r="M32" s="2"/>
      <c r="N32" s="2"/>
      <c r="O32" s="2">
        <f t="shared" si="21"/>
        <v>0</v>
      </c>
      <c r="P32" s="2">
        <f t="shared" si="22"/>
        <v>0</v>
      </c>
      <c r="Q32" s="2">
        <f t="shared" si="23"/>
        <v>0</v>
      </c>
      <c r="R32" s="2">
        <f t="shared" si="24"/>
        <v>0</v>
      </c>
      <c r="S32" s="2">
        <f t="shared" si="25"/>
        <v>0</v>
      </c>
      <c r="T32" s="2">
        <f t="shared" si="26"/>
        <v>0</v>
      </c>
      <c r="U32" s="2">
        <f t="shared" si="27"/>
        <v>0</v>
      </c>
      <c r="V32" s="2">
        <f t="shared" si="28"/>
        <v>0</v>
      </c>
      <c r="W32" s="2">
        <f t="shared" si="29"/>
        <v>0</v>
      </c>
      <c r="X32" s="2">
        <f t="shared" si="30"/>
        <v>0</v>
      </c>
      <c r="Y32" s="2">
        <f t="shared" si="31"/>
        <v>0</v>
      </c>
      <c r="Z32" s="2"/>
      <c r="AA32" s="2">
        <v>55115741</v>
      </c>
      <c r="AB32" s="2">
        <f t="shared" si="32"/>
        <v>0</v>
      </c>
      <c r="AC32" s="2">
        <f t="shared" si="33"/>
        <v>0</v>
      </c>
      <c r="AD32" s="2">
        <f t="shared" si="34"/>
        <v>0</v>
      </c>
      <c r="AE32" s="2">
        <f t="shared" si="35"/>
        <v>0</v>
      </c>
      <c r="AF32" s="2">
        <f t="shared" si="36"/>
        <v>0</v>
      </c>
      <c r="AG32" s="2">
        <f t="shared" si="37"/>
        <v>0</v>
      </c>
      <c r="AH32" s="2">
        <f t="shared" si="38"/>
        <v>0</v>
      </c>
      <c r="AI32" s="2">
        <f t="shared" si="39"/>
        <v>0</v>
      </c>
      <c r="AJ32" s="2">
        <f t="shared" si="40"/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90</v>
      </c>
      <c r="AU32" s="2">
        <v>45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63001</v>
      </c>
      <c r="BN32" s="2">
        <v>0</v>
      </c>
      <c r="BO32" s="2" t="s">
        <v>3</v>
      </c>
      <c r="BP32" s="2">
        <v>0</v>
      </c>
      <c r="BQ32" s="2">
        <v>6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90</v>
      </c>
      <c r="CA32" s="2">
        <v>45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41"/>
        <v>0</v>
      </c>
      <c r="CQ32" s="2">
        <f t="shared" si="42"/>
        <v>0</v>
      </c>
      <c r="CR32" s="2">
        <f t="shared" si="43"/>
        <v>0</v>
      </c>
      <c r="CS32" s="2">
        <f t="shared" si="44"/>
        <v>0</v>
      </c>
      <c r="CT32" s="2">
        <f t="shared" si="45"/>
        <v>0</v>
      </c>
      <c r="CU32" s="2">
        <f t="shared" si="46"/>
        <v>0</v>
      </c>
      <c r="CV32" s="2">
        <f t="shared" si="47"/>
        <v>0</v>
      </c>
      <c r="CW32" s="2">
        <f t="shared" si="48"/>
        <v>0</v>
      </c>
      <c r="CX32" s="2">
        <f t="shared" si="49"/>
        <v>0</v>
      </c>
      <c r="CY32" s="2">
        <f t="shared" si="50"/>
        <v>0</v>
      </c>
      <c r="CZ32" s="2">
        <f t="shared" si="51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1009</v>
      </c>
      <c r="DV32" s="2" t="s">
        <v>51</v>
      </c>
      <c r="DW32" s="2" t="s">
        <v>51</v>
      </c>
      <c r="DX32" s="2">
        <v>1000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53470341</v>
      </c>
      <c r="EF32" s="2">
        <v>6</v>
      </c>
      <c r="EG32" s="2" t="s">
        <v>32</v>
      </c>
      <c r="EH32" s="2">
        <v>97</v>
      </c>
      <c r="EI32" s="2" t="s">
        <v>33</v>
      </c>
      <c r="EJ32" s="2">
        <v>1</v>
      </c>
      <c r="EK32" s="2">
        <v>63001</v>
      </c>
      <c r="EL32" s="2" t="s">
        <v>34</v>
      </c>
      <c r="EM32" s="2" t="s">
        <v>35</v>
      </c>
      <c r="EN32" s="2"/>
      <c r="EO32" s="2" t="s">
        <v>3</v>
      </c>
      <c r="EP32" s="2"/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52"/>
        <v>0</v>
      </c>
      <c r="FS32" s="2">
        <v>0</v>
      </c>
      <c r="FT32" s="2"/>
      <c r="FU32" s="2"/>
      <c r="FV32" s="2"/>
      <c r="FW32" s="2"/>
      <c r="FX32" s="2">
        <v>90</v>
      </c>
      <c r="FY32" s="2">
        <v>45</v>
      </c>
      <c r="FZ32" s="2"/>
      <c r="GA32" s="2" t="s">
        <v>3</v>
      </c>
      <c r="GB32" s="2"/>
      <c r="GC32" s="2"/>
      <c r="GD32" s="2">
        <v>1</v>
      </c>
      <c r="GE32" s="2"/>
      <c r="GF32" s="2">
        <v>2102561428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53"/>
        <v>0</v>
      </c>
      <c r="GM32" s="2">
        <f t="shared" si="54"/>
        <v>0</v>
      </c>
      <c r="GN32" s="2">
        <f t="shared" si="55"/>
        <v>0</v>
      </c>
      <c r="GO32" s="2">
        <f t="shared" si="56"/>
        <v>0</v>
      </c>
      <c r="GP32" s="2">
        <f t="shared" si="57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8"/>
        <v>0</v>
      </c>
      <c r="GW32" s="2">
        <v>1</v>
      </c>
      <c r="GX32" s="2">
        <f t="shared" si="59"/>
        <v>0</v>
      </c>
      <c r="GY32" s="2"/>
      <c r="GZ32" s="2"/>
      <c r="HA32" s="2">
        <v>0</v>
      </c>
      <c r="HB32" s="2">
        <v>0</v>
      </c>
      <c r="HC32" s="2">
        <f t="shared" si="60"/>
        <v>0</v>
      </c>
      <c r="HD32" s="2"/>
      <c r="HE32" s="2" t="s">
        <v>3</v>
      </c>
      <c r="HF32" s="2" t="s">
        <v>3</v>
      </c>
      <c r="HG32" s="2"/>
      <c r="HH32" s="2"/>
      <c r="HI32" s="2"/>
      <c r="HJ32" s="2"/>
      <c r="HK32" s="2"/>
      <c r="HL32" s="2"/>
      <c r="HM32" s="2" t="s">
        <v>3</v>
      </c>
      <c r="HN32" s="2" t="s">
        <v>36</v>
      </c>
      <c r="HO32" s="2" t="s">
        <v>37</v>
      </c>
      <c r="HP32" s="2" t="s">
        <v>34</v>
      </c>
      <c r="HQ32" s="2" t="s">
        <v>34</v>
      </c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18</v>
      </c>
      <c r="B33">
        <v>1</v>
      </c>
      <c r="C33">
        <v>19</v>
      </c>
      <c r="E33" t="s">
        <v>48</v>
      </c>
      <c r="F33" t="s">
        <v>49</v>
      </c>
      <c r="G33" t="s">
        <v>50</v>
      </c>
      <c r="H33" t="s">
        <v>51</v>
      </c>
      <c r="I33">
        <f>I29*J33</f>
        <v>1.1574</v>
      </c>
      <c r="J33">
        <v>1.2</v>
      </c>
      <c r="K33">
        <v>1.2</v>
      </c>
      <c r="O33">
        <f t="shared" si="21"/>
        <v>0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55115742</v>
      </c>
      <c r="AB33">
        <f t="shared" si="32"/>
        <v>0</v>
      </c>
      <c r="AC33">
        <f t="shared" si="33"/>
        <v>0</v>
      </c>
      <c r="AD33">
        <f t="shared" si="34"/>
        <v>0</v>
      </c>
      <c r="AE33">
        <f t="shared" si="35"/>
        <v>0</v>
      </c>
      <c r="AF33">
        <f t="shared" si="36"/>
        <v>0</v>
      </c>
      <c r="AG33">
        <f t="shared" si="37"/>
        <v>0</v>
      </c>
      <c r="AH33">
        <f t="shared" si="38"/>
        <v>0</v>
      </c>
      <c r="AI33">
        <f t="shared" si="39"/>
        <v>0</v>
      </c>
      <c r="AJ33">
        <f t="shared" si="40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45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H33">
        <v>3</v>
      </c>
      <c r="BI33">
        <v>1</v>
      </c>
      <c r="BM33">
        <v>63001</v>
      </c>
      <c r="BN33">
        <v>0</v>
      </c>
      <c r="BP33">
        <v>0</v>
      </c>
      <c r="BQ33">
        <v>6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90</v>
      </c>
      <c r="CA33">
        <v>45</v>
      </c>
      <c r="CE33">
        <v>0</v>
      </c>
      <c r="CF33">
        <v>0</v>
      </c>
      <c r="CG33">
        <v>0</v>
      </c>
      <c r="CM33">
        <v>0</v>
      </c>
      <c r="CO33">
        <v>0</v>
      </c>
      <c r="CP33">
        <f t="shared" si="41"/>
        <v>0</v>
      </c>
      <c r="CQ33">
        <f t="shared" si="42"/>
        <v>0</v>
      </c>
      <c r="CR33">
        <f t="shared" si="43"/>
        <v>0</v>
      </c>
      <c r="CS33">
        <f t="shared" si="44"/>
        <v>0</v>
      </c>
      <c r="CT33">
        <f t="shared" si="45"/>
        <v>0</v>
      </c>
      <c r="CU33">
        <f t="shared" si="46"/>
        <v>0</v>
      </c>
      <c r="CV33">
        <f t="shared" si="47"/>
        <v>0</v>
      </c>
      <c r="CW33">
        <f t="shared" si="48"/>
        <v>0</v>
      </c>
      <c r="CX33">
        <f t="shared" si="49"/>
        <v>0</v>
      </c>
      <c r="CY33">
        <f t="shared" si="50"/>
        <v>0</v>
      </c>
      <c r="CZ33">
        <f t="shared" si="51"/>
        <v>0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51</v>
      </c>
      <c r="DW33" t="s">
        <v>51</v>
      </c>
      <c r="DX33">
        <v>1000</v>
      </c>
      <c r="EE33">
        <v>53470341</v>
      </c>
      <c r="EF33">
        <v>6</v>
      </c>
      <c r="EG33" t="s">
        <v>32</v>
      </c>
      <c r="EH33">
        <v>97</v>
      </c>
      <c r="EI33" t="s">
        <v>33</v>
      </c>
      <c r="EJ33">
        <v>1</v>
      </c>
      <c r="EK33">
        <v>63001</v>
      </c>
      <c r="EL33" t="s">
        <v>34</v>
      </c>
      <c r="EM33" t="s">
        <v>35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52"/>
        <v>0</v>
      </c>
      <c r="FS33">
        <v>0</v>
      </c>
      <c r="FX33">
        <v>90</v>
      </c>
      <c r="FY33">
        <v>45</v>
      </c>
      <c r="GD33">
        <v>1</v>
      </c>
      <c r="GF33">
        <v>2102561428</v>
      </c>
      <c r="GG33">
        <v>2</v>
      </c>
      <c r="GH33">
        <v>1</v>
      </c>
      <c r="GI33">
        <v>-2</v>
      </c>
      <c r="GJ33">
        <v>0</v>
      </c>
      <c r="GK33">
        <v>0</v>
      </c>
      <c r="GL33">
        <f t="shared" si="53"/>
        <v>0</v>
      </c>
      <c r="GM33">
        <f t="shared" si="54"/>
        <v>0</v>
      </c>
      <c r="GN33">
        <f t="shared" si="55"/>
        <v>0</v>
      </c>
      <c r="GO33">
        <f t="shared" si="56"/>
        <v>0</v>
      </c>
      <c r="GP33">
        <f t="shared" si="57"/>
        <v>0</v>
      </c>
      <c r="GR33">
        <v>0</v>
      </c>
      <c r="GS33">
        <v>3</v>
      </c>
      <c r="GT33">
        <v>0</v>
      </c>
      <c r="GV33">
        <f t="shared" si="58"/>
        <v>0</v>
      </c>
      <c r="GW33">
        <v>1</v>
      </c>
      <c r="GX33">
        <f t="shared" si="59"/>
        <v>0</v>
      </c>
      <c r="HA33">
        <v>0</v>
      </c>
      <c r="HB33">
        <v>0</v>
      </c>
      <c r="HC33">
        <f t="shared" si="60"/>
        <v>0</v>
      </c>
      <c r="HN33" t="s">
        <v>36</v>
      </c>
      <c r="HO33" t="s">
        <v>37</v>
      </c>
      <c r="HP33" t="s">
        <v>34</v>
      </c>
      <c r="HQ33" t="s">
        <v>34</v>
      </c>
      <c r="IK33">
        <v>0</v>
      </c>
    </row>
    <row r="34" spans="1:255" ht="12.75">
      <c r="A34" s="2">
        <v>18</v>
      </c>
      <c r="B34" s="2">
        <v>1</v>
      </c>
      <c r="C34" s="2">
        <v>3</v>
      </c>
      <c r="D34" s="2"/>
      <c r="E34" s="2" t="s">
        <v>52</v>
      </c>
      <c r="F34" s="2" t="s">
        <v>53</v>
      </c>
      <c r="G34" s="2" t="s">
        <v>54</v>
      </c>
      <c r="H34" s="2" t="s">
        <v>55</v>
      </c>
      <c r="I34" s="2">
        <f>I28*J34</f>
        <v>84</v>
      </c>
      <c r="J34" s="2">
        <v>87.09175738724727</v>
      </c>
      <c r="K34" s="2">
        <v>87.091757</v>
      </c>
      <c r="L34" s="2"/>
      <c r="M34" s="2"/>
      <c r="N34" s="2"/>
      <c r="O34" s="2">
        <f t="shared" si="21"/>
        <v>20453.16</v>
      </c>
      <c r="P34" s="2">
        <f t="shared" si="22"/>
        <v>0</v>
      </c>
      <c r="Q34" s="2">
        <f t="shared" si="23"/>
        <v>20453.16</v>
      </c>
      <c r="R34" s="2">
        <f t="shared" si="24"/>
        <v>1134</v>
      </c>
      <c r="S34" s="2">
        <f t="shared" si="25"/>
        <v>0</v>
      </c>
      <c r="T34" s="2">
        <f t="shared" si="26"/>
        <v>0</v>
      </c>
      <c r="U34" s="2">
        <f t="shared" si="27"/>
        <v>0</v>
      </c>
      <c r="V34" s="2">
        <f t="shared" si="28"/>
        <v>0</v>
      </c>
      <c r="W34" s="2">
        <f t="shared" si="29"/>
        <v>0</v>
      </c>
      <c r="X34" s="2">
        <f t="shared" si="30"/>
        <v>1315.44</v>
      </c>
      <c r="Y34" s="2">
        <f t="shared" si="31"/>
        <v>907.2</v>
      </c>
      <c r="Z34" s="2"/>
      <c r="AA34" s="2">
        <v>55115741</v>
      </c>
      <c r="AB34" s="2">
        <f t="shared" si="32"/>
        <v>243.49</v>
      </c>
      <c r="AC34" s="2">
        <f t="shared" si="33"/>
        <v>0</v>
      </c>
      <c r="AD34" s="2">
        <f t="shared" si="34"/>
        <v>243.49</v>
      </c>
      <c r="AE34" s="2">
        <f t="shared" si="35"/>
        <v>13.5</v>
      </c>
      <c r="AF34" s="2">
        <f t="shared" si="36"/>
        <v>0</v>
      </c>
      <c r="AG34" s="2">
        <f t="shared" si="37"/>
        <v>0</v>
      </c>
      <c r="AH34" s="2">
        <f t="shared" si="38"/>
        <v>0</v>
      </c>
      <c r="AI34" s="2">
        <f t="shared" si="39"/>
        <v>0</v>
      </c>
      <c r="AJ34" s="2">
        <f t="shared" si="40"/>
        <v>0</v>
      </c>
      <c r="AK34" s="2">
        <v>243.49</v>
      </c>
      <c r="AL34" s="2">
        <v>0</v>
      </c>
      <c r="AM34" s="2">
        <v>243.49</v>
      </c>
      <c r="AN34" s="2">
        <v>13.5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116</v>
      </c>
      <c r="AU34" s="2">
        <v>80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2</v>
      </c>
      <c r="BI34" s="2">
        <v>1</v>
      </c>
      <c r="BJ34" s="2" t="s">
        <v>56</v>
      </c>
      <c r="BK34" s="2"/>
      <c r="BL34" s="2"/>
      <c r="BM34" s="2">
        <v>7005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116</v>
      </c>
      <c r="CA34" s="2">
        <v>80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41"/>
        <v>20453.16</v>
      </c>
      <c r="CQ34" s="2">
        <f t="shared" si="42"/>
        <v>0</v>
      </c>
      <c r="CR34" s="2">
        <f t="shared" si="43"/>
        <v>243.49</v>
      </c>
      <c r="CS34" s="2">
        <f t="shared" si="44"/>
        <v>13.5</v>
      </c>
      <c r="CT34" s="2">
        <f t="shared" si="45"/>
        <v>0</v>
      </c>
      <c r="CU34" s="2">
        <f t="shared" si="46"/>
        <v>0</v>
      </c>
      <c r="CV34" s="2">
        <f t="shared" si="47"/>
        <v>0</v>
      </c>
      <c r="CW34" s="2">
        <f t="shared" si="48"/>
        <v>0</v>
      </c>
      <c r="CX34" s="2">
        <f t="shared" si="49"/>
        <v>0</v>
      </c>
      <c r="CY34" s="2">
        <f t="shared" si="50"/>
        <v>1315.44</v>
      </c>
      <c r="CZ34" s="2">
        <f t="shared" si="51"/>
        <v>907.2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1011</v>
      </c>
      <c r="DV34" s="2" t="s">
        <v>55</v>
      </c>
      <c r="DW34" s="2" t="s">
        <v>55</v>
      </c>
      <c r="DX34" s="2">
        <v>1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53470149</v>
      </c>
      <c r="EF34" s="2">
        <v>2</v>
      </c>
      <c r="EG34" s="2" t="s">
        <v>42</v>
      </c>
      <c r="EH34" s="2">
        <v>7</v>
      </c>
      <c r="EI34" s="2" t="s">
        <v>57</v>
      </c>
      <c r="EJ34" s="2">
        <v>1</v>
      </c>
      <c r="EK34" s="2">
        <v>7005</v>
      </c>
      <c r="EL34" s="2" t="s">
        <v>58</v>
      </c>
      <c r="EM34" s="2" t="s">
        <v>59</v>
      </c>
      <c r="EN34" s="2"/>
      <c r="EO34" s="2" t="s">
        <v>3</v>
      </c>
      <c r="EP34" s="2"/>
      <c r="EQ34" s="2">
        <v>0</v>
      </c>
      <c r="ER34" s="2">
        <v>243.49</v>
      </c>
      <c r="ES34" s="2">
        <v>0</v>
      </c>
      <c r="ET34" s="2">
        <v>243.49</v>
      </c>
      <c r="EU34" s="2">
        <v>13.5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52"/>
        <v>0</v>
      </c>
      <c r="FS34" s="2">
        <v>0</v>
      </c>
      <c r="FT34" s="2"/>
      <c r="FU34" s="2"/>
      <c r="FV34" s="2"/>
      <c r="FW34" s="2"/>
      <c r="FX34" s="2">
        <v>116</v>
      </c>
      <c r="FY34" s="2">
        <v>80</v>
      </c>
      <c r="FZ34" s="2"/>
      <c r="GA34" s="2" t="s">
        <v>3</v>
      </c>
      <c r="GB34" s="2"/>
      <c r="GC34" s="2"/>
      <c r="GD34" s="2">
        <v>1</v>
      </c>
      <c r="GE34" s="2"/>
      <c r="GF34" s="2">
        <v>-877734606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53"/>
        <v>0</v>
      </c>
      <c r="GM34" s="2">
        <f t="shared" si="54"/>
        <v>22675.8</v>
      </c>
      <c r="GN34" s="2">
        <f t="shared" si="55"/>
        <v>22675.8</v>
      </c>
      <c r="GO34" s="2">
        <f t="shared" si="56"/>
        <v>0</v>
      </c>
      <c r="GP34" s="2">
        <f t="shared" si="57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8"/>
        <v>0</v>
      </c>
      <c r="GW34" s="2">
        <v>1</v>
      </c>
      <c r="GX34" s="2">
        <f t="shared" si="59"/>
        <v>0</v>
      </c>
      <c r="GY34" s="2"/>
      <c r="GZ34" s="2"/>
      <c r="HA34" s="2">
        <v>0</v>
      </c>
      <c r="HB34" s="2">
        <v>0</v>
      </c>
      <c r="HC34" s="2">
        <f t="shared" si="60"/>
        <v>0</v>
      </c>
      <c r="HD34" s="2"/>
      <c r="HE34" s="2" t="s">
        <v>3</v>
      </c>
      <c r="HF34" s="2" t="s">
        <v>3</v>
      </c>
      <c r="HG34" s="2"/>
      <c r="HH34" s="2"/>
      <c r="HI34" s="2"/>
      <c r="HJ34" s="2"/>
      <c r="HK34" s="2"/>
      <c r="HL34" s="2"/>
      <c r="HM34" s="2" t="s">
        <v>3</v>
      </c>
      <c r="HN34" s="2" t="s">
        <v>60</v>
      </c>
      <c r="HO34" s="2" t="s">
        <v>61</v>
      </c>
      <c r="HP34" s="2" t="s">
        <v>58</v>
      </c>
      <c r="HQ34" s="2" t="s">
        <v>58</v>
      </c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18</v>
      </c>
      <c r="B35">
        <v>1</v>
      </c>
      <c r="C35">
        <v>13</v>
      </c>
      <c r="E35" t="s">
        <v>52</v>
      </c>
      <c r="F35" t="s">
        <v>53</v>
      </c>
      <c r="G35" t="s">
        <v>54</v>
      </c>
      <c r="H35" t="s">
        <v>55</v>
      </c>
      <c r="I35">
        <f>I29*J35</f>
        <v>84</v>
      </c>
      <c r="J35">
        <v>87.09175738724727</v>
      </c>
      <c r="K35">
        <v>87.091757</v>
      </c>
      <c r="O35">
        <f t="shared" si="21"/>
        <v>162193.56</v>
      </c>
      <c r="P35">
        <f t="shared" si="22"/>
        <v>0</v>
      </c>
      <c r="Q35">
        <f t="shared" si="23"/>
        <v>162193.56</v>
      </c>
      <c r="R35">
        <f t="shared" si="24"/>
        <v>43500.24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50460.28</v>
      </c>
      <c r="Y35">
        <f t="shared" si="31"/>
        <v>34800.19</v>
      </c>
      <c r="AA35">
        <v>55115742</v>
      </c>
      <c r="AB35">
        <f t="shared" si="32"/>
        <v>243.49</v>
      </c>
      <c r="AC35">
        <f t="shared" si="33"/>
        <v>0</v>
      </c>
      <c r="AD35">
        <f t="shared" si="34"/>
        <v>243.49</v>
      </c>
      <c r="AE35">
        <f t="shared" si="35"/>
        <v>13.5</v>
      </c>
      <c r="AF35">
        <f t="shared" si="36"/>
        <v>0</v>
      </c>
      <c r="AG35">
        <f t="shared" si="37"/>
        <v>0</v>
      </c>
      <c r="AH35">
        <f t="shared" si="38"/>
        <v>0</v>
      </c>
      <c r="AI35">
        <f t="shared" si="39"/>
        <v>0</v>
      </c>
      <c r="AJ35">
        <f t="shared" si="40"/>
        <v>0</v>
      </c>
      <c r="AK35">
        <v>243.49</v>
      </c>
      <c r="AL35">
        <v>0</v>
      </c>
      <c r="AM35">
        <v>243.49</v>
      </c>
      <c r="AN35">
        <v>13.5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116</v>
      </c>
      <c r="AU35">
        <v>80</v>
      </c>
      <c r="AV35">
        <v>1</v>
      </c>
      <c r="AW35">
        <v>1</v>
      </c>
      <c r="AZ35">
        <v>1</v>
      </c>
      <c r="BA35">
        <v>1</v>
      </c>
      <c r="BB35">
        <v>7.93</v>
      </c>
      <c r="BC35">
        <v>1</v>
      </c>
      <c r="BH35">
        <v>2</v>
      </c>
      <c r="BI35">
        <v>1</v>
      </c>
      <c r="BJ35" t="s">
        <v>56</v>
      </c>
      <c r="BM35">
        <v>7005</v>
      </c>
      <c r="BN35">
        <v>0</v>
      </c>
      <c r="BO35" t="s">
        <v>53</v>
      </c>
      <c r="BP35">
        <v>1</v>
      </c>
      <c r="BQ35">
        <v>2</v>
      </c>
      <c r="BR35">
        <v>0</v>
      </c>
      <c r="BS35">
        <v>38.36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116</v>
      </c>
      <c r="CA35">
        <v>80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41"/>
        <v>162193.56</v>
      </c>
      <c r="CQ35">
        <f t="shared" si="42"/>
        <v>0</v>
      </c>
      <c r="CR35">
        <f t="shared" si="43"/>
        <v>1930.8757</v>
      </c>
      <c r="CS35">
        <f t="shared" si="44"/>
        <v>517.86</v>
      </c>
      <c r="CT35">
        <f t="shared" si="45"/>
        <v>0</v>
      </c>
      <c r="CU35">
        <f t="shared" si="46"/>
        <v>0</v>
      </c>
      <c r="CV35">
        <f t="shared" si="47"/>
        <v>0</v>
      </c>
      <c r="CW35">
        <f t="shared" si="48"/>
        <v>0</v>
      </c>
      <c r="CX35">
        <f t="shared" si="49"/>
        <v>0</v>
      </c>
      <c r="CY35">
        <f t="shared" si="50"/>
        <v>50460.278399999996</v>
      </c>
      <c r="CZ35">
        <f t="shared" si="51"/>
        <v>34800.191999999995</v>
      </c>
      <c r="DN35">
        <v>0</v>
      </c>
      <c r="DO35">
        <v>0</v>
      </c>
      <c r="DP35">
        <v>1</v>
      </c>
      <c r="DQ35">
        <v>1</v>
      </c>
      <c r="DU35">
        <v>1011</v>
      </c>
      <c r="DV35" t="s">
        <v>55</v>
      </c>
      <c r="DW35" t="s">
        <v>55</v>
      </c>
      <c r="DX35">
        <v>1</v>
      </c>
      <c r="EE35">
        <v>53470149</v>
      </c>
      <c r="EF35">
        <v>2</v>
      </c>
      <c r="EG35" t="s">
        <v>42</v>
      </c>
      <c r="EH35">
        <v>7</v>
      </c>
      <c r="EI35" t="s">
        <v>57</v>
      </c>
      <c r="EJ35">
        <v>1</v>
      </c>
      <c r="EK35">
        <v>7005</v>
      </c>
      <c r="EL35" t="s">
        <v>58</v>
      </c>
      <c r="EM35" t="s">
        <v>59</v>
      </c>
      <c r="EQ35">
        <v>0</v>
      </c>
      <c r="ER35">
        <v>243.49</v>
      </c>
      <c r="ES35">
        <v>0</v>
      </c>
      <c r="ET35">
        <v>243.49</v>
      </c>
      <c r="EU35">
        <v>13.5</v>
      </c>
      <c r="EV35">
        <v>0</v>
      </c>
      <c r="EW35">
        <v>0</v>
      </c>
      <c r="EX35">
        <v>0</v>
      </c>
      <c r="FQ35">
        <v>0</v>
      </c>
      <c r="FR35">
        <f t="shared" si="52"/>
        <v>0</v>
      </c>
      <c r="FS35">
        <v>0</v>
      </c>
      <c r="FX35">
        <v>116</v>
      </c>
      <c r="FY35">
        <v>80</v>
      </c>
      <c r="GD35">
        <v>1</v>
      </c>
      <c r="GF35">
        <v>-877734606</v>
      </c>
      <c r="GG35">
        <v>2</v>
      </c>
      <c r="GH35">
        <v>1</v>
      </c>
      <c r="GI35">
        <v>2</v>
      </c>
      <c r="GJ35">
        <v>0</v>
      </c>
      <c r="GK35">
        <v>0</v>
      </c>
      <c r="GL35">
        <f t="shared" si="53"/>
        <v>0</v>
      </c>
      <c r="GM35">
        <f t="shared" si="54"/>
        <v>247454.03</v>
      </c>
      <c r="GN35">
        <f t="shared" si="55"/>
        <v>247454.03</v>
      </c>
      <c r="GO35">
        <f t="shared" si="56"/>
        <v>0</v>
      </c>
      <c r="GP35">
        <f t="shared" si="57"/>
        <v>0</v>
      </c>
      <c r="GR35">
        <v>0</v>
      </c>
      <c r="GS35">
        <v>3</v>
      </c>
      <c r="GT35">
        <v>0</v>
      </c>
      <c r="GV35">
        <f t="shared" si="58"/>
        <v>0</v>
      </c>
      <c r="GW35">
        <v>1</v>
      </c>
      <c r="GX35">
        <f t="shared" si="59"/>
        <v>0</v>
      </c>
      <c r="HA35">
        <v>0</v>
      </c>
      <c r="HB35">
        <v>0</v>
      </c>
      <c r="HC35">
        <f t="shared" si="60"/>
        <v>0</v>
      </c>
      <c r="HN35" t="s">
        <v>60</v>
      </c>
      <c r="HO35" t="s">
        <v>61</v>
      </c>
      <c r="HP35" t="s">
        <v>58</v>
      </c>
      <c r="HQ35" t="s">
        <v>58</v>
      </c>
      <c r="IK35">
        <v>0</v>
      </c>
    </row>
    <row r="36" spans="1:255" ht="12.75">
      <c r="A36" s="2">
        <v>18</v>
      </c>
      <c r="B36" s="2">
        <v>1</v>
      </c>
      <c r="C36" s="2">
        <v>4</v>
      </c>
      <c r="D36" s="2"/>
      <c r="E36" s="2" t="s">
        <v>62</v>
      </c>
      <c r="F36" s="2" t="s">
        <v>63</v>
      </c>
      <c r="G36" s="2" t="s">
        <v>64</v>
      </c>
      <c r="H36" s="2" t="s">
        <v>55</v>
      </c>
      <c r="I36" s="2">
        <f>I28*J36</f>
        <v>-0.241125</v>
      </c>
      <c r="J36" s="2">
        <v>-0.25</v>
      </c>
      <c r="K36" s="2">
        <v>-0.25</v>
      </c>
      <c r="L36" s="2"/>
      <c r="M36" s="2"/>
      <c r="N36" s="2"/>
      <c r="O36" s="2">
        <f t="shared" si="21"/>
        <v>-7.54</v>
      </c>
      <c r="P36" s="2">
        <f t="shared" si="22"/>
        <v>0</v>
      </c>
      <c r="Q36" s="2">
        <f t="shared" si="23"/>
        <v>-7.54</v>
      </c>
      <c r="R36" s="2">
        <f t="shared" si="24"/>
        <v>-3.26</v>
      </c>
      <c r="S36" s="2">
        <f t="shared" si="25"/>
        <v>0</v>
      </c>
      <c r="T36" s="2">
        <f t="shared" si="26"/>
        <v>0</v>
      </c>
      <c r="U36" s="2">
        <f t="shared" si="27"/>
        <v>0</v>
      </c>
      <c r="V36" s="2">
        <f t="shared" si="28"/>
        <v>0</v>
      </c>
      <c r="W36" s="2">
        <f t="shared" si="29"/>
        <v>0</v>
      </c>
      <c r="X36" s="2">
        <f t="shared" si="30"/>
        <v>-2.93</v>
      </c>
      <c r="Y36" s="2">
        <f t="shared" si="31"/>
        <v>-1.47</v>
      </c>
      <c r="Z36" s="2"/>
      <c r="AA36" s="2">
        <v>55115741</v>
      </c>
      <c r="AB36" s="2">
        <f t="shared" si="32"/>
        <v>31.26</v>
      </c>
      <c r="AC36" s="2">
        <f t="shared" si="33"/>
        <v>0</v>
      </c>
      <c r="AD36" s="2">
        <f t="shared" si="34"/>
        <v>31.26</v>
      </c>
      <c r="AE36" s="2">
        <f t="shared" si="35"/>
        <v>13.5</v>
      </c>
      <c r="AF36" s="2">
        <f t="shared" si="36"/>
        <v>0</v>
      </c>
      <c r="AG36" s="2">
        <f t="shared" si="37"/>
        <v>0</v>
      </c>
      <c r="AH36" s="2">
        <f t="shared" si="38"/>
        <v>0</v>
      </c>
      <c r="AI36" s="2">
        <f t="shared" si="39"/>
        <v>0</v>
      </c>
      <c r="AJ36" s="2">
        <f t="shared" si="40"/>
        <v>0</v>
      </c>
      <c r="AK36" s="2">
        <v>31.26</v>
      </c>
      <c r="AL36" s="2">
        <v>0</v>
      </c>
      <c r="AM36" s="2">
        <v>31.26</v>
      </c>
      <c r="AN36" s="2">
        <v>13.5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90</v>
      </c>
      <c r="AU36" s="2">
        <v>45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2</v>
      </c>
      <c r="BI36" s="2">
        <v>1</v>
      </c>
      <c r="BJ36" s="2" t="s">
        <v>65</v>
      </c>
      <c r="BK36" s="2"/>
      <c r="BL36" s="2"/>
      <c r="BM36" s="2">
        <v>63001</v>
      </c>
      <c r="BN36" s="2">
        <v>0</v>
      </c>
      <c r="BO36" s="2" t="s">
        <v>3</v>
      </c>
      <c r="BP36" s="2">
        <v>0</v>
      </c>
      <c r="BQ36" s="2">
        <v>6</v>
      </c>
      <c r="BR36" s="2">
        <v>1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90</v>
      </c>
      <c r="CA36" s="2">
        <v>45</v>
      </c>
      <c r="CB36" s="2" t="s">
        <v>3</v>
      </c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41"/>
        <v>-7.54</v>
      </c>
      <c r="CQ36" s="2">
        <f t="shared" si="42"/>
        <v>0</v>
      </c>
      <c r="CR36" s="2">
        <f t="shared" si="43"/>
        <v>31.26</v>
      </c>
      <c r="CS36" s="2">
        <f t="shared" si="44"/>
        <v>13.5</v>
      </c>
      <c r="CT36" s="2">
        <f t="shared" si="45"/>
        <v>0</v>
      </c>
      <c r="CU36" s="2">
        <f t="shared" si="46"/>
        <v>0</v>
      </c>
      <c r="CV36" s="2">
        <f t="shared" si="47"/>
        <v>0</v>
      </c>
      <c r="CW36" s="2">
        <f t="shared" si="48"/>
        <v>0</v>
      </c>
      <c r="CX36" s="2">
        <f t="shared" si="49"/>
        <v>0</v>
      </c>
      <c r="CY36" s="2">
        <f t="shared" si="50"/>
        <v>-2.9339999999999997</v>
      </c>
      <c r="CZ36" s="2">
        <f t="shared" si="51"/>
        <v>-1.4669999999999999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1011</v>
      </c>
      <c r="DV36" s="2" t="s">
        <v>55</v>
      </c>
      <c r="DW36" s="2" t="s">
        <v>55</v>
      </c>
      <c r="DX36" s="2">
        <v>1</v>
      </c>
      <c r="DY36" s="2"/>
      <c r="DZ36" s="2" t="s">
        <v>3</v>
      </c>
      <c r="EA36" s="2" t="s">
        <v>3</v>
      </c>
      <c r="EB36" s="2" t="s">
        <v>3</v>
      </c>
      <c r="EC36" s="2" t="s">
        <v>3</v>
      </c>
      <c r="ED36" s="2"/>
      <c r="EE36" s="2">
        <v>53470341</v>
      </c>
      <c r="EF36" s="2">
        <v>6</v>
      </c>
      <c r="EG36" s="2" t="s">
        <v>32</v>
      </c>
      <c r="EH36" s="2">
        <v>97</v>
      </c>
      <c r="EI36" s="2" t="s">
        <v>33</v>
      </c>
      <c r="EJ36" s="2">
        <v>1</v>
      </c>
      <c r="EK36" s="2">
        <v>63001</v>
      </c>
      <c r="EL36" s="2" t="s">
        <v>34</v>
      </c>
      <c r="EM36" s="2" t="s">
        <v>35</v>
      </c>
      <c r="EN36" s="2"/>
      <c r="EO36" s="2" t="s">
        <v>3</v>
      </c>
      <c r="EP36" s="2"/>
      <c r="EQ36" s="2">
        <v>0</v>
      </c>
      <c r="ER36" s="2">
        <v>31.26</v>
      </c>
      <c r="ES36" s="2">
        <v>0</v>
      </c>
      <c r="ET36" s="2">
        <v>31.26</v>
      </c>
      <c r="EU36" s="2">
        <v>13.5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52"/>
        <v>0</v>
      </c>
      <c r="FS36" s="2">
        <v>0</v>
      </c>
      <c r="FT36" s="2"/>
      <c r="FU36" s="2"/>
      <c r="FV36" s="2"/>
      <c r="FW36" s="2"/>
      <c r="FX36" s="2">
        <v>90</v>
      </c>
      <c r="FY36" s="2">
        <v>45</v>
      </c>
      <c r="FZ36" s="2"/>
      <c r="GA36" s="2" t="s">
        <v>3</v>
      </c>
      <c r="GB36" s="2"/>
      <c r="GC36" s="2"/>
      <c r="GD36" s="2">
        <v>1</v>
      </c>
      <c r="GE36" s="2"/>
      <c r="GF36" s="2">
        <v>1232162608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53"/>
        <v>0</v>
      </c>
      <c r="GM36" s="2">
        <f t="shared" si="54"/>
        <v>-11.94</v>
      </c>
      <c r="GN36" s="2">
        <f t="shared" si="55"/>
        <v>-11.94</v>
      </c>
      <c r="GO36" s="2">
        <f t="shared" si="56"/>
        <v>0</v>
      </c>
      <c r="GP36" s="2">
        <f t="shared" si="57"/>
        <v>0</v>
      </c>
      <c r="GQ36" s="2"/>
      <c r="GR36" s="2">
        <v>0</v>
      </c>
      <c r="GS36" s="2">
        <v>7</v>
      </c>
      <c r="GT36" s="2">
        <v>0</v>
      </c>
      <c r="GU36" s="2" t="s">
        <v>3</v>
      </c>
      <c r="GV36" s="2">
        <f t="shared" si="58"/>
        <v>0</v>
      </c>
      <c r="GW36" s="2">
        <v>1</v>
      </c>
      <c r="GX36" s="2">
        <f t="shared" si="59"/>
        <v>0</v>
      </c>
      <c r="GY36" s="2"/>
      <c r="GZ36" s="2"/>
      <c r="HA36" s="2">
        <v>0</v>
      </c>
      <c r="HB36" s="2">
        <v>0</v>
      </c>
      <c r="HC36" s="2">
        <f t="shared" si="60"/>
        <v>0</v>
      </c>
      <c r="HD36" s="2"/>
      <c r="HE36" s="2" t="s">
        <v>3</v>
      </c>
      <c r="HF36" s="2" t="s">
        <v>3</v>
      </c>
      <c r="HG36" s="2"/>
      <c r="HH36" s="2"/>
      <c r="HI36" s="2"/>
      <c r="HJ36" s="2"/>
      <c r="HK36" s="2"/>
      <c r="HL36" s="2"/>
      <c r="HM36" s="2" t="s">
        <v>3</v>
      </c>
      <c r="HN36" s="2" t="s">
        <v>36</v>
      </c>
      <c r="HO36" s="2" t="s">
        <v>37</v>
      </c>
      <c r="HP36" s="2" t="s">
        <v>34</v>
      </c>
      <c r="HQ36" s="2" t="s">
        <v>34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45" ht="12.75">
      <c r="A37">
        <v>18</v>
      </c>
      <c r="B37">
        <v>1</v>
      </c>
      <c r="C37">
        <v>14</v>
      </c>
      <c r="E37" t="s">
        <v>62</v>
      </c>
      <c r="F37" t="s">
        <v>63</v>
      </c>
      <c r="G37" t="s">
        <v>64</v>
      </c>
      <c r="H37" t="s">
        <v>55</v>
      </c>
      <c r="I37">
        <f>I29*J37</f>
        <v>-0.241125</v>
      </c>
      <c r="J37">
        <v>-0.25</v>
      </c>
      <c r="K37">
        <v>-0.25</v>
      </c>
      <c r="O37">
        <f t="shared" si="21"/>
        <v>-139.6</v>
      </c>
      <c r="P37">
        <f t="shared" si="22"/>
        <v>0</v>
      </c>
      <c r="Q37">
        <f t="shared" si="23"/>
        <v>-139.6</v>
      </c>
      <c r="R37">
        <f t="shared" si="24"/>
        <v>-124.87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-112.38</v>
      </c>
      <c r="Y37">
        <f t="shared" si="31"/>
        <v>-56.19</v>
      </c>
      <c r="AA37">
        <v>55115742</v>
      </c>
      <c r="AB37">
        <f t="shared" si="32"/>
        <v>31.26</v>
      </c>
      <c r="AC37">
        <f t="shared" si="33"/>
        <v>0</v>
      </c>
      <c r="AD37">
        <f t="shared" si="34"/>
        <v>31.26</v>
      </c>
      <c r="AE37">
        <f t="shared" si="35"/>
        <v>13.5</v>
      </c>
      <c r="AF37">
        <f t="shared" si="36"/>
        <v>0</v>
      </c>
      <c r="AG37">
        <f t="shared" si="37"/>
        <v>0</v>
      </c>
      <c r="AH37">
        <f t="shared" si="38"/>
        <v>0</v>
      </c>
      <c r="AI37">
        <f t="shared" si="39"/>
        <v>0</v>
      </c>
      <c r="AJ37">
        <f t="shared" si="40"/>
        <v>0</v>
      </c>
      <c r="AK37">
        <v>31.26</v>
      </c>
      <c r="AL37">
        <v>0</v>
      </c>
      <c r="AM37">
        <v>31.26</v>
      </c>
      <c r="AN37">
        <v>13.5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45</v>
      </c>
      <c r="AV37">
        <v>1</v>
      </c>
      <c r="AW37">
        <v>1</v>
      </c>
      <c r="AZ37">
        <v>1</v>
      </c>
      <c r="BA37">
        <v>1</v>
      </c>
      <c r="BB37">
        <v>18.52</v>
      </c>
      <c r="BC37">
        <v>1</v>
      </c>
      <c r="BH37">
        <v>2</v>
      </c>
      <c r="BI37">
        <v>1</v>
      </c>
      <c r="BJ37" t="s">
        <v>65</v>
      </c>
      <c r="BM37">
        <v>63001</v>
      </c>
      <c r="BN37">
        <v>0</v>
      </c>
      <c r="BO37" t="s">
        <v>63</v>
      </c>
      <c r="BP37">
        <v>1</v>
      </c>
      <c r="BQ37">
        <v>6</v>
      </c>
      <c r="BR37">
        <v>1</v>
      </c>
      <c r="BS37">
        <v>38.36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90</v>
      </c>
      <c r="CA37">
        <v>45</v>
      </c>
      <c r="CE37">
        <v>0</v>
      </c>
      <c r="CF37">
        <v>0</v>
      </c>
      <c r="CG37">
        <v>0</v>
      </c>
      <c r="CM37">
        <v>0</v>
      </c>
      <c r="CO37">
        <v>0</v>
      </c>
      <c r="CP37">
        <f t="shared" si="41"/>
        <v>-139.6</v>
      </c>
      <c r="CQ37">
        <f t="shared" si="42"/>
        <v>0</v>
      </c>
      <c r="CR37">
        <f t="shared" si="43"/>
        <v>578.9352</v>
      </c>
      <c r="CS37">
        <f t="shared" si="44"/>
        <v>517.86</v>
      </c>
      <c r="CT37">
        <f t="shared" si="45"/>
        <v>0</v>
      </c>
      <c r="CU37">
        <f t="shared" si="46"/>
        <v>0</v>
      </c>
      <c r="CV37">
        <f t="shared" si="47"/>
        <v>0</v>
      </c>
      <c r="CW37">
        <f t="shared" si="48"/>
        <v>0</v>
      </c>
      <c r="CX37">
        <f t="shared" si="49"/>
        <v>0</v>
      </c>
      <c r="CY37">
        <f t="shared" si="50"/>
        <v>-112.38300000000001</v>
      </c>
      <c r="CZ37">
        <f t="shared" si="51"/>
        <v>-56.191500000000005</v>
      </c>
      <c r="DN37">
        <v>0</v>
      </c>
      <c r="DO37">
        <v>0</v>
      </c>
      <c r="DP37">
        <v>1</v>
      </c>
      <c r="DQ37">
        <v>1</v>
      </c>
      <c r="DU37">
        <v>1011</v>
      </c>
      <c r="DV37" t="s">
        <v>55</v>
      </c>
      <c r="DW37" t="s">
        <v>55</v>
      </c>
      <c r="DX37">
        <v>1</v>
      </c>
      <c r="EE37">
        <v>53470341</v>
      </c>
      <c r="EF37">
        <v>6</v>
      </c>
      <c r="EG37" t="s">
        <v>32</v>
      </c>
      <c r="EH37">
        <v>97</v>
      </c>
      <c r="EI37" t="s">
        <v>33</v>
      </c>
      <c r="EJ37">
        <v>1</v>
      </c>
      <c r="EK37">
        <v>63001</v>
      </c>
      <c r="EL37" t="s">
        <v>34</v>
      </c>
      <c r="EM37" t="s">
        <v>35</v>
      </c>
      <c r="EQ37">
        <v>0</v>
      </c>
      <c r="ER37">
        <v>31.26</v>
      </c>
      <c r="ES37">
        <v>0</v>
      </c>
      <c r="ET37">
        <v>31.26</v>
      </c>
      <c r="EU37">
        <v>13.5</v>
      </c>
      <c r="EV37">
        <v>0</v>
      </c>
      <c r="EW37">
        <v>0</v>
      </c>
      <c r="EX37">
        <v>0</v>
      </c>
      <c r="FQ37">
        <v>0</v>
      </c>
      <c r="FR37">
        <f t="shared" si="52"/>
        <v>0</v>
      </c>
      <c r="FS37">
        <v>0</v>
      </c>
      <c r="FX37">
        <v>90</v>
      </c>
      <c r="FY37">
        <v>45</v>
      </c>
      <c r="GD37">
        <v>1</v>
      </c>
      <c r="GF37">
        <v>1232162608</v>
      </c>
      <c r="GG37">
        <v>2</v>
      </c>
      <c r="GH37">
        <v>1</v>
      </c>
      <c r="GI37">
        <v>2</v>
      </c>
      <c r="GJ37">
        <v>0</v>
      </c>
      <c r="GK37">
        <v>0</v>
      </c>
      <c r="GL37">
        <f t="shared" si="53"/>
        <v>0</v>
      </c>
      <c r="GM37">
        <f t="shared" si="54"/>
        <v>-308.17</v>
      </c>
      <c r="GN37">
        <f t="shared" si="55"/>
        <v>-308.17</v>
      </c>
      <c r="GO37">
        <f t="shared" si="56"/>
        <v>0</v>
      </c>
      <c r="GP37">
        <f t="shared" si="57"/>
        <v>0</v>
      </c>
      <c r="GR37">
        <v>0</v>
      </c>
      <c r="GS37">
        <v>7</v>
      </c>
      <c r="GT37">
        <v>0</v>
      </c>
      <c r="GV37">
        <f t="shared" si="58"/>
        <v>0</v>
      </c>
      <c r="GW37">
        <v>1</v>
      </c>
      <c r="GX37">
        <f t="shared" si="59"/>
        <v>0</v>
      </c>
      <c r="HA37">
        <v>0</v>
      </c>
      <c r="HB37">
        <v>0</v>
      </c>
      <c r="HC37">
        <f t="shared" si="60"/>
        <v>0</v>
      </c>
      <c r="HN37" t="s">
        <v>36</v>
      </c>
      <c r="HO37" t="s">
        <v>37</v>
      </c>
      <c r="HP37" t="s">
        <v>34</v>
      </c>
      <c r="HQ37" t="s">
        <v>34</v>
      </c>
      <c r="IK37">
        <v>0</v>
      </c>
    </row>
    <row r="38" spans="1:255" ht="12.75">
      <c r="A38" s="2">
        <v>17</v>
      </c>
      <c r="B38" s="2">
        <v>1</v>
      </c>
      <c r="C38" s="2">
        <f>ROW(SmtRes!A25)</f>
        <v>25</v>
      </c>
      <c r="D38" s="2">
        <f>ROW(EtalonRes!A27)</f>
        <v>27</v>
      </c>
      <c r="E38" s="2" t="s">
        <v>66</v>
      </c>
      <c r="F38" s="2" t="s">
        <v>67</v>
      </c>
      <c r="G38" s="2" t="s">
        <v>68</v>
      </c>
      <c r="H38" s="2" t="s">
        <v>69</v>
      </c>
      <c r="I38" s="2">
        <f>ROUND(255/100,7)</f>
        <v>2.55</v>
      </c>
      <c r="J38" s="2">
        <v>0</v>
      </c>
      <c r="K38" s="2">
        <f>ROUND(255/100,7)</f>
        <v>2.55</v>
      </c>
      <c r="L38" s="2"/>
      <c r="M38" s="2"/>
      <c r="N38" s="2"/>
      <c r="O38" s="2">
        <f t="shared" si="21"/>
        <v>7643.32</v>
      </c>
      <c r="P38" s="2">
        <f t="shared" si="22"/>
        <v>7445.08</v>
      </c>
      <c r="Q38" s="2">
        <f t="shared" si="23"/>
        <v>27.22</v>
      </c>
      <c r="R38" s="2">
        <f t="shared" si="24"/>
        <v>4.81</v>
      </c>
      <c r="S38" s="2">
        <f t="shared" si="25"/>
        <v>171.02</v>
      </c>
      <c r="T38" s="2">
        <f t="shared" si="26"/>
        <v>0</v>
      </c>
      <c r="U38" s="2">
        <f t="shared" si="27"/>
        <v>18.855974999999997</v>
      </c>
      <c r="V38" s="2">
        <f t="shared" si="28"/>
        <v>0.414375</v>
      </c>
      <c r="W38" s="2">
        <f t="shared" si="29"/>
        <v>0</v>
      </c>
      <c r="X38" s="2">
        <f t="shared" si="30"/>
        <v>183.57</v>
      </c>
      <c r="Y38" s="2">
        <f t="shared" si="31"/>
        <v>119.56</v>
      </c>
      <c r="Z38" s="2"/>
      <c r="AA38" s="2">
        <v>55115741</v>
      </c>
      <c r="AB38" s="2">
        <f t="shared" si="32"/>
        <v>2997.383</v>
      </c>
      <c r="AC38" s="2">
        <f t="shared" si="33"/>
        <v>2919.64</v>
      </c>
      <c r="AD38" s="2">
        <f>ROUND(((((ET38*ROUND(1.25,7)))-((EU38*ROUND(1.25,7))))+AE38),6)</f>
        <v>10.675</v>
      </c>
      <c r="AE38" s="2">
        <f>ROUND(((EU38*ROUND(1.25,7))),6)</f>
        <v>1.8875</v>
      </c>
      <c r="AF38" s="2">
        <f>ROUND(((EV38*ROUND(1.15,7))),6)</f>
        <v>67.068</v>
      </c>
      <c r="AG38" s="2">
        <f t="shared" si="37"/>
        <v>0</v>
      </c>
      <c r="AH38" s="2">
        <f>((EW38*ROUND(1.15,7)))</f>
        <v>7.394499999999999</v>
      </c>
      <c r="AI38" s="2">
        <f>((EX38*ROUND(1.25,7)))</f>
        <v>0.1625</v>
      </c>
      <c r="AJ38" s="2">
        <f t="shared" si="40"/>
        <v>0</v>
      </c>
      <c r="AK38" s="2">
        <v>2986.5</v>
      </c>
      <c r="AL38" s="2">
        <v>2919.64</v>
      </c>
      <c r="AM38" s="2">
        <v>8.54</v>
      </c>
      <c r="AN38" s="2">
        <v>1.51</v>
      </c>
      <c r="AO38" s="2">
        <v>58.32</v>
      </c>
      <c r="AP38" s="2">
        <v>0</v>
      </c>
      <c r="AQ38" s="2">
        <v>6.43</v>
      </c>
      <c r="AR38" s="2">
        <v>0.13</v>
      </c>
      <c r="AS38" s="2">
        <v>0</v>
      </c>
      <c r="AT38" s="2">
        <v>104.4</v>
      </c>
      <c r="AU38" s="2">
        <v>68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70</v>
      </c>
      <c r="BK38" s="2"/>
      <c r="BL38" s="2"/>
      <c r="BM38" s="2">
        <v>7005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116</v>
      </c>
      <c r="CA38" s="2">
        <v>80</v>
      </c>
      <c r="CB38" s="2" t="s">
        <v>3</v>
      </c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281</v>
      </c>
      <c r="CO38" s="2">
        <v>0</v>
      </c>
      <c r="CP38" s="2">
        <f t="shared" si="41"/>
        <v>7643.320000000001</v>
      </c>
      <c r="CQ38" s="2">
        <f t="shared" si="42"/>
        <v>2919.64</v>
      </c>
      <c r="CR38" s="2">
        <f t="shared" si="43"/>
        <v>10.675</v>
      </c>
      <c r="CS38" s="2">
        <f t="shared" si="44"/>
        <v>1.8875</v>
      </c>
      <c r="CT38" s="2">
        <f t="shared" si="45"/>
        <v>67.068</v>
      </c>
      <c r="CU38" s="2">
        <f t="shared" si="46"/>
        <v>0</v>
      </c>
      <c r="CV38" s="2">
        <f t="shared" si="47"/>
        <v>7.394499999999999</v>
      </c>
      <c r="CW38" s="2">
        <f t="shared" si="48"/>
        <v>0.1625</v>
      </c>
      <c r="CX38" s="2">
        <f t="shared" si="49"/>
        <v>0</v>
      </c>
      <c r="CY38" s="2">
        <f t="shared" si="50"/>
        <v>183.56652000000003</v>
      </c>
      <c r="CZ38" s="2">
        <f t="shared" si="51"/>
        <v>119.5644</v>
      </c>
      <c r="DA38" s="2"/>
      <c r="DB38" s="2"/>
      <c r="DC38" s="2" t="s">
        <v>3</v>
      </c>
      <c r="DD38" s="2" t="s">
        <v>3</v>
      </c>
      <c r="DE38" s="2" t="s">
        <v>71</v>
      </c>
      <c r="DF38" s="2" t="s">
        <v>71</v>
      </c>
      <c r="DG38" s="2" t="s">
        <v>72</v>
      </c>
      <c r="DH38" s="2" t="s">
        <v>3</v>
      </c>
      <c r="DI38" s="2" t="s">
        <v>72</v>
      </c>
      <c r="DJ38" s="2" t="s">
        <v>71</v>
      </c>
      <c r="DK38" s="2" t="s">
        <v>3</v>
      </c>
      <c r="DL38" s="2" t="s">
        <v>73</v>
      </c>
      <c r="DM38" s="2" t="s">
        <v>74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69</v>
      </c>
      <c r="DW38" s="2" t="s">
        <v>69</v>
      </c>
      <c r="DX38" s="2">
        <v>100</v>
      </c>
      <c r="DY38" s="2"/>
      <c r="DZ38" s="2" t="s">
        <v>3</v>
      </c>
      <c r="EA38" s="2" t="s">
        <v>3</v>
      </c>
      <c r="EB38" s="2" t="s">
        <v>3</v>
      </c>
      <c r="EC38" s="2" t="s">
        <v>3</v>
      </c>
      <c r="ED38" s="2"/>
      <c r="EE38" s="2">
        <v>53470149</v>
      </c>
      <c r="EF38" s="2">
        <v>2</v>
      </c>
      <c r="EG38" s="2" t="s">
        <v>42</v>
      </c>
      <c r="EH38" s="2">
        <v>7</v>
      </c>
      <c r="EI38" s="2" t="s">
        <v>57</v>
      </c>
      <c r="EJ38" s="2">
        <v>1</v>
      </c>
      <c r="EK38" s="2">
        <v>7005</v>
      </c>
      <c r="EL38" s="2" t="s">
        <v>58</v>
      </c>
      <c r="EM38" s="2" t="s">
        <v>59</v>
      </c>
      <c r="EN38" s="2"/>
      <c r="EO38" s="2" t="s">
        <v>75</v>
      </c>
      <c r="EP38" s="2"/>
      <c r="EQ38" s="2">
        <v>0</v>
      </c>
      <c r="ER38" s="2">
        <v>2986.5</v>
      </c>
      <c r="ES38" s="2">
        <v>2919.64</v>
      </c>
      <c r="ET38" s="2">
        <v>8.54</v>
      </c>
      <c r="EU38" s="2">
        <v>1.51</v>
      </c>
      <c r="EV38" s="2">
        <v>58.32</v>
      </c>
      <c r="EW38" s="2">
        <v>6.43</v>
      </c>
      <c r="EX38" s="2">
        <v>0.13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52"/>
        <v>0</v>
      </c>
      <c r="FS38" s="2">
        <v>0</v>
      </c>
      <c r="FT38" s="2"/>
      <c r="FU38" s="2"/>
      <c r="FV38" s="2"/>
      <c r="FW38" s="2"/>
      <c r="FX38" s="2">
        <v>104.4</v>
      </c>
      <c r="FY38" s="2">
        <v>68</v>
      </c>
      <c r="FZ38" s="2"/>
      <c r="GA38" s="2" t="s">
        <v>3</v>
      </c>
      <c r="GB38" s="2"/>
      <c r="GC38" s="2"/>
      <c r="GD38" s="2">
        <v>1</v>
      </c>
      <c r="GE38" s="2"/>
      <c r="GF38" s="2">
        <v>-1134634112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53"/>
        <v>0</v>
      </c>
      <c r="GM38" s="2">
        <f t="shared" si="54"/>
        <v>7946.45</v>
      </c>
      <c r="GN38" s="2">
        <f t="shared" si="55"/>
        <v>7946.45</v>
      </c>
      <c r="GO38" s="2">
        <f t="shared" si="56"/>
        <v>0</v>
      </c>
      <c r="GP38" s="2">
        <f t="shared" si="57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8"/>
        <v>0</v>
      </c>
      <c r="GW38" s="2">
        <v>1</v>
      </c>
      <c r="GX38" s="2">
        <f t="shared" si="59"/>
        <v>0</v>
      </c>
      <c r="GY38" s="2"/>
      <c r="GZ38" s="2"/>
      <c r="HA38" s="2">
        <v>0</v>
      </c>
      <c r="HB38" s="2">
        <v>0</v>
      </c>
      <c r="HC38" s="2">
        <f t="shared" si="60"/>
        <v>0</v>
      </c>
      <c r="HD38" s="2"/>
      <c r="HE38" s="2" t="s">
        <v>3</v>
      </c>
      <c r="HF38" s="2" t="s">
        <v>3</v>
      </c>
      <c r="HG38" s="2"/>
      <c r="HH38" s="2"/>
      <c r="HI38" s="2"/>
      <c r="HJ38" s="2"/>
      <c r="HK38" s="2"/>
      <c r="HL38" s="2"/>
      <c r="HM38" s="2" t="s">
        <v>3</v>
      </c>
      <c r="HN38" s="2" t="s">
        <v>60</v>
      </c>
      <c r="HO38" s="2" t="s">
        <v>61</v>
      </c>
      <c r="HP38" s="2" t="s">
        <v>58</v>
      </c>
      <c r="HQ38" s="2" t="s">
        <v>58</v>
      </c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45" ht="12.75">
      <c r="A39">
        <v>17</v>
      </c>
      <c r="B39">
        <v>1</v>
      </c>
      <c r="C39">
        <f>ROW(SmtRes!A30)</f>
        <v>30</v>
      </c>
      <c r="D39">
        <f>ROW(EtalonRes!A32)</f>
        <v>32</v>
      </c>
      <c r="E39" t="s">
        <v>66</v>
      </c>
      <c r="F39" t="s">
        <v>67</v>
      </c>
      <c r="G39" t="s">
        <v>68</v>
      </c>
      <c r="H39" t="s">
        <v>69</v>
      </c>
      <c r="I39">
        <f>ROUND(255/100,7)</f>
        <v>2.55</v>
      </c>
      <c r="J39">
        <v>0</v>
      </c>
      <c r="K39">
        <f>ROUND(255/100,7)</f>
        <v>2.55</v>
      </c>
      <c r="O39">
        <f t="shared" si="21"/>
        <v>40929.65</v>
      </c>
      <c r="P39">
        <f t="shared" si="22"/>
        <v>34024.02</v>
      </c>
      <c r="Q39">
        <f t="shared" si="23"/>
        <v>345.17</v>
      </c>
      <c r="R39">
        <f t="shared" si="24"/>
        <v>184.63</v>
      </c>
      <c r="S39">
        <f t="shared" si="25"/>
        <v>6560.46</v>
      </c>
      <c r="T39">
        <f t="shared" si="26"/>
        <v>0</v>
      </c>
      <c r="U39">
        <f t="shared" si="27"/>
        <v>18.855974999999997</v>
      </c>
      <c r="V39">
        <f t="shared" si="28"/>
        <v>0.414375</v>
      </c>
      <c r="W39">
        <f t="shared" si="29"/>
        <v>0</v>
      </c>
      <c r="X39">
        <f t="shared" si="30"/>
        <v>7041.87</v>
      </c>
      <c r="Y39">
        <f t="shared" si="31"/>
        <v>4586.66</v>
      </c>
      <c r="AA39">
        <v>55115742</v>
      </c>
      <c r="AB39">
        <f t="shared" si="32"/>
        <v>2997.383</v>
      </c>
      <c r="AC39">
        <f t="shared" si="33"/>
        <v>2919.64</v>
      </c>
      <c r="AD39">
        <f>ROUND(((((ET39*ROUND(1.25,7)))-((EU39*ROUND(1.25,7))))+AE39),6)</f>
        <v>10.675</v>
      </c>
      <c r="AE39">
        <f>ROUND(((EU39*ROUND(1.25,7))),6)</f>
        <v>1.8875</v>
      </c>
      <c r="AF39">
        <f>ROUND(((EV39*ROUND(1.15,7))),6)</f>
        <v>67.068</v>
      </c>
      <c r="AG39">
        <f t="shared" si="37"/>
        <v>0</v>
      </c>
      <c r="AH39">
        <f>((EW39*ROUND(1.15,7)))</f>
        <v>7.394499999999999</v>
      </c>
      <c r="AI39">
        <f>((EX39*ROUND(1.25,7)))</f>
        <v>0.1625</v>
      </c>
      <c r="AJ39">
        <f t="shared" si="40"/>
        <v>0</v>
      </c>
      <c r="AK39">
        <v>2986.5</v>
      </c>
      <c r="AL39">
        <v>2919.64</v>
      </c>
      <c r="AM39">
        <v>8.54</v>
      </c>
      <c r="AN39">
        <v>1.51</v>
      </c>
      <c r="AO39">
        <v>58.32</v>
      </c>
      <c r="AP39">
        <v>0</v>
      </c>
      <c r="AQ39">
        <v>6.43</v>
      </c>
      <c r="AR39">
        <v>0.13</v>
      </c>
      <c r="AS39">
        <v>0</v>
      </c>
      <c r="AT39">
        <v>104.4</v>
      </c>
      <c r="AU39">
        <v>68</v>
      </c>
      <c r="AV39">
        <v>1</v>
      </c>
      <c r="AW39">
        <v>1</v>
      </c>
      <c r="AZ39">
        <v>1</v>
      </c>
      <c r="BA39">
        <v>38.36</v>
      </c>
      <c r="BB39">
        <v>12.68</v>
      </c>
      <c r="BC39">
        <v>4.57</v>
      </c>
      <c r="BH39">
        <v>0</v>
      </c>
      <c r="BI39">
        <v>1</v>
      </c>
      <c r="BJ39" t="s">
        <v>70</v>
      </c>
      <c r="BM39">
        <v>7005</v>
      </c>
      <c r="BN39">
        <v>0</v>
      </c>
      <c r="BO39" t="s">
        <v>67</v>
      </c>
      <c r="BP39">
        <v>1</v>
      </c>
      <c r="BQ39">
        <v>2</v>
      </c>
      <c r="BR39">
        <v>0</v>
      </c>
      <c r="BS39">
        <v>38.36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116</v>
      </c>
      <c r="CA39">
        <v>80</v>
      </c>
      <c r="CE39">
        <v>0</v>
      </c>
      <c r="CF39">
        <v>0</v>
      </c>
      <c r="CG39">
        <v>0</v>
      </c>
      <c r="CM39">
        <v>0</v>
      </c>
      <c r="CN39" t="s">
        <v>281</v>
      </c>
      <c r="CO39">
        <v>0</v>
      </c>
      <c r="CP39">
        <f t="shared" si="41"/>
        <v>40929.649999999994</v>
      </c>
      <c r="CQ39">
        <f t="shared" si="42"/>
        <v>13342.7548</v>
      </c>
      <c r="CR39">
        <f t="shared" si="43"/>
        <v>135.359</v>
      </c>
      <c r="CS39">
        <f t="shared" si="44"/>
        <v>72.4045</v>
      </c>
      <c r="CT39">
        <f t="shared" si="45"/>
        <v>2572.7284799999998</v>
      </c>
      <c r="CU39">
        <f t="shared" si="46"/>
        <v>0</v>
      </c>
      <c r="CV39">
        <f t="shared" si="47"/>
        <v>7.394499999999999</v>
      </c>
      <c r="CW39">
        <f t="shared" si="48"/>
        <v>0.1625</v>
      </c>
      <c r="CX39">
        <f t="shared" si="49"/>
        <v>0</v>
      </c>
      <c r="CY39">
        <f t="shared" si="50"/>
        <v>7041.873960000001</v>
      </c>
      <c r="CZ39">
        <f t="shared" si="51"/>
        <v>4586.6612</v>
      </c>
      <c r="DE39" t="s">
        <v>71</v>
      </c>
      <c r="DF39" t="s">
        <v>71</v>
      </c>
      <c r="DG39" t="s">
        <v>72</v>
      </c>
      <c r="DI39" t="s">
        <v>72</v>
      </c>
      <c r="DJ39" t="s">
        <v>71</v>
      </c>
      <c r="DL39" t="s">
        <v>73</v>
      </c>
      <c r="DM39" t="s">
        <v>74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69</v>
      </c>
      <c r="DW39" t="s">
        <v>69</v>
      </c>
      <c r="DX39">
        <v>100</v>
      </c>
      <c r="EE39">
        <v>53470149</v>
      </c>
      <c r="EF39">
        <v>2</v>
      </c>
      <c r="EG39" t="s">
        <v>42</v>
      </c>
      <c r="EH39">
        <v>7</v>
      </c>
      <c r="EI39" t="s">
        <v>57</v>
      </c>
      <c r="EJ39">
        <v>1</v>
      </c>
      <c r="EK39">
        <v>7005</v>
      </c>
      <c r="EL39" t="s">
        <v>58</v>
      </c>
      <c r="EM39" t="s">
        <v>59</v>
      </c>
      <c r="EO39" t="s">
        <v>75</v>
      </c>
      <c r="EQ39">
        <v>0</v>
      </c>
      <c r="ER39">
        <v>2986.5</v>
      </c>
      <c r="ES39">
        <v>2919.64</v>
      </c>
      <c r="ET39">
        <v>8.54</v>
      </c>
      <c r="EU39">
        <v>1.51</v>
      </c>
      <c r="EV39">
        <v>58.32</v>
      </c>
      <c r="EW39">
        <v>6.43</v>
      </c>
      <c r="EX39">
        <v>0.13</v>
      </c>
      <c r="EY39">
        <v>0</v>
      </c>
      <c r="FQ39">
        <v>0</v>
      </c>
      <c r="FR39">
        <f t="shared" si="52"/>
        <v>0</v>
      </c>
      <c r="FS39">
        <v>0</v>
      </c>
      <c r="FX39">
        <v>104.4</v>
      </c>
      <c r="FY39">
        <v>68</v>
      </c>
      <c r="GD39">
        <v>1</v>
      </c>
      <c r="GF39">
        <v>-1134634112</v>
      </c>
      <c r="GG39">
        <v>2</v>
      </c>
      <c r="GH39">
        <v>1</v>
      </c>
      <c r="GI39">
        <v>2</v>
      </c>
      <c r="GJ39">
        <v>0</v>
      </c>
      <c r="GK39">
        <v>0</v>
      </c>
      <c r="GL39">
        <f t="shared" si="53"/>
        <v>0</v>
      </c>
      <c r="GM39">
        <f t="shared" si="54"/>
        <v>52558.18</v>
      </c>
      <c r="GN39">
        <f t="shared" si="55"/>
        <v>52558.18</v>
      </c>
      <c r="GO39">
        <f t="shared" si="56"/>
        <v>0</v>
      </c>
      <c r="GP39">
        <f t="shared" si="57"/>
        <v>0</v>
      </c>
      <c r="GR39">
        <v>0</v>
      </c>
      <c r="GS39">
        <v>3</v>
      </c>
      <c r="GT39">
        <v>0</v>
      </c>
      <c r="GV39">
        <f t="shared" si="58"/>
        <v>0</v>
      </c>
      <c r="GW39">
        <v>1</v>
      </c>
      <c r="GX39">
        <f t="shared" si="59"/>
        <v>0</v>
      </c>
      <c r="HA39">
        <v>0</v>
      </c>
      <c r="HB39">
        <v>0</v>
      </c>
      <c r="HC39">
        <f t="shared" si="60"/>
        <v>0</v>
      </c>
      <c r="HN39" t="s">
        <v>60</v>
      </c>
      <c r="HO39" t="s">
        <v>61</v>
      </c>
      <c r="HP39" t="s">
        <v>58</v>
      </c>
      <c r="HQ39" t="s">
        <v>58</v>
      </c>
      <c r="IK39">
        <v>0</v>
      </c>
    </row>
    <row r="41" spans="1:206" ht="12.75">
      <c r="A41" s="3">
        <v>51</v>
      </c>
      <c r="B41" s="3">
        <f>B24</f>
        <v>1</v>
      </c>
      <c r="C41" s="3">
        <f>A24</f>
        <v>4</v>
      </c>
      <c r="D41" s="3">
        <f>ROW(A24)</f>
        <v>24</v>
      </c>
      <c r="E41" s="3"/>
      <c r="F41" s="3" t="str">
        <f>IF(F24&lt;&gt;"",F24,"")</f>
        <v>Новый раздел</v>
      </c>
      <c r="G41" s="3" t="str">
        <f>IF(G24&lt;&gt;"",G24,"")</f>
        <v>Замена стекол</v>
      </c>
      <c r="H41" s="3">
        <v>0</v>
      </c>
      <c r="I41" s="3"/>
      <c r="J41" s="3"/>
      <c r="K41" s="3"/>
      <c r="L41" s="3"/>
      <c r="M41" s="3"/>
      <c r="N41" s="3"/>
      <c r="O41" s="3">
        <f aca="true" t="shared" si="61" ref="O41:T41">ROUND(AB41,2)</f>
        <v>513141.93</v>
      </c>
      <c r="P41" s="3">
        <f t="shared" si="61"/>
        <v>490999.48</v>
      </c>
      <c r="Q41" s="3">
        <f t="shared" si="61"/>
        <v>20496.23</v>
      </c>
      <c r="R41" s="3">
        <f t="shared" si="61"/>
        <v>1141.61</v>
      </c>
      <c r="S41" s="3">
        <f t="shared" si="61"/>
        <v>1646.22</v>
      </c>
      <c r="T41" s="3">
        <f t="shared" si="61"/>
        <v>0</v>
      </c>
      <c r="U41" s="3">
        <f>AH41</f>
        <v>187.643475</v>
      </c>
      <c r="V41" s="3">
        <f>AI41</f>
        <v>0.896625</v>
      </c>
      <c r="W41" s="3">
        <f>ROUND(AJ41,2)</f>
        <v>0</v>
      </c>
      <c r="X41" s="3">
        <f>ROUND(AK41,2)</f>
        <v>2829.21</v>
      </c>
      <c r="Y41" s="3">
        <f>ROUND(AL41,2)</f>
        <v>1691.86</v>
      </c>
      <c r="Z41" s="3"/>
      <c r="AA41" s="3"/>
      <c r="AB41" s="3">
        <f>ROUND(SUMIF(AA28:AA39,"=55115741",O28:O39),2)</f>
        <v>513141.93</v>
      </c>
      <c r="AC41" s="3">
        <f>ROUND(SUMIF(AA28:AA39,"=55115741",P28:P39),2)</f>
        <v>490999.48</v>
      </c>
      <c r="AD41" s="3">
        <f>ROUND(SUMIF(AA28:AA39,"=55115741",Q28:Q39),2)</f>
        <v>20496.23</v>
      </c>
      <c r="AE41" s="3">
        <f>ROUND(SUMIF(AA28:AA39,"=55115741",R28:R39),2)</f>
        <v>1141.61</v>
      </c>
      <c r="AF41" s="3">
        <f>ROUND(SUMIF(AA28:AA39,"=55115741",S28:S39),2)</f>
        <v>1646.22</v>
      </c>
      <c r="AG41" s="3">
        <f>ROUND(SUMIF(AA28:AA39,"=55115741",T28:T39),2)</f>
        <v>0</v>
      </c>
      <c r="AH41" s="3">
        <f>SUMIF(AA28:AA39,"=55115741",U28:U39)</f>
        <v>187.643475</v>
      </c>
      <c r="AI41" s="3">
        <f>SUMIF(AA28:AA39,"=55115741",V28:V39)</f>
        <v>0.896625</v>
      </c>
      <c r="AJ41" s="3">
        <f>ROUND(SUMIF(AA28:AA39,"=55115741",W28:W39),2)</f>
        <v>0</v>
      </c>
      <c r="AK41" s="3">
        <f>ROUND(SUMIF(AA28:AA39,"=55115741",X28:X39),2)</f>
        <v>2829.21</v>
      </c>
      <c r="AL41" s="3">
        <f>ROUND(SUMIF(AA28:AA39,"=55115741",Y28:Y39),2)</f>
        <v>1691.86</v>
      </c>
      <c r="AM41" s="3"/>
      <c r="AN41" s="3"/>
      <c r="AO41" s="3">
        <f aca="true" t="shared" si="62" ref="AO41:BD41">ROUND(BX41,2)</f>
        <v>0</v>
      </c>
      <c r="AP41" s="3">
        <f t="shared" si="62"/>
        <v>0</v>
      </c>
      <c r="AQ41" s="3">
        <f t="shared" si="62"/>
        <v>0</v>
      </c>
      <c r="AR41" s="3">
        <f t="shared" si="62"/>
        <v>517663</v>
      </c>
      <c r="AS41" s="3">
        <f t="shared" si="62"/>
        <v>517663</v>
      </c>
      <c r="AT41" s="3">
        <f t="shared" si="62"/>
        <v>0</v>
      </c>
      <c r="AU41" s="3">
        <f t="shared" si="62"/>
        <v>0</v>
      </c>
      <c r="AV41" s="3">
        <f t="shared" si="62"/>
        <v>490999.48</v>
      </c>
      <c r="AW41" s="3">
        <f t="shared" si="62"/>
        <v>490999.48</v>
      </c>
      <c r="AX41" s="3">
        <f t="shared" si="62"/>
        <v>0</v>
      </c>
      <c r="AY41" s="3">
        <f t="shared" si="62"/>
        <v>490999.48</v>
      </c>
      <c r="AZ41" s="3">
        <f t="shared" si="62"/>
        <v>0</v>
      </c>
      <c r="BA41" s="3">
        <f t="shared" si="62"/>
        <v>0</v>
      </c>
      <c r="BB41" s="3">
        <f t="shared" si="62"/>
        <v>0</v>
      </c>
      <c r="BC41" s="3">
        <f t="shared" si="62"/>
        <v>0</v>
      </c>
      <c r="BD41" s="3">
        <f t="shared" si="62"/>
        <v>0</v>
      </c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>
        <f>ROUND(SUMIF(AA28:AA39,"=55115741",FQ28:FQ39),2)</f>
        <v>0</v>
      </c>
      <c r="BY41" s="3">
        <f>ROUND(SUMIF(AA28:AA39,"=55115741",FR28:FR39),2)</f>
        <v>0</v>
      </c>
      <c r="BZ41" s="3">
        <f>ROUND(SUMIF(AA28:AA39,"=55115741",GL28:GL39),2)</f>
        <v>0</v>
      </c>
      <c r="CA41" s="3">
        <f>ROUND(SUMIF(AA28:AA39,"=55115741",GM28:GM39),2)</f>
        <v>517663</v>
      </c>
      <c r="CB41" s="3">
        <f>ROUND(SUMIF(AA28:AA39,"=55115741",GN28:GN39),2)</f>
        <v>517663</v>
      </c>
      <c r="CC41" s="3">
        <f>ROUND(SUMIF(AA28:AA39,"=55115741",GO28:GO39),2)</f>
        <v>0</v>
      </c>
      <c r="CD41" s="3">
        <f>ROUND(SUMIF(AA28:AA39,"=55115741",GP28:GP39),2)</f>
        <v>0</v>
      </c>
      <c r="CE41" s="3">
        <f>AC41-BX41</f>
        <v>490999.48</v>
      </c>
      <c r="CF41" s="3">
        <f>AC41-BY41</f>
        <v>490999.48</v>
      </c>
      <c r="CG41" s="3">
        <f>BX41-BZ41</f>
        <v>0</v>
      </c>
      <c r="CH41" s="3">
        <f>AC41-BX41-BY41+BZ41</f>
        <v>490999.48</v>
      </c>
      <c r="CI41" s="3">
        <f>BY41-BZ41</f>
        <v>0</v>
      </c>
      <c r="CJ41" s="3">
        <f>ROUND(SUMIF(AA28:AA39,"=55115741",GX28:GX39),2)</f>
        <v>0</v>
      </c>
      <c r="CK41" s="3">
        <f>ROUND(SUMIF(AA28:AA39,"=55115741",GY28:GY39),2)</f>
        <v>0</v>
      </c>
      <c r="CL41" s="3">
        <f>ROUND(SUMIF(AA28:AA39,"=55115741",GZ28:GZ39),2)</f>
        <v>0</v>
      </c>
      <c r="CM41" s="3">
        <f>ROUND(SUMIF(AA28:AA39,"=55115741",HD28:HD39),2)</f>
        <v>0</v>
      </c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4">
        <f aca="true" t="shared" si="63" ref="DG41:DL41">ROUND(DT41,2)</f>
        <v>746912.35</v>
      </c>
      <c r="DH41" s="4">
        <f t="shared" si="63"/>
        <v>521023.43</v>
      </c>
      <c r="DI41" s="4">
        <f t="shared" si="63"/>
        <v>162739.68</v>
      </c>
      <c r="DJ41" s="4">
        <f t="shared" si="63"/>
        <v>43792.35</v>
      </c>
      <c r="DK41" s="4">
        <f t="shared" si="63"/>
        <v>63149.24</v>
      </c>
      <c r="DL41" s="4">
        <f t="shared" si="63"/>
        <v>0</v>
      </c>
      <c r="DM41" s="4">
        <f>DZ41</f>
        <v>187.643475</v>
      </c>
      <c r="DN41" s="4">
        <f>EA41</f>
        <v>0.896625</v>
      </c>
      <c r="DO41" s="4">
        <f>ROUND(EB41,2)</f>
        <v>0</v>
      </c>
      <c r="DP41" s="4">
        <f>ROUND(EC41,2)</f>
        <v>108528.79</v>
      </c>
      <c r="DQ41" s="4">
        <f>ROUND(ED41,2)</f>
        <v>64900.17</v>
      </c>
      <c r="DR41" s="4"/>
      <c r="DS41" s="4"/>
      <c r="DT41" s="4">
        <f>ROUND(SUMIF(AA28:AA39,"=55115742",O28:O39),2)</f>
        <v>746912.35</v>
      </c>
      <c r="DU41" s="4">
        <f>ROUND(SUMIF(AA28:AA39,"=55115742",P28:P39),2)</f>
        <v>521023.43</v>
      </c>
      <c r="DV41" s="4">
        <f>ROUND(SUMIF(AA28:AA39,"=55115742",Q28:Q39),2)</f>
        <v>162739.68</v>
      </c>
      <c r="DW41" s="4">
        <f>ROUND(SUMIF(AA28:AA39,"=55115742",R28:R39),2)</f>
        <v>43792.35</v>
      </c>
      <c r="DX41" s="4">
        <f>ROUND(SUMIF(AA28:AA39,"=55115742",S28:S39),2)</f>
        <v>63149.24</v>
      </c>
      <c r="DY41" s="4">
        <f>ROUND(SUMIF(AA28:AA39,"=55115742",T28:T39),2)</f>
        <v>0</v>
      </c>
      <c r="DZ41" s="4">
        <f>SUMIF(AA28:AA39,"=55115742",U28:U39)</f>
        <v>187.643475</v>
      </c>
      <c r="EA41" s="4">
        <f>SUMIF(AA28:AA39,"=55115742",V28:V39)</f>
        <v>0.896625</v>
      </c>
      <c r="EB41" s="4">
        <f>ROUND(SUMIF(AA28:AA39,"=55115742",W28:W39),2)</f>
        <v>0</v>
      </c>
      <c r="EC41" s="4">
        <f>ROUND(SUMIF(AA28:AA39,"=55115742",X28:X39),2)</f>
        <v>108528.79</v>
      </c>
      <c r="ED41" s="4">
        <f>ROUND(SUMIF(AA28:AA39,"=55115742",Y28:Y39),2)</f>
        <v>64900.17</v>
      </c>
      <c r="EE41" s="4"/>
      <c r="EF41" s="4"/>
      <c r="EG41" s="4">
        <f aca="true" t="shared" si="64" ref="EG41:EV41">ROUND(FP41,2)</f>
        <v>0</v>
      </c>
      <c r="EH41" s="4">
        <f t="shared" si="64"/>
        <v>0</v>
      </c>
      <c r="EI41" s="4">
        <f t="shared" si="64"/>
        <v>0</v>
      </c>
      <c r="EJ41" s="4">
        <f t="shared" si="64"/>
        <v>920341.31</v>
      </c>
      <c r="EK41" s="4">
        <f t="shared" si="64"/>
        <v>920341.31</v>
      </c>
      <c r="EL41" s="4">
        <f t="shared" si="64"/>
        <v>0</v>
      </c>
      <c r="EM41" s="4">
        <f t="shared" si="64"/>
        <v>0</v>
      </c>
      <c r="EN41" s="4">
        <f t="shared" si="64"/>
        <v>521023.43</v>
      </c>
      <c r="EO41" s="4">
        <f t="shared" si="64"/>
        <v>521023.43</v>
      </c>
      <c r="EP41" s="4">
        <f t="shared" si="64"/>
        <v>0</v>
      </c>
      <c r="EQ41" s="4">
        <f t="shared" si="64"/>
        <v>521023.43</v>
      </c>
      <c r="ER41" s="4">
        <f t="shared" si="64"/>
        <v>0</v>
      </c>
      <c r="ES41" s="4">
        <f t="shared" si="64"/>
        <v>0</v>
      </c>
      <c r="ET41" s="4">
        <f t="shared" si="64"/>
        <v>0</v>
      </c>
      <c r="EU41" s="4">
        <f t="shared" si="64"/>
        <v>0</v>
      </c>
      <c r="EV41" s="4">
        <f t="shared" si="64"/>
        <v>0</v>
      </c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>
        <f>ROUND(SUMIF(AA28:AA39,"=55115742",FQ28:FQ39),2)</f>
        <v>0</v>
      </c>
      <c r="FQ41" s="4">
        <f>ROUND(SUMIF(AA28:AA39,"=55115742",FR28:FR39),2)</f>
        <v>0</v>
      </c>
      <c r="FR41" s="4">
        <f>ROUND(SUMIF(AA28:AA39,"=55115742",GL28:GL39),2)</f>
        <v>0</v>
      </c>
      <c r="FS41" s="4">
        <f>ROUND(SUMIF(AA28:AA39,"=55115742",GM28:GM39),2)</f>
        <v>920341.31</v>
      </c>
      <c r="FT41" s="4">
        <f>ROUND(SUMIF(AA28:AA39,"=55115742",GN28:GN39),2)</f>
        <v>920341.31</v>
      </c>
      <c r="FU41" s="4">
        <f>ROUND(SUMIF(AA28:AA39,"=55115742",GO28:GO39),2)</f>
        <v>0</v>
      </c>
      <c r="FV41" s="4">
        <f>ROUND(SUMIF(AA28:AA39,"=55115742",GP28:GP39),2)</f>
        <v>0</v>
      </c>
      <c r="FW41" s="4">
        <f>DU41-FP41</f>
        <v>521023.43</v>
      </c>
      <c r="FX41" s="4">
        <f>DU41-FQ41</f>
        <v>521023.43</v>
      </c>
      <c r="FY41" s="4">
        <f>FP41-FR41</f>
        <v>0</v>
      </c>
      <c r="FZ41" s="4">
        <f>DU41-FP41-FQ41+FR41</f>
        <v>521023.43</v>
      </c>
      <c r="GA41" s="4">
        <f>FQ41-FR41</f>
        <v>0</v>
      </c>
      <c r="GB41" s="4">
        <f>ROUND(SUMIF(AA28:AA39,"=55115742",GX28:GX39),2)</f>
        <v>0</v>
      </c>
      <c r="GC41" s="4">
        <f>ROUND(SUMIF(AA28:AA39,"=55115742",GY28:GY39),2)</f>
        <v>0</v>
      </c>
      <c r="GD41" s="4">
        <f>ROUND(SUMIF(AA28:AA39,"=55115742",GZ28:GZ39),2)</f>
        <v>0</v>
      </c>
      <c r="GE41" s="4">
        <f>ROUND(SUMIF(AA28:AA39,"=55115742",HD28:HD39),2)</f>
        <v>0</v>
      </c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>
        <v>0</v>
      </c>
    </row>
    <row r="43" spans="1:28" ht="12.75">
      <c r="A43" s="5">
        <v>50</v>
      </c>
      <c r="B43" s="5">
        <v>0</v>
      </c>
      <c r="C43" s="5">
        <v>0</v>
      </c>
      <c r="D43" s="5">
        <v>1</v>
      </c>
      <c r="E43" s="5">
        <v>201</v>
      </c>
      <c r="F43" s="5">
        <f>ROUND(Source!O41,O43)</f>
        <v>513141.93</v>
      </c>
      <c r="G43" s="5" t="s">
        <v>76</v>
      </c>
      <c r="H43" s="5" t="s">
        <v>77</v>
      </c>
      <c r="I43" s="5"/>
      <c r="J43" s="5"/>
      <c r="K43" s="5">
        <v>201</v>
      </c>
      <c r="L43" s="5">
        <v>1</v>
      </c>
      <c r="M43" s="5">
        <v>3</v>
      </c>
      <c r="N43" s="5" t="s">
        <v>3</v>
      </c>
      <c r="O43" s="5">
        <v>2</v>
      </c>
      <c r="P43" s="5">
        <f>ROUND(Source!DG41,O43)</f>
        <v>746912.35</v>
      </c>
      <c r="Q43" s="5"/>
      <c r="R43" s="5"/>
      <c r="S43" s="5"/>
      <c r="T43" s="5"/>
      <c r="U43" s="5"/>
      <c r="V43" s="5"/>
      <c r="W43" s="5">
        <v>513141.93</v>
      </c>
      <c r="X43" s="5">
        <v>1</v>
      </c>
      <c r="Y43" s="5">
        <v>513141.93</v>
      </c>
      <c r="Z43" s="5">
        <v>746912.35</v>
      </c>
      <c r="AA43" s="5">
        <v>1</v>
      </c>
      <c r="AB43" s="5">
        <v>746912.35</v>
      </c>
    </row>
    <row r="44" spans="1:28" ht="12.75">
      <c r="A44" s="5">
        <v>50</v>
      </c>
      <c r="B44" s="5">
        <v>0</v>
      </c>
      <c r="C44" s="5">
        <v>0</v>
      </c>
      <c r="D44" s="5">
        <v>1</v>
      </c>
      <c r="E44" s="5">
        <v>202</v>
      </c>
      <c r="F44" s="5">
        <f>ROUND(Source!P41,O44)</f>
        <v>490999.48</v>
      </c>
      <c r="G44" s="5" t="s">
        <v>78</v>
      </c>
      <c r="H44" s="5" t="s">
        <v>79</v>
      </c>
      <c r="I44" s="5"/>
      <c r="J44" s="5"/>
      <c r="K44" s="5">
        <v>202</v>
      </c>
      <c r="L44" s="5">
        <v>2</v>
      </c>
      <c r="M44" s="5">
        <v>3</v>
      </c>
      <c r="N44" s="5" t="s">
        <v>3</v>
      </c>
      <c r="O44" s="5">
        <v>2</v>
      </c>
      <c r="P44" s="5">
        <f>ROUND(Source!DH41,O44)</f>
        <v>521023.43</v>
      </c>
      <c r="Q44" s="5"/>
      <c r="R44" s="5"/>
      <c r="S44" s="5"/>
      <c r="T44" s="5"/>
      <c r="U44" s="5"/>
      <c r="V44" s="5"/>
      <c r="W44" s="5">
        <v>490999.48</v>
      </c>
      <c r="X44" s="5">
        <v>1</v>
      </c>
      <c r="Y44" s="5">
        <v>490999.48</v>
      </c>
      <c r="Z44" s="5">
        <v>521023.43</v>
      </c>
      <c r="AA44" s="5">
        <v>1</v>
      </c>
      <c r="AB44" s="5">
        <v>521023.43</v>
      </c>
    </row>
    <row r="45" spans="1:28" ht="12.75">
      <c r="A45" s="5">
        <v>50</v>
      </c>
      <c r="B45" s="5">
        <v>0</v>
      </c>
      <c r="C45" s="5">
        <v>0</v>
      </c>
      <c r="D45" s="5">
        <v>1</v>
      </c>
      <c r="E45" s="5">
        <v>222</v>
      </c>
      <c r="F45" s="5">
        <f>ROUND(Source!AO41,O45)</f>
        <v>0</v>
      </c>
      <c r="G45" s="5" t="s">
        <v>80</v>
      </c>
      <c r="H45" s="5" t="s">
        <v>81</v>
      </c>
      <c r="I45" s="5"/>
      <c r="J45" s="5"/>
      <c r="K45" s="5">
        <v>222</v>
      </c>
      <c r="L45" s="5">
        <v>3</v>
      </c>
      <c r="M45" s="5">
        <v>3</v>
      </c>
      <c r="N45" s="5" t="s">
        <v>3</v>
      </c>
      <c r="O45" s="5">
        <v>2</v>
      </c>
      <c r="P45" s="5">
        <f>ROUND(Source!EG41,O45)</f>
        <v>0</v>
      </c>
      <c r="Q45" s="5"/>
      <c r="R45" s="5"/>
      <c r="S45" s="5"/>
      <c r="T45" s="5"/>
      <c r="U45" s="5"/>
      <c r="V45" s="5"/>
      <c r="W45" s="5">
        <v>0</v>
      </c>
      <c r="X45" s="5">
        <v>1</v>
      </c>
      <c r="Y45" s="5">
        <v>0</v>
      </c>
      <c r="Z45" s="5">
        <v>0</v>
      </c>
      <c r="AA45" s="5">
        <v>1</v>
      </c>
      <c r="AB45" s="5">
        <v>0</v>
      </c>
    </row>
    <row r="46" spans="1:28" ht="12.75">
      <c r="A46" s="5">
        <v>50</v>
      </c>
      <c r="B46" s="5">
        <v>0</v>
      </c>
      <c r="C46" s="5">
        <v>0</v>
      </c>
      <c r="D46" s="5">
        <v>1</v>
      </c>
      <c r="E46" s="5">
        <v>225</v>
      </c>
      <c r="F46" s="5">
        <f>ROUND(Source!AV41,O46)</f>
        <v>490999.48</v>
      </c>
      <c r="G46" s="5" t="s">
        <v>82</v>
      </c>
      <c r="H46" s="5" t="s">
        <v>83</v>
      </c>
      <c r="I46" s="5"/>
      <c r="J46" s="5"/>
      <c r="K46" s="5">
        <v>225</v>
      </c>
      <c r="L46" s="5">
        <v>4</v>
      </c>
      <c r="M46" s="5">
        <v>3</v>
      </c>
      <c r="N46" s="5" t="s">
        <v>3</v>
      </c>
      <c r="O46" s="5">
        <v>2</v>
      </c>
      <c r="P46" s="5">
        <f>ROUND(Source!EN41,O46)</f>
        <v>521023.43</v>
      </c>
      <c r="Q46" s="5"/>
      <c r="R46" s="5"/>
      <c r="S46" s="5"/>
      <c r="T46" s="5"/>
      <c r="U46" s="5"/>
      <c r="V46" s="5"/>
      <c r="W46" s="5">
        <v>490999.48</v>
      </c>
      <c r="X46" s="5">
        <v>1</v>
      </c>
      <c r="Y46" s="5">
        <v>490999.48</v>
      </c>
      <c r="Z46" s="5">
        <v>521023.43</v>
      </c>
      <c r="AA46" s="5">
        <v>1</v>
      </c>
      <c r="AB46" s="5">
        <v>521023.43</v>
      </c>
    </row>
    <row r="47" spans="1:28" ht="12.75">
      <c r="A47" s="5">
        <v>50</v>
      </c>
      <c r="B47" s="5">
        <v>0</v>
      </c>
      <c r="C47" s="5">
        <v>0</v>
      </c>
      <c r="D47" s="5">
        <v>1</v>
      </c>
      <c r="E47" s="5">
        <v>226</v>
      </c>
      <c r="F47" s="5">
        <f>ROUND(Source!AW41,O47)</f>
        <v>490999.48</v>
      </c>
      <c r="G47" s="5" t="s">
        <v>84</v>
      </c>
      <c r="H47" s="5" t="s">
        <v>85</v>
      </c>
      <c r="I47" s="5"/>
      <c r="J47" s="5"/>
      <c r="K47" s="5">
        <v>226</v>
      </c>
      <c r="L47" s="5">
        <v>5</v>
      </c>
      <c r="M47" s="5">
        <v>3</v>
      </c>
      <c r="N47" s="5" t="s">
        <v>3</v>
      </c>
      <c r="O47" s="5">
        <v>2</v>
      </c>
      <c r="P47" s="5">
        <f>ROUND(Source!EO41,O47)</f>
        <v>521023.43</v>
      </c>
      <c r="Q47" s="5"/>
      <c r="R47" s="5"/>
      <c r="S47" s="5"/>
      <c r="T47" s="5"/>
      <c r="U47" s="5"/>
      <c r="V47" s="5"/>
      <c r="W47" s="5">
        <v>490999.48</v>
      </c>
      <c r="X47" s="5">
        <v>1</v>
      </c>
      <c r="Y47" s="5">
        <v>490999.48</v>
      </c>
      <c r="Z47" s="5">
        <v>521023.43</v>
      </c>
      <c r="AA47" s="5">
        <v>1</v>
      </c>
      <c r="AB47" s="5">
        <v>521023.43</v>
      </c>
    </row>
    <row r="48" spans="1:28" ht="12.75">
      <c r="A48" s="5">
        <v>50</v>
      </c>
      <c r="B48" s="5">
        <v>0</v>
      </c>
      <c r="C48" s="5">
        <v>0</v>
      </c>
      <c r="D48" s="5">
        <v>1</v>
      </c>
      <c r="E48" s="5">
        <v>227</v>
      </c>
      <c r="F48" s="5">
        <f>ROUND(Source!AX41,O48)</f>
        <v>0</v>
      </c>
      <c r="G48" s="5" t="s">
        <v>86</v>
      </c>
      <c r="H48" s="5" t="s">
        <v>87</v>
      </c>
      <c r="I48" s="5"/>
      <c r="J48" s="5"/>
      <c r="K48" s="5">
        <v>227</v>
      </c>
      <c r="L48" s="5">
        <v>6</v>
      </c>
      <c r="M48" s="5">
        <v>3</v>
      </c>
      <c r="N48" s="5" t="s">
        <v>3</v>
      </c>
      <c r="O48" s="5">
        <v>2</v>
      </c>
      <c r="P48" s="5">
        <f>ROUND(Source!EP41,O48)</f>
        <v>0</v>
      </c>
      <c r="Q48" s="5"/>
      <c r="R48" s="5"/>
      <c r="S48" s="5"/>
      <c r="T48" s="5"/>
      <c r="U48" s="5"/>
      <c r="V48" s="5"/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0</v>
      </c>
    </row>
    <row r="49" spans="1:28" ht="12.75">
      <c r="A49" s="5">
        <v>50</v>
      </c>
      <c r="B49" s="5">
        <v>0</v>
      </c>
      <c r="C49" s="5">
        <v>0</v>
      </c>
      <c r="D49" s="5">
        <v>1</v>
      </c>
      <c r="E49" s="5">
        <v>228</v>
      </c>
      <c r="F49" s="5">
        <f>ROUND(Source!AY41,O49)</f>
        <v>490999.48</v>
      </c>
      <c r="G49" s="5" t="s">
        <v>88</v>
      </c>
      <c r="H49" s="5" t="s">
        <v>89</v>
      </c>
      <c r="I49" s="5"/>
      <c r="J49" s="5"/>
      <c r="K49" s="5">
        <v>228</v>
      </c>
      <c r="L49" s="5">
        <v>7</v>
      </c>
      <c r="M49" s="5">
        <v>3</v>
      </c>
      <c r="N49" s="5" t="s">
        <v>3</v>
      </c>
      <c r="O49" s="5">
        <v>2</v>
      </c>
      <c r="P49" s="5">
        <f>ROUND(Source!EQ41,O49)</f>
        <v>521023.43</v>
      </c>
      <c r="Q49" s="5"/>
      <c r="R49" s="5"/>
      <c r="S49" s="5"/>
      <c r="T49" s="5"/>
      <c r="U49" s="5"/>
      <c r="V49" s="5"/>
      <c r="W49" s="5">
        <v>490999.48</v>
      </c>
      <c r="X49" s="5">
        <v>1</v>
      </c>
      <c r="Y49" s="5">
        <v>490999.48</v>
      </c>
      <c r="Z49" s="5">
        <v>521023.43</v>
      </c>
      <c r="AA49" s="5">
        <v>1</v>
      </c>
      <c r="AB49" s="5">
        <v>521023.43</v>
      </c>
    </row>
    <row r="50" spans="1:28" ht="12.75">
      <c r="A50" s="5">
        <v>50</v>
      </c>
      <c r="B50" s="5">
        <v>0</v>
      </c>
      <c r="C50" s="5">
        <v>0</v>
      </c>
      <c r="D50" s="5">
        <v>1</v>
      </c>
      <c r="E50" s="5">
        <v>216</v>
      </c>
      <c r="F50" s="5">
        <f>ROUND(Source!AP41,O50)</f>
        <v>0</v>
      </c>
      <c r="G50" s="5" t="s">
        <v>90</v>
      </c>
      <c r="H50" s="5" t="s">
        <v>91</v>
      </c>
      <c r="I50" s="5"/>
      <c r="J50" s="5"/>
      <c r="K50" s="5">
        <v>216</v>
      </c>
      <c r="L50" s="5">
        <v>8</v>
      </c>
      <c r="M50" s="5">
        <v>3</v>
      </c>
      <c r="N50" s="5" t="s">
        <v>3</v>
      </c>
      <c r="O50" s="5">
        <v>2</v>
      </c>
      <c r="P50" s="5">
        <f>ROUND(Source!EH41,O50)</f>
        <v>0</v>
      </c>
      <c r="Q50" s="5"/>
      <c r="R50" s="5"/>
      <c r="S50" s="5"/>
      <c r="T50" s="5"/>
      <c r="U50" s="5"/>
      <c r="V50" s="5"/>
      <c r="W50" s="5">
        <v>0</v>
      </c>
      <c r="X50" s="5">
        <v>1</v>
      </c>
      <c r="Y50" s="5">
        <v>0</v>
      </c>
      <c r="Z50" s="5">
        <v>0</v>
      </c>
      <c r="AA50" s="5">
        <v>1</v>
      </c>
      <c r="AB50" s="5">
        <v>0</v>
      </c>
    </row>
    <row r="51" spans="1:28" ht="12.75">
      <c r="A51" s="5">
        <v>50</v>
      </c>
      <c r="B51" s="5">
        <v>0</v>
      </c>
      <c r="C51" s="5">
        <v>0</v>
      </c>
      <c r="D51" s="5">
        <v>1</v>
      </c>
      <c r="E51" s="5">
        <v>223</v>
      </c>
      <c r="F51" s="5">
        <f>ROUND(Source!AQ41,O51)</f>
        <v>0</v>
      </c>
      <c r="G51" s="5" t="s">
        <v>92</v>
      </c>
      <c r="H51" s="5" t="s">
        <v>93</v>
      </c>
      <c r="I51" s="5"/>
      <c r="J51" s="5"/>
      <c r="K51" s="5">
        <v>223</v>
      </c>
      <c r="L51" s="5">
        <v>9</v>
      </c>
      <c r="M51" s="5">
        <v>3</v>
      </c>
      <c r="N51" s="5" t="s">
        <v>3</v>
      </c>
      <c r="O51" s="5">
        <v>2</v>
      </c>
      <c r="P51" s="5">
        <f>ROUND(Source!EI41,O51)</f>
        <v>0</v>
      </c>
      <c r="Q51" s="5"/>
      <c r="R51" s="5"/>
      <c r="S51" s="5"/>
      <c r="T51" s="5"/>
      <c r="U51" s="5"/>
      <c r="V51" s="5"/>
      <c r="W51" s="5">
        <v>0</v>
      </c>
      <c r="X51" s="5">
        <v>1</v>
      </c>
      <c r="Y51" s="5">
        <v>0</v>
      </c>
      <c r="Z51" s="5">
        <v>0</v>
      </c>
      <c r="AA51" s="5">
        <v>1</v>
      </c>
      <c r="AB51" s="5">
        <v>0</v>
      </c>
    </row>
    <row r="52" spans="1:28" ht="12.75">
      <c r="A52" s="5">
        <v>50</v>
      </c>
      <c r="B52" s="5">
        <v>0</v>
      </c>
      <c r="C52" s="5">
        <v>0</v>
      </c>
      <c r="D52" s="5">
        <v>1</v>
      </c>
      <c r="E52" s="5">
        <v>229</v>
      </c>
      <c r="F52" s="5">
        <f>ROUND(Source!AZ41,O52)</f>
        <v>0</v>
      </c>
      <c r="G52" s="5" t="s">
        <v>94</v>
      </c>
      <c r="H52" s="5" t="s">
        <v>95</v>
      </c>
      <c r="I52" s="5"/>
      <c r="J52" s="5"/>
      <c r="K52" s="5">
        <v>229</v>
      </c>
      <c r="L52" s="5">
        <v>10</v>
      </c>
      <c r="M52" s="5">
        <v>3</v>
      </c>
      <c r="N52" s="5" t="s">
        <v>3</v>
      </c>
      <c r="O52" s="5">
        <v>2</v>
      </c>
      <c r="P52" s="5">
        <f>ROUND(Source!ER41,O52)</f>
        <v>0</v>
      </c>
      <c r="Q52" s="5"/>
      <c r="R52" s="5"/>
      <c r="S52" s="5"/>
      <c r="T52" s="5"/>
      <c r="U52" s="5"/>
      <c r="V52" s="5"/>
      <c r="W52" s="5">
        <v>0</v>
      </c>
      <c r="X52" s="5">
        <v>1</v>
      </c>
      <c r="Y52" s="5">
        <v>0</v>
      </c>
      <c r="Z52" s="5">
        <v>0</v>
      </c>
      <c r="AA52" s="5">
        <v>1</v>
      </c>
      <c r="AB52" s="5">
        <v>0</v>
      </c>
    </row>
    <row r="53" spans="1:28" ht="12.75">
      <c r="A53" s="5">
        <v>50</v>
      </c>
      <c r="B53" s="5">
        <v>0</v>
      </c>
      <c r="C53" s="5">
        <v>0</v>
      </c>
      <c r="D53" s="5">
        <v>1</v>
      </c>
      <c r="E53" s="5">
        <v>203</v>
      </c>
      <c r="F53" s="5">
        <f>ROUND(Source!Q41,O53)</f>
        <v>20496.23</v>
      </c>
      <c r="G53" s="5" t="s">
        <v>96</v>
      </c>
      <c r="H53" s="5" t="s">
        <v>97</v>
      </c>
      <c r="I53" s="5"/>
      <c r="J53" s="5"/>
      <c r="K53" s="5">
        <v>203</v>
      </c>
      <c r="L53" s="5">
        <v>11</v>
      </c>
      <c r="M53" s="5">
        <v>3</v>
      </c>
      <c r="N53" s="5" t="s">
        <v>3</v>
      </c>
      <c r="O53" s="5">
        <v>2</v>
      </c>
      <c r="P53" s="5">
        <f>ROUND(Source!DI41,O53)</f>
        <v>162739.68</v>
      </c>
      <c r="Q53" s="5"/>
      <c r="R53" s="5"/>
      <c r="S53" s="5"/>
      <c r="T53" s="5"/>
      <c r="U53" s="5"/>
      <c r="V53" s="5"/>
      <c r="W53" s="5">
        <v>20496.23</v>
      </c>
      <c r="X53" s="5">
        <v>1</v>
      </c>
      <c r="Y53" s="5">
        <v>20496.23</v>
      </c>
      <c r="Z53" s="5">
        <v>162739.68</v>
      </c>
      <c r="AA53" s="5">
        <v>1</v>
      </c>
      <c r="AB53" s="5">
        <v>162739.68</v>
      </c>
    </row>
    <row r="54" spans="1:28" ht="12.75">
      <c r="A54" s="5">
        <v>50</v>
      </c>
      <c r="B54" s="5">
        <v>0</v>
      </c>
      <c r="C54" s="5">
        <v>0</v>
      </c>
      <c r="D54" s="5">
        <v>1</v>
      </c>
      <c r="E54" s="5">
        <v>231</v>
      </c>
      <c r="F54" s="5">
        <f>ROUND(Source!BB41,O54)</f>
        <v>0</v>
      </c>
      <c r="G54" s="5" t="s">
        <v>98</v>
      </c>
      <c r="H54" s="5" t="s">
        <v>99</v>
      </c>
      <c r="I54" s="5"/>
      <c r="J54" s="5"/>
      <c r="K54" s="5">
        <v>231</v>
      </c>
      <c r="L54" s="5">
        <v>12</v>
      </c>
      <c r="M54" s="5">
        <v>3</v>
      </c>
      <c r="N54" s="5" t="s">
        <v>3</v>
      </c>
      <c r="O54" s="5">
        <v>2</v>
      </c>
      <c r="P54" s="5">
        <f>ROUND(Source!ET41,O54)</f>
        <v>0</v>
      </c>
      <c r="Q54" s="5"/>
      <c r="R54" s="5"/>
      <c r="S54" s="5"/>
      <c r="T54" s="5"/>
      <c r="U54" s="5"/>
      <c r="V54" s="5"/>
      <c r="W54" s="5">
        <v>0</v>
      </c>
      <c r="X54" s="5">
        <v>1</v>
      </c>
      <c r="Y54" s="5">
        <v>0</v>
      </c>
      <c r="Z54" s="5">
        <v>0</v>
      </c>
      <c r="AA54" s="5">
        <v>1</v>
      </c>
      <c r="AB54" s="5">
        <v>0</v>
      </c>
    </row>
    <row r="55" spans="1:28" ht="12.75">
      <c r="A55" s="5">
        <v>50</v>
      </c>
      <c r="B55" s="5">
        <v>0</v>
      </c>
      <c r="C55" s="5">
        <v>0</v>
      </c>
      <c r="D55" s="5">
        <v>1</v>
      </c>
      <c r="E55" s="5">
        <v>204</v>
      </c>
      <c r="F55" s="5">
        <f>ROUND(Source!R41,O55)</f>
        <v>1141.61</v>
      </c>
      <c r="G55" s="5" t="s">
        <v>100</v>
      </c>
      <c r="H55" s="5" t="s">
        <v>101</v>
      </c>
      <c r="I55" s="5"/>
      <c r="J55" s="5"/>
      <c r="K55" s="5">
        <v>204</v>
      </c>
      <c r="L55" s="5">
        <v>13</v>
      </c>
      <c r="M55" s="5">
        <v>3</v>
      </c>
      <c r="N55" s="5" t="s">
        <v>3</v>
      </c>
      <c r="O55" s="5">
        <v>2</v>
      </c>
      <c r="P55" s="5">
        <f>ROUND(Source!DJ41,O55)</f>
        <v>43792.35</v>
      </c>
      <c r="Q55" s="5"/>
      <c r="R55" s="5"/>
      <c r="S55" s="5"/>
      <c r="T55" s="5"/>
      <c r="U55" s="5"/>
      <c r="V55" s="5"/>
      <c r="W55" s="5">
        <v>1141.61</v>
      </c>
      <c r="X55" s="5">
        <v>1</v>
      </c>
      <c r="Y55" s="5">
        <v>1141.61</v>
      </c>
      <c r="Z55" s="5">
        <v>43792.34999999999</v>
      </c>
      <c r="AA55" s="5">
        <v>1</v>
      </c>
      <c r="AB55" s="5">
        <v>43792.34999999999</v>
      </c>
    </row>
    <row r="56" spans="1:28" ht="12.75">
      <c r="A56" s="5">
        <v>50</v>
      </c>
      <c r="B56" s="5">
        <v>0</v>
      </c>
      <c r="C56" s="5">
        <v>0</v>
      </c>
      <c r="D56" s="5">
        <v>1</v>
      </c>
      <c r="E56" s="5">
        <v>205</v>
      </c>
      <c r="F56" s="5">
        <f>ROUND(Source!S41,O56)</f>
        <v>1646.22</v>
      </c>
      <c r="G56" s="5" t="s">
        <v>102</v>
      </c>
      <c r="H56" s="5" t="s">
        <v>103</v>
      </c>
      <c r="I56" s="5"/>
      <c r="J56" s="5"/>
      <c r="K56" s="5">
        <v>205</v>
      </c>
      <c r="L56" s="5">
        <v>14</v>
      </c>
      <c r="M56" s="5">
        <v>3</v>
      </c>
      <c r="N56" s="5" t="s">
        <v>3</v>
      </c>
      <c r="O56" s="5">
        <v>2</v>
      </c>
      <c r="P56" s="5">
        <f>ROUND(Source!DK41,O56)</f>
        <v>63149.24</v>
      </c>
      <c r="Q56" s="5"/>
      <c r="R56" s="5"/>
      <c r="S56" s="5"/>
      <c r="T56" s="5"/>
      <c r="U56" s="5"/>
      <c r="V56" s="5"/>
      <c r="W56" s="5">
        <v>1646.22</v>
      </c>
      <c r="X56" s="5">
        <v>1</v>
      </c>
      <c r="Y56" s="5">
        <v>1646.22</v>
      </c>
      <c r="Z56" s="5">
        <v>63149.24</v>
      </c>
      <c r="AA56" s="5">
        <v>1</v>
      </c>
      <c r="AB56" s="5">
        <v>63149.24</v>
      </c>
    </row>
    <row r="57" spans="1:28" ht="12.75">
      <c r="A57" s="5">
        <v>50</v>
      </c>
      <c r="B57" s="5">
        <v>0</v>
      </c>
      <c r="C57" s="5">
        <v>0</v>
      </c>
      <c r="D57" s="5">
        <v>1</v>
      </c>
      <c r="E57" s="5">
        <v>232</v>
      </c>
      <c r="F57" s="5">
        <f>ROUND(Source!BC41,O57)</f>
        <v>0</v>
      </c>
      <c r="G57" s="5" t="s">
        <v>104</v>
      </c>
      <c r="H57" s="5" t="s">
        <v>105</v>
      </c>
      <c r="I57" s="5"/>
      <c r="J57" s="5"/>
      <c r="K57" s="5">
        <v>232</v>
      </c>
      <c r="L57" s="5">
        <v>15</v>
      </c>
      <c r="M57" s="5">
        <v>3</v>
      </c>
      <c r="N57" s="5" t="s">
        <v>3</v>
      </c>
      <c r="O57" s="5">
        <v>2</v>
      </c>
      <c r="P57" s="5">
        <f>ROUND(Source!EU41,O57)</f>
        <v>0</v>
      </c>
      <c r="Q57" s="5"/>
      <c r="R57" s="5"/>
      <c r="S57" s="5"/>
      <c r="T57" s="5"/>
      <c r="U57" s="5"/>
      <c r="V57" s="5"/>
      <c r="W57" s="5">
        <v>0</v>
      </c>
      <c r="X57" s="5">
        <v>1</v>
      </c>
      <c r="Y57" s="5">
        <v>0</v>
      </c>
      <c r="Z57" s="5">
        <v>0</v>
      </c>
      <c r="AA57" s="5">
        <v>1</v>
      </c>
      <c r="AB57" s="5">
        <v>0</v>
      </c>
    </row>
    <row r="58" spans="1:28" ht="12.75">
      <c r="A58" s="5">
        <v>50</v>
      </c>
      <c r="B58" s="5">
        <v>0</v>
      </c>
      <c r="C58" s="5">
        <v>0</v>
      </c>
      <c r="D58" s="5">
        <v>1</v>
      </c>
      <c r="E58" s="5">
        <v>214</v>
      </c>
      <c r="F58" s="5">
        <f>ROUND(Source!AS41,O58)</f>
        <v>517663</v>
      </c>
      <c r="G58" s="5" t="s">
        <v>106</v>
      </c>
      <c r="H58" s="5" t="s">
        <v>107</v>
      </c>
      <c r="I58" s="5"/>
      <c r="J58" s="5"/>
      <c r="K58" s="5">
        <v>214</v>
      </c>
      <c r="L58" s="5">
        <v>16</v>
      </c>
      <c r="M58" s="5">
        <v>3</v>
      </c>
      <c r="N58" s="5" t="s">
        <v>3</v>
      </c>
      <c r="O58" s="5">
        <v>2</v>
      </c>
      <c r="P58" s="5">
        <f>ROUND(Source!EK41,O58)</f>
        <v>920341.31</v>
      </c>
      <c r="Q58" s="5"/>
      <c r="R58" s="5"/>
      <c r="S58" s="5"/>
      <c r="T58" s="5"/>
      <c r="U58" s="5"/>
      <c r="V58" s="5"/>
      <c r="W58" s="5">
        <v>517663</v>
      </c>
      <c r="X58" s="5">
        <v>1</v>
      </c>
      <c r="Y58" s="5">
        <v>517663</v>
      </c>
      <c r="Z58" s="5">
        <v>920341.31</v>
      </c>
      <c r="AA58" s="5">
        <v>1</v>
      </c>
      <c r="AB58" s="5">
        <v>920341.31</v>
      </c>
    </row>
    <row r="59" spans="1:28" ht="12.75">
      <c r="A59" s="5">
        <v>50</v>
      </c>
      <c r="B59" s="5">
        <v>0</v>
      </c>
      <c r="C59" s="5">
        <v>0</v>
      </c>
      <c r="D59" s="5">
        <v>1</v>
      </c>
      <c r="E59" s="5">
        <v>215</v>
      </c>
      <c r="F59" s="5">
        <f>ROUND(Source!AT41,O59)</f>
        <v>0</v>
      </c>
      <c r="G59" s="5" t="s">
        <v>108</v>
      </c>
      <c r="H59" s="5" t="s">
        <v>109</v>
      </c>
      <c r="I59" s="5"/>
      <c r="J59" s="5"/>
      <c r="K59" s="5">
        <v>215</v>
      </c>
      <c r="L59" s="5">
        <v>17</v>
      </c>
      <c r="M59" s="5">
        <v>3</v>
      </c>
      <c r="N59" s="5" t="s">
        <v>3</v>
      </c>
      <c r="O59" s="5">
        <v>2</v>
      </c>
      <c r="P59" s="5">
        <f>ROUND(Source!EL41,O59)</f>
        <v>0</v>
      </c>
      <c r="Q59" s="5"/>
      <c r="R59" s="5"/>
      <c r="S59" s="5"/>
      <c r="T59" s="5"/>
      <c r="U59" s="5"/>
      <c r="V59" s="5"/>
      <c r="W59" s="5">
        <v>0</v>
      </c>
      <c r="X59" s="5">
        <v>1</v>
      </c>
      <c r="Y59" s="5">
        <v>0</v>
      </c>
      <c r="Z59" s="5">
        <v>0</v>
      </c>
      <c r="AA59" s="5">
        <v>1</v>
      </c>
      <c r="AB59" s="5">
        <v>0</v>
      </c>
    </row>
    <row r="60" spans="1:28" ht="12.75">
      <c r="A60" s="5">
        <v>50</v>
      </c>
      <c r="B60" s="5">
        <v>0</v>
      </c>
      <c r="C60" s="5">
        <v>0</v>
      </c>
      <c r="D60" s="5">
        <v>1</v>
      </c>
      <c r="E60" s="5">
        <v>217</v>
      </c>
      <c r="F60" s="5">
        <f>ROUND(Source!AU41,O60)</f>
        <v>0</v>
      </c>
      <c r="G60" s="5" t="s">
        <v>110</v>
      </c>
      <c r="H60" s="5" t="s">
        <v>111</v>
      </c>
      <c r="I60" s="5"/>
      <c r="J60" s="5"/>
      <c r="K60" s="5">
        <v>217</v>
      </c>
      <c r="L60" s="5">
        <v>18</v>
      </c>
      <c r="M60" s="5">
        <v>3</v>
      </c>
      <c r="N60" s="5" t="s">
        <v>3</v>
      </c>
      <c r="O60" s="5">
        <v>2</v>
      </c>
      <c r="P60" s="5">
        <f>ROUND(Source!EM41,O60)</f>
        <v>0</v>
      </c>
      <c r="Q60" s="5"/>
      <c r="R60" s="5"/>
      <c r="S60" s="5"/>
      <c r="T60" s="5"/>
      <c r="U60" s="5"/>
      <c r="V60" s="5"/>
      <c r="W60" s="5">
        <v>0</v>
      </c>
      <c r="X60" s="5">
        <v>1</v>
      </c>
      <c r="Y60" s="5">
        <v>0</v>
      </c>
      <c r="Z60" s="5">
        <v>0</v>
      </c>
      <c r="AA60" s="5">
        <v>1</v>
      </c>
      <c r="AB60" s="5">
        <v>0</v>
      </c>
    </row>
    <row r="61" spans="1:28" ht="12.75">
      <c r="A61" s="5">
        <v>50</v>
      </c>
      <c r="B61" s="5">
        <v>0</v>
      </c>
      <c r="C61" s="5">
        <v>0</v>
      </c>
      <c r="D61" s="5">
        <v>1</v>
      </c>
      <c r="E61" s="5">
        <v>230</v>
      </c>
      <c r="F61" s="5">
        <f>ROUND(Source!BA41,O61)</f>
        <v>0</v>
      </c>
      <c r="G61" s="5" t="s">
        <v>112</v>
      </c>
      <c r="H61" s="5" t="s">
        <v>113</v>
      </c>
      <c r="I61" s="5"/>
      <c r="J61" s="5"/>
      <c r="K61" s="5">
        <v>230</v>
      </c>
      <c r="L61" s="5">
        <v>19</v>
      </c>
      <c r="M61" s="5">
        <v>3</v>
      </c>
      <c r="N61" s="5" t="s">
        <v>3</v>
      </c>
      <c r="O61" s="5">
        <v>2</v>
      </c>
      <c r="P61" s="5">
        <f>ROUND(Source!ES41,O61)</f>
        <v>0</v>
      </c>
      <c r="Q61" s="5"/>
      <c r="R61" s="5"/>
      <c r="S61" s="5"/>
      <c r="T61" s="5"/>
      <c r="U61" s="5"/>
      <c r="V61" s="5"/>
      <c r="W61" s="5">
        <v>0</v>
      </c>
      <c r="X61" s="5">
        <v>1</v>
      </c>
      <c r="Y61" s="5">
        <v>0</v>
      </c>
      <c r="Z61" s="5">
        <v>0</v>
      </c>
      <c r="AA61" s="5">
        <v>1</v>
      </c>
      <c r="AB61" s="5">
        <v>0</v>
      </c>
    </row>
    <row r="62" spans="1:28" ht="12.75">
      <c r="A62" s="5">
        <v>50</v>
      </c>
      <c r="B62" s="5">
        <v>0</v>
      </c>
      <c r="C62" s="5">
        <v>0</v>
      </c>
      <c r="D62" s="5">
        <v>1</v>
      </c>
      <c r="E62" s="5">
        <v>206</v>
      </c>
      <c r="F62" s="5">
        <f>ROUND(Source!T41,O62)</f>
        <v>0</v>
      </c>
      <c r="G62" s="5" t="s">
        <v>114</v>
      </c>
      <c r="H62" s="5" t="s">
        <v>115</v>
      </c>
      <c r="I62" s="5"/>
      <c r="J62" s="5"/>
      <c r="K62" s="5">
        <v>206</v>
      </c>
      <c r="L62" s="5">
        <v>20</v>
      </c>
      <c r="M62" s="5">
        <v>3</v>
      </c>
      <c r="N62" s="5" t="s">
        <v>3</v>
      </c>
      <c r="O62" s="5">
        <v>2</v>
      </c>
      <c r="P62" s="5">
        <f>ROUND(Source!DL41,O62)</f>
        <v>0</v>
      </c>
      <c r="Q62" s="5"/>
      <c r="R62" s="5"/>
      <c r="S62" s="5"/>
      <c r="T62" s="5"/>
      <c r="U62" s="5"/>
      <c r="V62" s="5"/>
      <c r="W62" s="5">
        <v>0</v>
      </c>
      <c r="X62" s="5">
        <v>1</v>
      </c>
      <c r="Y62" s="5">
        <v>0</v>
      </c>
      <c r="Z62" s="5">
        <v>0</v>
      </c>
      <c r="AA62" s="5">
        <v>1</v>
      </c>
      <c r="AB62" s="5">
        <v>0</v>
      </c>
    </row>
    <row r="63" spans="1:28" ht="12.75">
      <c r="A63" s="5">
        <v>50</v>
      </c>
      <c r="B63" s="5">
        <v>0</v>
      </c>
      <c r="C63" s="5">
        <v>0</v>
      </c>
      <c r="D63" s="5">
        <v>1</v>
      </c>
      <c r="E63" s="5">
        <v>207</v>
      </c>
      <c r="F63" s="5">
        <f>Source!U41</f>
        <v>187.643475</v>
      </c>
      <c r="G63" s="5" t="s">
        <v>116</v>
      </c>
      <c r="H63" s="5" t="s">
        <v>117</v>
      </c>
      <c r="I63" s="5"/>
      <c r="J63" s="5"/>
      <c r="K63" s="5">
        <v>207</v>
      </c>
      <c r="L63" s="5">
        <v>21</v>
      </c>
      <c r="M63" s="5">
        <v>3</v>
      </c>
      <c r="N63" s="5" t="s">
        <v>3</v>
      </c>
      <c r="O63" s="5">
        <v>-1</v>
      </c>
      <c r="P63" s="5">
        <f>Source!DM41</f>
        <v>187.643475</v>
      </c>
      <c r="Q63" s="5"/>
      <c r="R63" s="5"/>
      <c r="S63" s="5"/>
      <c r="T63" s="5"/>
      <c r="U63" s="5"/>
      <c r="V63" s="5"/>
      <c r="W63" s="5">
        <v>187.643475</v>
      </c>
      <c r="X63" s="5">
        <v>1</v>
      </c>
      <c r="Y63" s="5">
        <v>187.643475</v>
      </c>
      <c r="Z63" s="5">
        <v>187.643475</v>
      </c>
      <c r="AA63" s="5">
        <v>1</v>
      </c>
      <c r="AB63" s="5">
        <v>187.643475</v>
      </c>
    </row>
    <row r="64" spans="1:28" ht="12.75">
      <c r="A64" s="5">
        <v>50</v>
      </c>
      <c r="B64" s="5">
        <v>0</v>
      </c>
      <c r="C64" s="5">
        <v>0</v>
      </c>
      <c r="D64" s="5">
        <v>1</v>
      </c>
      <c r="E64" s="5">
        <v>208</v>
      </c>
      <c r="F64" s="5">
        <f>Source!V41</f>
        <v>0.896625</v>
      </c>
      <c r="G64" s="5" t="s">
        <v>118</v>
      </c>
      <c r="H64" s="5" t="s">
        <v>119</v>
      </c>
      <c r="I64" s="5"/>
      <c r="J64" s="5"/>
      <c r="K64" s="5">
        <v>208</v>
      </c>
      <c r="L64" s="5">
        <v>22</v>
      </c>
      <c r="M64" s="5">
        <v>3</v>
      </c>
      <c r="N64" s="5" t="s">
        <v>3</v>
      </c>
      <c r="O64" s="5">
        <v>-1</v>
      </c>
      <c r="P64" s="5">
        <f>Source!DN41</f>
        <v>0.896625</v>
      </c>
      <c r="Q64" s="5"/>
      <c r="R64" s="5"/>
      <c r="S64" s="5"/>
      <c r="T64" s="5"/>
      <c r="U64" s="5"/>
      <c r="V64" s="5"/>
      <c r="W64" s="5">
        <v>0.896625</v>
      </c>
      <c r="X64" s="5">
        <v>1</v>
      </c>
      <c r="Y64" s="5">
        <v>0.896625</v>
      </c>
      <c r="Z64" s="5">
        <v>0.896625</v>
      </c>
      <c r="AA64" s="5">
        <v>1</v>
      </c>
      <c r="AB64" s="5">
        <v>0.896625</v>
      </c>
    </row>
    <row r="65" spans="1:28" ht="12.75">
      <c r="A65" s="5">
        <v>50</v>
      </c>
      <c r="B65" s="5">
        <v>0</v>
      </c>
      <c r="C65" s="5">
        <v>0</v>
      </c>
      <c r="D65" s="5">
        <v>1</v>
      </c>
      <c r="E65" s="5">
        <v>209</v>
      </c>
      <c r="F65" s="5">
        <f>ROUND(Source!W41,O65)</f>
        <v>0</v>
      </c>
      <c r="G65" s="5" t="s">
        <v>120</v>
      </c>
      <c r="H65" s="5" t="s">
        <v>121</v>
      </c>
      <c r="I65" s="5"/>
      <c r="J65" s="5"/>
      <c r="K65" s="5">
        <v>209</v>
      </c>
      <c r="L65" s="5">
        <v>23</v>
      </c>
      <c r="M65" s="5">
        <v>3</v>
      </c>
      <c r="N65" s="5" t="s">
        <v>3</v>
      </c>
      <c r="O65" s="5">
        <v>2</v>
      </c>
      <c r="P65" s="5">
        <f>ROUND(Source!DO41,O65)</f>
        <v>0</v>
      </c>
      <c r="Q65" s="5"/>
      <c r="R65" s="5"/>
      <c r="S65" s="5"/>
      <c r="T65" s="5"/>
      <c r="U65" s="5"/>
      <c r="V65" s="5"/>
      <c r="W65" s="5">
        <v>0</v>
      </c>
      <c r="X65" s="5">
        <v>1</v>
      </c>
      <c r="Y65" s="5">
        <v>0</v>
      </c>
      <c r="Z65" s="5">
        <v>0</v>
      </c>
      <c r="AA65" s="5">
        <v>1</v>
      </c>
      <c r="AB65" s="5">
        <v>0</v>
      </c>
    </row>
    <row r="66" spans="1:28" ht="12.75">
      <c r="A66" s="5">
        <v>50</v>
      </c>
      <c r="B66" s="5">
        <v>0</v>
      </c>
      <c r="C66" s="5">
        <v>0</v>
      </c>
      <c r="D66" s="5">
        <v>1</v>
      </c>
      <c r="E66" s="5">
        <v>233</v>
      </c>
      <c r="F66" s="5">
        <f>ROUND(Source!BD41,O66)</f>
        <v>0</v>
      </c>
      <c r="G66" s="5" t="s">
        <v>122</v>
      </c>
      <c r="H66" s="5" t="s">
        <v>123</v>
      </c>
      <c r="I66" s="5"/>
      <c r="J66" s="5"/>
      <c r="K66" s="5">
        <v>233</v>
      </c>
      <c r="L66" s="5">
        <v>24</v>
      </c>
      <c r="M66" s="5">
        <v>3</v>
      </c>
      <c r="N66" s="5" t="s">
        <v>3</v>
      </c>
      <c r="O66" s="5">
        <v>2</v>
      </c>
      <c r="P66" s="5">
        <f>ROUND(Source!EV41,O66)</f>
        <v>0</v>
      </c>
      <c r="Q66" s="5"/>
      <c r="R66" s="5"/>
      <c r="S66" s="5"/>
      <c r="T66" s="5"/>
      <c r="U66" s="5"/>
      <c r="V66" s="5"/>
      <c r="W66" s="5">
        <v>0</v>
      </c>
      <c r="X66" s="5">
        <v>1</v>
      </c>
      <c r="Y66" s="5">
        <v>0</v>
      </c>
      <c r="Z66" s="5">
        <v>0</v>
      </c>
      <c r="AA66" s="5">
        <v>1</v>
      </c>
      <c r="AB66" s="5">
        <v>0</v>
      </c>
    </row>
    <row r="67" spans="1:28" ht="12.75">
      <c r="A67" s="5">
        <v>50</v>
      </c>
      <c r="B67" s="5">
        <v>0</v>
      </c>
      <c r="C67" s="5">
        <v>0</v>
      </c>
      <c r="D67" s="5">
        <v>1</v>
      </c>
      <c r="E67" s="5">
        <v>210</v>
      </c>
      <c r="F67" s="5">
        <f>ROUND(Source!X41,O67)</f>
        <v>2829.21</v>
      </c>
      <c r="G67" s="5" t="s">
        <v>124</v>
      </c>
      <c r="H67" s="5" t="s">
        <v>125</v>
      </c>
      <c r="I67" s="5"/>
      <c r="J67" s="5"/>
      <c r="K67" s="5">
        <v>210</v>
      </c>
      <c r="L67" s="5">
        <v>25</v>
      </c>
      <c r="M67" s="5">
        <v>3</v>
      </c>
      <c r="N67" s="5" t="s">
        <v>3</v>
      </c>
      <c r="O67" s="5">
        <v>2</v>
      </c>
      <c r="P67" s="5">
        <f>ROUND(Source!DP41,O67)</f>
        <v>108528.79</v>
      </c>
      <c r="Q67" s="5"/>
      <c r="R67" s="5"/>
      <c r="S67" s="5"/>
      <c r="T67" s="5"/>
      <c r="U67" s="5"/>
      <c r="V67" s="5"/>
      <c r="W67" s="5">
        <v>2829.21</v>
      </c>
      <c r="X67" s="5">
        <v>1</v>
      </c>
      <c r="Y67" s="5">
        <v>2829.21</v>
      </c>
      <c r="Z67" s="5">
        <v>108528.79</v>
      </c>
      <c r="AA67" s="5">
        <v>1</v>
      </c>
      <c r="AB67" s="5">
        <v>108528.79</v>
      </c>
    </row>
    <row r="68" spans="1:28" ht="12.75">
      <c r="A68" s="5">
        <v>50</v>
      </c>
      <c r="B68" s="5">
        <v>0</v>
      </c>
      <c r="C68" s="5">
        <v>0</v>
      </c>
      <c r="D68" s="5">
        <v>1</v>
      </c>
      <c r="E68" s="5">
        <v>211</v>
      </c>
      <c r="F68" s="5">
        <f>ROUND(Source!Y41,O68)</f>
        <v>1691.86</v>
      </c>
      <c r="G68" s="5" t="s">
        <v>126</v>
      </c>
      <c r="H68" s="5" t="s">
        <v>127</v>
      </c>
      <c r="I68" s="5"/>
      <c r="J68" s="5"/>
      <c r="K68" s="5">
        <v>211</v>
      </c>
      <c r="L68" s="5">
        <v>26</v>
      </c>
      <c r="M68" s="5">
        <v>3</v>
      </c>
      <c r="N68" s="5" t="s">
        <v>3</v>
      </c>
      <c r="O68" s="5">
        <v>2</v>
      </c>
      <c r="P68" s="5">
        <f>ROUND(Source!DQ41,O68)</f>
        <v>64900.17</v>
      </c>
      <c r="Q68" s="5"/>
      <c r="R68" s="5"/>
      <c r="S68" s="5"/>
      <c r="T68" s="5"/>
      <c r="U68" s="5"/>
      <c r="V68" s="5"/>
      <c r="W68" s="5">
        <v>1691.86</v>
      </c>
      <c r="X68" s="5">
        <v>1</v>
      </c>
      <c r="Y68" s="5">
        <v>1691.86</v>
      </c>
      <c r="Z68" s="5">
        <v>64900.17</v>
      </c>
      <c r="AA68" s="5">
        <v>1</v>
      </c>
      <c r="AB68" s="5">
        <v>64900.17</v>
      </c>
    </row>
    <row r="69" spans="1:28" ht="12.75">
      <c r="A69" s="5">
        <v>50</v>
      </c>
      <c r="B69" s="5">
        <v>0</v>
      </c>
      <c r="C69" s="5">
        <v>0</v>
      </c>
      <c r="D69" s="5">
        <v>1</v>
      </c>
      <c r="E69" s="5">
        <v>224</v>
      </c>
      <c r="F69" s="5">
        <f>ROUND(Source!AR41,O69)</f>
        <v>517663</v>
      </c>
      <c r="G69" s="5" t="s">
        <v>128</v>
      </c>
      <c r="H69" s="5" t="s">
        <v>129</v>
      </c>
      <c r="I69" s="5"/>
      <c r="J69" s="5"/>
      <c r="K69" s="5">
        <v>224</v>
      </c>
      <c r="L69" s="5">
        <v>27</v>
      </c>
      <c r="M69" s="5">
        <v>3</v>
      </c>
      <c r="N69" s="5" t="s">
        <v>3</v>
      </c>
      <c r="O69" s="5">
        <v>2</v>
      </c>
      <c r="P69" s="5">
        <f>ROUND(Source!EJ41,O69)</f>
        <v>920341.31</v>
      </c>
      <c r="Q69" s="5"/>
      <c r="R69" s="5"/>
      <c r="S69" s="5"/>
      <c r="T69" s="5"/>
      <c r="U69" s="5"/>
      <c r="V69" s="5"/>
      <c r="W69" s="5">
        <v>517663</v>
      </c>
      <c r="X69" s="5">
        <v>1</v>
      </c>
      <c r="Y69" s="5">
        <v>517663</v>
      </c>
      <c r="Z69" s="5">
        <v>920341.31</v>
      </c>
      <c r="AA69" s="5">
        <v>1</v>
      </c>
      <c r="AB69" s="5">
        <v>920341.31</v>
      </c>
    </row>
    <row r="70" spans="1:28" ht="12.75">
      <c r="A70" s="5">
        <v>50</v>
      </c>
      <c r="B70" s="5">
        <v>1</v>
      </c>
      <c r="C70" s="5">
        <v>0</v>
      </c>
      <c r="D70" s="5">
        <v>2</v>
      </c>
      <c r="E70" s="5">
        <v>0</v>
      </c>
      <c r="F70" s="5">
        <f>ROUND(F69,O70)</f>
        <v>517663</v>
      </c>
      <c r="G70" s="5" t="s">
        <v>130</v>
      </c>
      <c r="H70" s="5" t="s">
        <v>131</v>
      </c>
      <c r="I70" s="5"/>
      <c r="J70" s="5"/>
      <c r="K70" s="5">
        <v>212</v>
      </c>
      <c r="L70" s="5">
        <v>28</v>
      </c>
      <c r="M70" s="5">
        <v>0</v>
      </c>
      <c r="N70" s="5" t="s">
        <v>3</v>
      </c>
      <c r="O70" s="5">
        <v>2</v>
      </c>
      <c r="P70" s="5">
        <f>ROUND(P69,O70)</f>
        <v>920341.31</v>
      </c>
      <c r="Q70" s="5"/>
      <c r="R70" s="5"/>
      <c r="S70" s="5"/>
      <c r="T70" s="5"/>
      <c r="U70" s="5"/>
      <c r="V70" s="5"/>
      <c r="W70" s="5">
        <v>517663</v>
      </c>
      <c r="X70" s="5">
        <v>1</v>
      </c>
      <c r="Y70" s="5">
        <v>517663</v>
      </c>
      <c r="Z70" s="5">
        <v>920341.31</v>
      </c>
      <c r="AA70" s="5">
        <v>1</v>
      </c>
      <c r="AB70" s="5">
        <v>920341.31</v>
      </c>
    </row>
    <row r="72" spans="1:88" ht="12.75">
      <c r="A72" s="1">
        <v>4</v>
      </c>
      <c r="B72" s="1">
        <v>1</v>
      </c>
      <c r="C72" s="1"/>
      <c r="D72" s="1">
        <f>ROW(A83)</f>
        <v>83</v>
      </c>
      <c r="E72" s="1"/>
      <c r="F72" s="1" t="s">
        <v>25</v>
      </c>
      <c r="G72" s="1" t="s">
        <v>132</v>
      </c>
      <c r="H72" s="1" t="s">
        <v>3</v>
      </c>
      <c r="I72" s="1">
        <v>0</v>
      </c>
      <c r="J72" s="1"/>
      <c r="K72" s="1">
        <v>0</v>
      </c>
      <c r="L72" s="1"/>
      <c r="M72" s="1" t="s">
        <v>3</v>
      </c>
      <c r="N72" s="1"/>
      <c r="O72" s="1"/>
      <c r="P72" s="1"/>
      <c r="Q72" s="1"/>
      <c r="R72" s="1"/>
      <c r="S72" s="1">
        <v>0</v>
      </c>
      <c r="T72" s="1">
        <v>0</v>
      </c>
      <c r="U72" s="1" t="s">
        <v>3</v>
      </c>
      <c r="V72" s="1">
        <v>0</v>
      </c>
      <c r="W72" s="1"/>
      <c r="X72" s="1"/>
      <c r="Y72" s="1"/>
      <c r="Z72" s="1"/>
      <c r="AA72" s="1"/>
      <c r="AB72" s="1" t="s">
        <v>3</v>
      </c>
      <c r="AC72" s="1" t="s">
        <v>3</v>
      </c>
      <c r="AD72" s="1" t="s">
        <v>3</v>
      </c>
      <c r="AE72" s="1" t="s">
        <v>3</v>
      </c>
      <c r="AF72" s="1" t="s">
        <v>3</v>
      </c>
      <c r="AG72" s="1" t="s">
        <v>3</v>
      </c>
      <c r="AH72" s="1"/>
      <c r="AI72" s="1"/>
      <c r="AJ72" s="1"/>
      <c r="AK72" s="1"/>
      <c r="AL72" s="1"/>
      <c r="AM72" s="1"/>
      <c r="AN72" s="1"/>
      <c r="AO72" s="1"/>
      <c r="AP72" s="1" t="s">
        <v>3</v>
      </c>
      <c r="AQ72" s="1" t="s">
        <v>3</v>
      </c>
      <c r="AR72" s="1" t="s">
        <v>3</v>
      </c>
      <c r="AS72" s="1"/>
      <c r="AT72" s="1"/>
      <c r="AU72" s="1"/>
      <c r="AV72" s="1"/>
      <c r="AW72" s="1"/>
      <c r="AX72" s="1"/>
      <c r="AY72" s="1"/>
      <c r="AZ72" s="1" t="s">
        <v>3</v>
      </c>
      <c r="BA72" s="1"/>
      <c r="BB72" s="1" t="s">
        <v>3</v>
      </c>
      <c r="BC72" s="1" t="s">
        <v>3</v>
      </c>
      <c r="BD72" s="1" t="s">
        <v>3</v>
      </c>
      <c r="BE72" s="1" t="s">
        <v>3</v>
      </c>
      <c r="BF72" s="1" t="s">
        <v>3</v>
      </c>
      <c r="BG72" s="1" t="s">
        <v>3</v>
      </c>
      <c r="BH72" s="1" t="s">
        <v>3</v>
      </c>
      <c r="BI72" s="1" t="s">
        <v>3</v>
      </c>
      <c r="BJ72" s="1" t="s">
        <v>3</v>
      </c>
      <c r="BK72" s="1" t="s">
        <v>3</v>
      </c>
      <c r="BL72" s="1" t="s">
        <v>3</v>
      </c>
      <c r="BM72" s="1" t="s">
        <v>3</v>
      </c>
      <c r="BN72" s="1" t="s">
        <v>3</v>
      </c>
      <c r="BO72" s="1" t="s">
        <v>3</v>
      </c>
      <c r="BP72" s="1" t="s">
        <v>3</v>
      </c>
      <c r="BQ72" s="1"/>
      <c r="BR72" s="1"/>
      <c r="BS72" s="1"/>
      <c r="BT72" s="1"/>
      <c r="BU72" s="1"/>
      <c r="BV72" s="1"/>
      <c r="BW72" s="1"/>
      <c r="BX72" s="1"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>
        <v>0</v>
      </c>
    </row>
    <row r="74" spans="1:206" ht="12.75">
      <c r="A74" s="3">
        <v>52</v>
      </c>
      <c r="B74" s="3">
        <f aca="true" t="shared" si="65" ref="B74:G74">B83</f>
        <v>1</v>
      </c>
      <c r="C74" s="3">
        <f t="shared" si="65"/>
        <v>4</v>
      </c>
      <c r="D74" s="3">
        <f t="shared" si="65"/>
        <v>72</v>
      </c>
      <c r="E74" s="3">
        <f t="shared" si="65"/>
        <v>0</v>
      </c>
      <c r="F74" s="3" t="str">
        <f t="shared" si="65"/>
        <v>Новый раздел</v>
      </c>
      <c r="G74" s="3" t="str">
        <f t="shared" si="65"/>
        <v>Разные работы</v>
      </c>
      <c r="H74" s="3"/>
      <c r="I74" s="3"/>
      <c r="J74" s="3"/>
      <c r="K74" s="3"/>
      <c r="L74" s="3"/>
      <c r="M74" s="3"/>
      <c r="N74" s="3"/>
      <c r="O74" s="3">
        <f aca="true" t="shared" si="66" ref="O74:AT74">O83</f>
        <v>56.37</v>
      </c>
      <c r="P74" s="3">
        <f t="shared" si="66"/>
        <v>38.83</v>
      </c>
      <c r="Q74" s="3">
        <f t="shared" si="66"/>
        <v>0</v>
      </c>
      <c r="R74" s="3">
        <f t="shared" si="66"/>
        <v>0</v>
      </c>
      <c r="S74" s="3">
        <f t="shared" si="66"/>
        <v>17.54</v>
      </c>
      <c r="T74" s="3">
        <f t="shared" si="66"/>
        <v>0</v>
      </c>
      <c r="U74" s="3">
        <f t="shared" si="66"/>
        <v>2.438422</v>
      </c>
      <c r="V74" s="3">
        <f t="shared" si="66"/>
        <v>0</v>
      </c>
      <c r="W74" s="3">
        <f t="shared" si="66"/>
        <v>0</v>
      </c>
      <c r="X74" s="3">
        <f t="shared" si="66"/>
        <v>16.14</v>
      </c>
      <c r="Y74" s="3">
        <f t="shared" si="66"/>
        <v>7.72</v>
      </c>
      <c r="Z74" s="3">
        <f t="shared" si="66"/>
        <v>0</v>
      </c>
      <c r="AA74" s="3">
        <f t="shared" si="66"/>
        <v>0</v>
      </c>
      <c r="AB74" s="3">
        <f t="shared" si="66"/>
        <v>56.37</v>
      </c>
      <c r="AC74" s="3">
        <f t="shared" si="66"/>
        <v>38.83</v>
      </c>
      <c r="AD74" s="3">
        <f t="shared" si="66"/>
        <v>0</v>
      </c>
      <c r="AE74" s="3">
        <f t="shared" si="66"/>
        <v>0</v>
      </c>
      <c r="AF74" s="3">
        <f t="shared" si="66"/>
        <v>17.54</v>
      </c>
      <c r="AG74" s="3">
        <f t="shared" si="66"/>
        <v>0</v>
      </c>
      <c r="AH74" s="3">
        <f t="shared" si="66"/>
        <v>2.438422</v>
      </c>
      <c r="AI74" s="3">
        <f t="shared" si="66"/>
        <v>0</v>
      </c>
      <c r="AJ74" s="3">
        <f t="shared" si="66"/>
        <v>0</v>
      </c>
      <c r="AK74" s="3">
        <f t="shared" si="66"/>
        <v>16.14</v>
      </c>
      <c r="AL74" s="3">
        <f t="shared" si="66"/>
        <v>7.72</v>
      </c>
      <c r="AM74" s="3">
        <f t="shared" si="66"/>
        <v>0</v>
      </c>
      <c r="AN74" s="3">
        <f t="shared" si="66"/>
        <v>0</v>
      </c>
      <c r="AO74" s="3">
        <f t="shared" si="66"/>
        <v>0</v>
      </c>
      <c r="AP74" s="3">
        <f t="shared" si="66"/>
        <v>0</v>
      </c>
      <c r="AQ74" s="3">
        <f t="shared" si="66"/>
        <v>0</v>
      </c>
      <c r="AR74" s="3">
        <f t="shared" si="66"/>
        <v>291.76</v>
      </c>
      <c r="AS74" s="3">
        <f t="shared" si="66"/>
        <v>291.76</v>
      </c>
      <c r="AT74" s="3">
        <f t="shared" si="66"/>
        <v>0</v>
      </c>
      <c r="AU74" s="3">
        <f aca="true" t="shared" si="67" ref="AU74:BZ74">AU83</f>
        <v>0</v>
      </c>
      <c r="AV74" s="3">
        <f t="shared" si="67"/>
        <v>38.83</v>
      </c>
      <c r="AW74" s="3">
        <f t="shared" si="67"/>
        <v>38.83</v>
      </c>
      <c r="AX74" s="3">
        <f t="shared" si="67"/>
        <v>0</v>
      </c>
      <c r="AY74" s="3">
        <f t="shared" si="67"/>
        <v>38.83</v>
      </c>
      <c r="AZ74" s="3">
        <f t="shared" si="67"/>
        <v>0</v>
      </c>
      <c r="BA74" s="3">
        <f t="shared" si="67"/>
        <v>0</v>
      </c>
      <c r="BB74" s="3">
        <f t="shared" si="67"/>
        <v>0</v>
      </c>
      <c r="BC74" s="3">
        <f t="shared" si="67"/>
        <v>0</v>
      </c>
      <c r="BD74" s="3">
        <f t="shared" si="67"/>
        <v>211.53</v>
      </c>
      <c r="BE74" s="3">
        <f t="shared" si="67"/>
        <v>0</v>
      </c>
      <c r="BF74" s="3">
        <f t="shared" si="67"/>
        <v>0</v>
      </c>
      <c r="BG74" s="3">
        <f t="shared" si="67"/>
        <v>0</v>
      </c>
      <c r="BH74" s="3">
        <f t="shared" si="67"/>
        <v>0</v>
      </c>
      <c r="BI74" s="3">
        <f t="shared" si="67"/>
        <v>0</v>
      </c>
      <c r="BJ74" s="3">
        <f t="shared" si="67"/>
        <v>0</v>
      </c>
      <c r="BK74" s="3">
        <f t="shared" si="67"/>
        <v>0</v>
      </c>
      <c r="BL74" s="3">
        <f t="shared" si="67"/>
        <v>0</v>
      </c>
      <c r="BM74" s="3">
        <f t="shared" si="67"/>
        <v>0</v>
      </c>
      <c r="BN74" s="3">
        <f t="shared" si="67"/>
        <v>0</v>
      </c>
      <c r="BO74" s="3">
        <f t="shared" si="67"/>
        <v>0</v>
      </c>
      <c r="BP74" s="3">
        <f t="shared" si="67"/>
        <v>0</v>
      </c>
      <c r="BQ74" s="3">
        <f t="shared" si="67"/>
        <v>0</v>
      </c>
      <c r="BR74" s="3">
        <f t="shared" si="67"/>
        <v>0</v>
      </c>
      <c r="BS74" s="3">
        <f t="shared" si="67"/>
        <v>0</v>
      </c>
      <c r="BT74" s="3">
        <f t="shared" si="67"/>
        <v>0</v>
      </c>
      <c r="BU74" s="3">
        <f t="shared" si="67"/>
        <v>0</v>
      </c>
      <c r="BV74" s="3">
        <f t="shared" si="67"/>
        <v>0</v>
      </c>
      <c r="BW74" s="3">
        <f t="shared" si="67"/>
        <v>0</v>
      </c>
      <c r="BX74" s="3">
        <f t="shared" si="67"/>
        <v>0</v>
      </c>
      <c r="BY74" s="3">
        <f t="shared" si="67"/>
        <v>0</v>
      </c>
      <c r="BZ74" s="3">
        <f t="shared" si="67"/>
        <v>0</v>
      </c>
      <c r="CA74" s="3">
        <f aca="true" t="shared" si="68" ref="CA74:DF74">CA83</f>
        <v>291.76</v>
      </c>
      <c r="CB74" s="3">
        <f t="shared" si="68"/>
        <v>291.76</v>
      </c>
      <c r="CC74" s="3">
        <f t="shared" si="68"/>
        <v>0</v>
      </c>
      <c r="CD74" s="3">
        <f t="shared" si="68"/>
        <v>0</v>
      </c>
      <c r="CE74" s="3">
        <f t="shared" si="68"/>
        <v>38.83</v>
      </c>
      <c r="CF74" s="3">
        <f t="shared" si="68"/>
        <v>38.83</v>
      </c>
      <c r="CG74" s="3">
        <f t="shared" si="68"/>
        <v>0</v>
      </c>
      <c r="CH74" s="3">
        <f t="shared" si="68"/>
        <v>38.83</v>
      </c>
      <c r="CI74" s="3">
        <f t="shared" si="68"/>
        <v>0</v>
      </c>
      <c r="CJ74" s="3">
        <f t="shared" si="68"/>
        <v>0</v>
      </c>
      <c r="CK74" s="3">
        <f t="shared" si="68"/>
        <v>0</v>
      </c>
      <c r="CL74" s="3">
        <f t="shared" si="68"/>
        <v>0</v>
      </c>
      <c r="CM74" s="3">
        <f t="shared" si="68"/>
        <v>211.53</v>
      </c>
      <c r="CN74" s="3">
        <f t="shared" si="68"/>
        <v>0</v>
      </c>
      <c r="CO74" s="3">
        <f t="shared" si="68"/>
        <v>0</v>
      </c>
      <c r="CP74" s="3">
        <f t="shared" si="68"/>
        <v>0</v>
      </c>
      <c r="CQ74" s="3">
        <f t="shared" si="68"/>
        <v>0</v>
      </c>
      <c r="CR74" s="3">
        <f t="shared" si="68"/>
        <v>0</v>
      </c>
      <c r="CS74" s="3">
        <f t="shared" si="68"/>
        <v>0</v>
      </c>
      <c r="CT74" s="3">
        <f t="shared" si="68"/>
        <v>0</v>
      </c>
      <c r="CU74" s="3">
        <f t="shared" si="68"/>
        <v>0</v>
      </c>
      <c r="CV74" s="3">
        <f t="shared" si="68"/>
        <v>0</v>
      </c>
      <c r="CW74" s="3">
        <f t="shared" si="68"/>
        <v>0</v>
      </c>
      <c r="CX74" s="3">
        <f t="shared" si="68"/>
        <v>0</v>
      </c>
      <c r="CY74" s="3">
        <f t="shared" si="68"/>
        <v>0</v>
      </c>
      <c r="CZ74" s="3">
        <f t="shared" si="68"/>
        <v>0</v>
      </c>
      <c r="DA74" s="3">
        <f t="shared" si="68"/>
        <v>0</v>
      </c>
      <c r="DB74" s="3">
        <f t="shared" si="68"/>
        <v>0</v>
      </c>
      <c r="DC74" s="3">
        <f t="shared" si="68"/>
        <v>0</v>
      </c>
      <c r="DD74" s="3">
        <f t="shared" si="68"/>
        <v>0</v>
      </c>
      <c r="DE74" s="3">
        <f t="shared" si="68"/>
        <v>0</v>
      </c>
      <c r="DF74" s="3">
        <f t="shared" si="68"/>
        <v>0</v>
      </c>
      <c r="DG74" s="4">
        <f aca="true" t="shared" si="69" ref="DG74:EL74">DG83</f>
        <v>955.19</v>
      </c>
      <c r="DH74" s="4">
        <f t="shared" si="69"/>
        <v>282.26</v>
      </c>
      <c r="DI74" s="4">
        <f t="shared" si="69"/>
        <v>0</v>
      </c>
      <c r="DJ74" s="4">
        <f t="shared" si="69"/>
        <v>0</v>
      </c>
      <c r="DK74" s="4">
        <f t="shared" si="69"/>
        <v>672.93</v>
      </c>
      <c r="DL74" s="4">
        <f t="shared" si="69"/>
        <v>0</v>
      </c>
      <c r="DM74" s="4">
        <f t="shared" si="69"/>
        <v>2.438422</v>
      </c>
      <c r="DN74" s="4">
        <f t="shared" si="69"/>
        <v>0</v>
      </c>
      <c r="DO74" s="4">
        <f t="shared" si="69"/>
        <v>0</v>
      </c>
      <c r="DP74" s="4">
        <f t="shared" si="69"/>
        <v>619.1</v>
      </c>
      <c r="DQ74" s="4">
        <f t="shared" si="69"/>
        <v>296.09</v>
      </c>
      <c r="DR74" s="4">
        <f t="shared" si="69"/>
        <v>0</v>
      </c>
      <c r="DS74" s="4">
        <f t="shared" si="69"/>
        <v>0</v>
      </c>
      <c r="DT74" s="4">
        <f t="shared" si="69"/>
        <v>955.19</v>
      </c>
      <c r="DU74" s="4">
        <f t="shared" si="69"/>
        <v>282.26</v>
      </c>
      <c r="DV74" s="4">
        <f t="shared" si="69"/>
        <v>0</v>
      </c>
      <c r="DW74" s="4">
        <f t="shared" si="69"/>
        <v>0</v>
      </c>
      <c r="DX74" s="4">
        <f t="shared" si="69"/>
        <v>672.93</v>
      </c>
      <c r="DY74" s="4">
        <f t="shared" si="69"/>
        <v>0</v>
      </c>
      <c r="DZ74" s="4">
        <f t="shared" si="69"/>
        <v>2.438422</v>
      </c>
      <c r="EA74" s="4">
        <f t="shared" si="69"/>
        <v>0</v>
      </c>
      <c r="EB74" s="4">
        <f t="shared" si="69"/>
        <v>0</v>
      </c>
      <c r="EC74" s="4">
        <f t="shared" si="69"/>
        <v>619.1</v>
      </c>
      <c r="ED74" s="4">
        <f t="shared" si="69"/>
        <v>296.09</v>
      </c>
      <c r="EE74" s="4">
        <f t="shared" si="69"/>
        <v>0</v>
      </c>
      <c r="EF74" s="4">
        <f t="shared" si="69"/>
        <v>0</v>
      </c>
      <c r="EG74" s="4">
        <f t="shared" si="69"/>
        <v>0</v>
      </c>
      <c r="EH74" s="4">
        <f t="shared" si="69"/>
        <v>0</v>
      </c>
      <c r="EI74" s="4">
        <f t="shared" si="69"/>
        <v>0</v>
      </c>
      <c r="EJ74" s="4">
        <f t="shared" si="69"/>
        <v>4458.65</v>
      </c>
      <c r="EK74" s="4">
        <f t="shared" si="69"/>
        <v>4458.65</v>
      </c>
      <c r="EL74" s="4">
        <f t="shared" si="69"/>
        <v>0</v>
      </c>
      <c r="EM74" s="4">
        <f aca="true" t="shared" si="70" ref="EM74:FR74">EM83</f>
        <v>0</v>
      </c>
      <c r="EN74" s="4">
        <f t="shared" si="70"/>
        <v>282.26</v>
      </c>
      <c r="EO74" s="4">
        <f t="shared" si="70"/>
        <v>282.26</v>
      </c>
      <c r="EP74" s="4">
        <f t="shared" si="70"/>
        <v>0</v>
      </c>
      <c r="EQ74" s="4">
        <f t="shared" si="70"/>
        <v>282.26</v>
      </c>
      <c r="ER74" s="4">
        <f t="shared" si="70"/>
        <v>0</v>
      </c>
      <c r="ES74" s="4">
        <f t="shared" si="70"/>
        <v>0</v>
      </c>
      <c r="ET74" s="4">
        <f t="shared" si="70"/>
        <v>0</v>
      </c>
      <c r="EU74" s="4">
        <f t="shared" si="70"/>
        <v>0</v>
      </c>
      <c r="EV74" s="4">
        <f t="shared" si="70"/>
        <v>2588.27</v>
      </c>
      <c r="EW74" s="4">
        <f t="shared" si="70"/>
        <v>0</v>
      </c>
      <c r="EX74" s="4">
        <f t="shared" si="70"/>
        <v>0</v>
      </c>
      <c r="EY74" s="4">
        <f t="shared" si="70"/>
        <v>0</v>
      </c>
      <c r="EZ74" s="4">
        <f t="shared" si="70"/>
        <v>0</v>
      </c>
      <c r="FA74" s="4">
        <f t="shared" si="70"/>
        <v>0</v>
      </c>
      <c r="FB74" s="4">
        <f t="shared" si="70"/>
        <v>0</v>
      </c>
      <c r="FC74" s="4">
        <f t="shared" si="70"/>
        <v>0</v>
      </c>
      <c r="FD74" s="4">
        <f t="shared" si="70"/>
        <v>0</v>
      </c>
      <c r="FE74" s="4">
        <f t="shared" si="70"/>
        <v>0</v>
      </c>
      <c r="FF74" s="4">
        <f t="shared" si="70"/>
        <v>0</v>
      </c>
      <c r="FG74" s="4">
        <f t="shared" si="70"/>
        <v>0</v>
      </c>
      <c r="FH74" s="4">
        <f t="shared" si="70"/>
        <v>0</v>
      </c>
      <c r="FI74" s="4">
        <f t="shared" si="70"/>
        <v>0</v>
      </c>
      <c r="FJ74" s="4">
        <f t="shared" si="70"/>
        <v>0</v>
      </c>
      <c r="FK74" s="4">
        <f t="shared" si="70"/>
        <v>0</v>
      </c>
      <c r="FL74" s="4">
        <f t="shared" si="70"/>
        <v>0</v>
      </c>
      <c r="FM74" s="4">
        <f t="shared" si="70"/>
        <v>0</v>
      </c>
      <c r="FN74" s="4">
        <f t="shared" si="70"/>
        <v>0</v>
      </c>
      <c r="FO74" s="4">
        <f t="shared" si="70"/>
        <v>0</v>
      </c>
      <c r="FP74" s="4">
        <f t="shared" si="70"/>
        <v>0</v>
      </c>
      <c r="FQ74" s="4">
        <f t="shared" si="70"/>
        <v>0</v>
      </c>
      <c r="FR74" s="4">
        <f t="shared" si="70"/>
        <v>0</v>
      </c>
      <c r="FS74" s="4">
        <f aca="true" t="shared" si="71" ref="FS74:GX74">FS83</f>
        <v>4458.65</v>
      </c>
      <c r="FT74" s="4">
        <f t="shared" si="71"/>
        <v>4458.65</v>
      </c>
      <c r="FU74" s="4">
        <f t="shared" si="71"/>
        <v>0</v>
      </c>
      <c r="FV74" s="4">
        <f t="shared" si="71"/>
        <v>0</v>
      </c>
      <c r="FW74" s="4">
        <f t="shared" si="71"/>
        <v>282.26</v>
      </c>
      <c r="FX74" s="4">
        <f t="shared" si="71"/>
        <v>282.26</v>
      </c>
      <c r="FY74" s="4">
        <f t="shared" si="71"/>
        <v>0</v>
      </c>
      <c r="FZ74" s="4">
        <f t="shared" si="71"/>
        <v>282.26</v>
      </c>
      <c r="GA74" s="4">
        <f t="shared" si="71"/>
        <v>0</v>
      </c>
      <c r="GB74" s="4">
        <f t="shared" si="71"/>
        <v>0</v>
      </c>
      <c r="GC74" s="4">
        <f t="shared" si="71"/>
        <v>0</v>
      </c>
      <c r="GD74" s="4">
        <f t="shared" si="71"/>
        <v>0</v>
      </c>
      <c r="GE74" s="4">
        <f t="shared" si="71"/>
        <v>2588.27</v>
      </c>
      <c r="GF74" s="4">
        <f t="shared" si="71"/>
        <v>0</v>
      </c>
      <c r="GG74" s="4">
        <f t="shared" si="71"/>
        <v>0</v>
      </c>
      <c r="GH74" s="4">
        <f t="shared" si="71"/>
        <v>0</v>
      </c>
      <c r="GI74" s="4">
        <f t="shared" si="71"/>
        <v>0</v>
      </c>
      <c r="GJ74" s="4">
        <f t="shared" si="71"/>
        <v>0</v>
      </c>
      <c r="GK74" s="4">
        <f t="shared" si="71"/>
        <v>0</v>
      </c>
      <c r="GL74" s="4">
        <f t="shared" si="71"/>
        <v>0</v>
      </c>
      <c r="GM74" s="4">
        <f t="shared" si="71"/>
        <v>0</v>
      </c>
      <c r="GN74" s="4">
        <f t="shared" si="71"/>
        <v>0</v>
      </c>
      <c r="GO74" s="4">
        <f t="shared" si="71"/>
        <v>0</v>
      </c>
      <c r="GP74" s="4">
        <f t="shared" si="71"/>
        <v>0</v>
      </c>
      <c r="GQ74" s="4">
        <f t="shared" si="71"/>
        <v>0</v>
      </c>
      <c r="GR74" s="4">
        <f t="shared" si="71"/>
        <v>0</v>
      </c>
      <c r="GS74" s="4">
        <f t="shared" si="71"/>
        <v>0</v>
      </c>
      <c r="GT74" s="4">
        <f t="shared" si="71"/>
        <v>0</v>
      </c>
      <c r="GU74" s="4">
        <f t="shared" si="71"/>
        <v>0</v>
      </c>
      <c r="GV74" s="4">
        <f t="shared" si="71"/>
        <v>0</v>
      </c>
      <c r="GW74" s="4">
        <f t="shared" si="71"/>
        <v>0</v>
      </c>
      <c r="GX74" s="4">
        <f t="shared" si="71"/>
        <v>0</v>
      </c>
    </row>
    <row r="76" spans="1:255" ht="12.75">
      <c r="A76" s="2">
        <v>17</v>
      </c>
      <c r="B76" s="2">
        <v>1</v>
      </c>
      <c r="C76" s="2">
        <f>ROW(SmtRes!A32)</f>
        <v>32</v>
      </c>
      <c r="D76" s="2">
        <f>ROW(EtalonRes!A34)</f>
        <v>34</v>
      </c>
      <c r="E76" s="2" t="s">
        <v>133</v>
      </c>
      <c r="F76" s="2" t="s">
        <v>134</v>
      </c>
      <c r="G76" s="2" t="s">
        <v>135</v>
      </c>
      <c r="H76" s="2" t="s">
        <v>51</v>
      </c>
      <c r="I76" s="2">
        <v>2.3674</v>
      </c>
      <c r="J76" s="2">
        <v>0</v>
      </c>
      <c r="K76" s="2">
        <v>2.3674</v>
      </c>
      <c r="L76" s="2"/>
      <c r="M76" s="2"/>
      <c r="N76" s="2"/>
      <c r="O76" s="2">
        <f>ROUND(CP76,2)</f>
        <v>56.37</v>
      </c>
      <c r="P76" s="2">
        <f>ROUND(CQ76*I76,2)</f>
        <v>38.83</v>
      </c>
      <c r="Q76" s="2">
        <f>ROUND(CR76*I76,2)</f>
        <v>0</v>
      </c>
      <c r="R76" s="2">
        <f>ROUND(CS76*I76,2)</f>
        <v>0</v>
      </c>
      <c r="S76" s="2">
        <f>ROUND(CT76*I76,2)</f>
        <v>17.54</v>
      </c>
      <c r="T76" s="2">
        <f>ROUND(CU76*I76,2)</f>
        <v>0</v>
      </c>
      <c r="U76" s="2">
        <f>CV76*I76</f>
        <v>2.438422</v>
      </c>
      <c r="V76" s="2">
        <f>CW76*I76</f>
        <v>0</v>
      </c>
      <c r="W76" s="2">
        <f>ROUND(CX76*I76,2)</f>
        <v>0</v>
      </c>
      <c r="X76" s="2">
        <f>ROUND(CY76,2)</f>
        <v>16.14</v>
      </c>
      <c r="Y76" s="2">
        <f>ROUND(CZ76,2)</f>
        <v>7.72</v>
      </c>
      <c r="Z76" s="2"/>
      <c r="AA76" s="2">
        <v>55115741</v>
      </c>
      <c r="AB76" s="2">
        <f>ROUND((AC76+AD76+AF76),6)</f>
        <v>23.81</v>
      </c>
      <c r="AC76" s="2">
        <f>ROUND((ES76),6)</f>
        <v>16.4</v>
      </c>
      <c r="AD76" s="2">
        <f>ROUND((((ET76)-(EU76))+AE76),6)</f>
        <v>0</v>
      </c>
      <c r="AE76" s="2">
        <f>ROUND((EU76),6)</f>
        <v>0</v>
      </c>
      <c r="AF76" s="2">
        <f>ROUND((EV76),6)</f>
        <v>7.41</v>
      </c>
      <c r="AG76" s="2">
        <f>ROUND((AP76),6)</f>
        <v>0</v>
      </c>
      <c r="AH76" s="2">
        <f>(EW76)</f>
        <v>1.03</v>
      </c>
      <c r="AI76" s="2">
        <f>(EX76)</f>
        <v>0</v>
      </c>
      <c r="AJ76" s="2">
        <f>(AS76)</f>
        <v>0</v>
      </c>
      <c r="AK76" s="2">
        <v>23.81</v>
      </c>
      <c r="AL76" s="2">
        <v>16.4</v>
      </c>
      <c r="AM76" s="2">
        <v>0</v>
      </c>
      <c r="AN76" s="2">
        <v>0</v>
      </c>
      <c r="AO76" s="2">
        <v>7.41</v>
      </c>
      <c r="AP76" s="2">
        <v>0</v>
      </c>
      <c r="AQ76" s="2">
        <v>1.03</v>
      </c>
      <c r="AR76" s="2">
        <v>0</v>
      </c>
      <c r="AS76" s="2">
        <v>0</v>
      </c>
      <c r="AT76" s="2">
        <v>92</v>
      </c>
      <c r="AU76" s="2">
        <v>44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136</v>
      </c>
      <c r="BK76" s="2"/>
      <c r="BL76" s="2"/>
      <c r="BM76" s="2">
        <v>69001</v>
      </c>
      <c r="BN76" s="2">
        <v>0</v>
      </c>
      <c r="BO76" s="2" t="s">
        <v>3</v>
      </c>
      <c r="BP76" s="2">
        <v>0</v>
      </c>
      <c r="BQ76" s="2">
        <v>6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92</v>
      </c>
      <c r="CA76" s="2">
        <v>44</v>
      </c>
      <c r="CB76" s="2" t="s">
        <v>3</v>
      </c>
      <c r="CC76" s="2"/>
      <c r="CD76" s="2"/>
      <c r="CE76" s="2">
        <v>0</v>
      </c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>(P76+Q76+S76)</f>
        <v>56.37</v>
      </c>
      <c r="CQ76" s="2">
        <f>AC76*BC76</f>
        <v>16.4</v>
      </c>
      <c r="CR76" s="2">
        <f>AD76*BB76</f>
        <v>0</v>
      </c>
      <c r="CS76" s="2">
        <f>AE76*BS76</f>
        <v>0</v>
      </c>
      <c r="CT76" s="2">
        <f>AF76*BA76</f>
        <v>7.41</v>
      </c>
      <c r="CU76" s="2">
        <f aca="true" t="shared" si="72" ref="CU76:CX77">AG76</f>
        <v>0</v>
      </c>
      <c r="CV76" s="2">
        <f t="shared" si="72"/>
        <v>1.03</v>
      </c>
      <c r="CW76" s="2">
        <f t="shared" si="72"/>
        <v>0</v>
      </c>
      <c r="CX76" s="2">
        <f t="shared" si="72"/>
        <v>0</v>
      </c>
      <c r="CY76" s="2">
        <f>(((S76+R76)*AT76)/100)</f>
        <v>16.136799999999997</v>
      </c>
      <c r="CZ76" s="2">
        <f>(((S76+R76)*AU76)/100)</f>
        <v>7.7176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51</v>
      </c>
      <c r="DW76" s="2" t="s">
        <v>51</v>
      </c>
      <c r="DX76" s="2">
        <v>1000</v>
      </c>
      <c r="DY76" s="2"/>
      <c r="DZ76" s="2" t="s">
        <v>3</v>
      </c>
      <c r="EA76" s="2" t="s">
        <v>3</v>
      </c>
      <c r="EB76" s="2" t="s">
        <v>3</v>
      </c>
      <c r="EC76" s="2" t="s">
        <v>3</v>
      </c>
      <c r="ED76" s="2"/>
      <c r="EE76" s="2">
        <v>53470375</v>
      </c>
      <c r="EF76" s="2">
        <v>6</v>
      </c>
      <c r="EG76" s="2" t="s">
        <v>32</v>
      </c>
      <c r="EH76" s="2">
        <v>103</v>
      </c>
      <c r="EI76" s="2" t="s">
        <v>137</v>
      </c>
      <c r="EJ76" s="2">
        <v>1</v>
      </c>
      <c r="EK76" s="2">
        <v>69001</v>
      </c>
      <c r="EL76" s="2" t="s">
        <v>137</v>
      </c>
      <c r="EM76" s="2" t="s">
        <v>138</v>
      </c>
      <c r="EN76" s="2"/>
      <c r="EO76" s="2" t="s">
        <v>3</v>
      </c>
      <c r="EP76" s="2"/>
      <c r="EQ76" s="2">
        <v>0</v>
      </c>
      <c r="ER76" s="2">
        <v>23.81</v>
      </c>
      <c r="ES76" s="2">
        <v>16.4</v>
      </c>
      <c r="ET76" s="2">
        <v>0</v>
      </c>
      <c r="EU76" s="2">
        <v>0</v>
      </c>
      <c r="EV76" s="2">
        <v>7.41</v>
      </c>
      <c r="EW76" s="2">
        <v>1.03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aca="true" t="shared" si="73" ref="FR76:FR81">ROUND(IF(AND(BH76=3,BI76=3),P76,0),2)</f>
        <v>0</v>
      </c>
      <c r="FS76" s="2">
        <v>0</v>
      </c>
      <c r="FT76" s="2"/>
      <c r="FU76" s="2"/>
      <c r="FV76" s="2"/>
      <c r="FW76" s="2"/>
      <c r="FX76" s="2">
        <v>92</v>
      </c>
      <c r="FY76" s="2">
        <v>44</v>
      </c>
      <c r="FZ76" s="2"/>
      <c r="GA76" s="2" t="s">
        <v>3</v>
      </c>
      <c r="GB76" s="2"/>
      <c r="GC76" s="2"/>
      <c r="GD76" s="2">
        <v>1</v>
      </c>
      <c r="GE76" s="2"/>
      <c r="GF76" s="2">
        <v>-1160313074</v>
      </c>
      <c r="GG76" s="2">
        <v>2</v>
      </c>
      <c r="GH76" s="2">
        <v>1</v>
      </c>
      <c r="GI76" s="2">
        <v>-2</v>
      </c>
      <c r="GJ76" s="2">
        <v>0</v>
      </c>
      <c r="GK76" s="2">
        <v>0</v>
      </c>
      <c r="GL76" s="2">
        <f aca="true" t="shared" si="74" ref="GL76:GL81">ROUND(IF(AND(BH76=3,BI76=3,FS76&lt;&gt;0),P76,0),2)</f>
        <v>0</v>
      </c>
      <c r="GM76" s="2">
        <f>ROUND(O76+X76+Y76,2)+GX76</f>
        <v>80.23</v>
      </c>
      <c r="GN76" s="2">
        <f>IF(OR(BI76=0,BI76=1),ROUND(O76+X76+Y76,2),0)</f>
        <v>80.23</v>
      </c>
      <c r="GO76" s="2">
        <f>IF(BI76=2,ROUND(O76+X76+Y76,2),0)</f>
        <v>0</v>
      </c>
      <c r="GP76" s="2">
        <f>IF(BI76=4,ROUND(O76+X76+Y76,2)+GX76,0)</f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>ROUND((GT76),6)</f>
        <v>0</v>
      </c>
      <c r="GW76" s="2">
        <v>1</v>
      </c>
      <c r="GX76" s="2">
        <f>ROUND(HC76*I76,2)</f>
        <v>0</v>
      </c>
      <c r="GY76" s="2"/>
      <c r="GZ76" s="2"/>
      <c r="HA76" s="2">
        <v>0</v>
      </c>
      <c r="HB76" s="2">
        <v>0</v>
      </c>
      <c r="HC76" s="2">
        <f>GV76*GW76</f>
        <v>0</v>
      </c>
      <c r="HD76" s="2"/>
      <c r="HE76" s="2" t="s">
        <v>3</v>
      </c>
      <c r="HF76" s="2" t="s">
        <v>3</v>
      </c>
      <c r="HG76" s="2"/>
      <c r="HH76" s="2"/>
      <c r="HI76" s="2"/>
      <c r="HJ76" s="2"/>
      <c r="HK76" s="2"/>
      <c r="HL76" s="2"/>
      <c r="HM76" s="2" t="s">
        <v>3</v>
      </c>
      <c r="HN76" s="2" t="s">
        <v>139</v>
      </c>
      <c r="HO76" s="2" t="s">
        <v>140</v>
      </c>
      <c r="HP76" s="2" t="s">
        <v>137</v>
      </c>
      <c r="HQ76" s="2" t="s">
        <v>137</v>
      </c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45" ht="12.75">
      <c r="A77">
        <v>17</v>
      </c>
      <c r="B77">
        <v>1</v>
      </c>
      <c r="C77">
        <f>ROW(SmtRes!A34)</f>
        <v>34</v>
      </c>
      <c r="D77">
        <f>ROW(EtalonRes!A36)</f>
        <v>36</v>
      </c>
      <c r="E77" t="s">
        <v>133</v>
      </c>
      <c r="F77" t="s">
        <v>134</v>
      </c>
      <c r="G77" t="s">
        <v>135</v>
      </c>
      <c r="H77" t="s">
        <v>51</v>
      </c>
      <c r="I77">
        <v>2.3674</v>
      </c>
      <c r="J77">
        <v>0</v>
      </c>
      <c r="K77">
        <v>2.3674</v>
      </c>
      <c r="O77">
        <f>ROUND(CP77,2)</f>
        <v>955.19</v>
      </c>
      <c r="P77">
        <f>ROUND(CQ77*I77,2)</f>
        <v>282.26</v>
      </c>
      <c r="Q77">
        <f>ROUND(CR77*I77,2)</f>
        <v>0</v>
      </c>
      <c r="R77">
        <f>ROUND(CS77*I77,2)</f>
        <v>0</v>
      </c>
      <c r="S77">
        <f>ROUND(CT77*I77,2)</f>
        <v>672.93</v>
      </c>
      <c r="T77">
        <f>ROUND(CU77*I77,2)</f>
        <v>0</v>
      </c>
      <c r="U77">
        <f>CV77*I77</f>
        <v>2.438422</v>
      </c>
      <c r="V77">
        <f>CW77*I77</f>
        <v>0</v>
      </c>
      <c r="W77">
        <f>ROUND(CX77*I77,2)</f>
        <v>0</v>
      </c>
      <c r="X77">
        <f>ROUND(CY77,2)</f>
        <v>619.1</v>
      </c>
      <c r="Y77">
        <f>ROUND(CZ77,2)</f>
        <v>296.09</v>
      </c>
      <c r="AA77">
        <v>55115742</v>
      </c>
      <c r="AB77">
        <f>ROUND((AC77+AD77+AF77),6)</f>
        <v>23.81</v>
      </c>
      <c r="AC77">
        <f>ROUND((ES77),6)</f>
        <v>16.4</v>
      </c>
      <c r="AD77">
        <f>ROUND((((ET77)-(EU77))+AE77),6)</f>
        <v>0</v>
      </c>
      <c r="AE77">
        <f>ROUND((EU77),6)</f>
        <v>0</v>
      </c>
      <c r="AF77">
        <f>ROUND((EV77),6)</f>
        <v>7.41</v>
      </c>
      <c r="AG77">
        <f>ROUND((AP77),6)</f>
        <v>0</v>
      </c>
      <c r="AH77">
        <f>(EW77)</f>
        <v>1.03</v>
      </c>
      <c r="AI77">
        <f>(EX77)</f>
        <v>0</v>
      </c>
      <c r="AJ77">
        <f>(AS77)</f>
        <v>0</v>
      </c>
      <c r="AK77">
        <v>23.81</v>
      </c>
      <c r="AL77">
        <v>16.4</v>
      </c>
      <c r="AM77">
        <v>0</v>
      </c>
      <c r="AN77">
        <v>0</v>
      </c>
      <c r="AO77">
        <v>7.41</v>
      </c>
      <c r="AP77">
        <v>0</v>
      </c>
      <c r="AQ77">
        <v>1.03</v>
      </c>
      <c r="AR77">
        <v>0</v>
      </c>
      <c r="AS77">
        <v>0</v>
      </c>
      <c r="AT77">
        <v>92</v>
      </c>
      <c r="AU77">
        <v>44</v>
      </c>
      <c r="AV77">
        <v>1</v>
      </c>
      <c r="AW77">
        <v>1</v>
      </c>
      <c r="AZ77">
        <v>1</v>
      </c>
      <c r="BA77">
        <v>38.36</v>
      </c>
      <c r="BB77">
        <v>1</v>
      </c>
      <c r="BC77">
        <v>7.27</v>
      </c>
      <c r="BH77">
        <v>0</v>
      </c>
      <c r="BI77">
        <v>1</v>
      </c>
      <c r="BJ77" t="s">
        <v>136</v>
      </c>
      <c r="BM77">
        <v>69001</v>
      </c>
      <c r="BN77">
        <v>0</v>
      </c>
      <c r="BO77" t="s">
        <v>134</v>
      </c>
      <c r="BP77">
        <v>1</v>
      </c>
      <c r="BQ77">
        <v>6</v>
      </c>
      <c r="BR77">
        <v>0</v>
      </c>
      <c r="BS77">
        <v>38.36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92</v>
      </c>
      <c r="CA77">
        <v>44</v>
      </c>
      <c r="CE77">
        <v>0</v>
      </c>
      <c r="CF77">
        <v>0</v>
      </c>
      <c r="CG77">
        <v>0</v>
      </c>
      <c r="CM77">
        <v>0</v>
      </c>
      <c r="CO77">
        <v>0</v>
      </c>
      <c r="CP77">
        <f>(P77+Q77+S77)</f>
        <v>955.1899999999999</v>
      </c>
      <c r="CQ77">
        <f>AC77*BC77</f>
        <v>119.22799999999998</v>
      </c>
      <c r="CR77">
        <f>AD77*BB77</f>
        <v>0</v>
      </c>
      <c r="CS77">
        <f>AE77*BS77</f>
        <v>0</v>
      </c>
      <c r="CT77">
        <f>AF77*BA77</f>
        <v>284.2476</v>
      </c>
      <c r="CU77">
        <f t="shared" si="72"/>
        <v>0</v>
      </c>
      <c r="CV77">
        <f t="shared" si="72"/>
        <v>1.03</v>
      </c>
      <c r="CW77">
        <f t="shared" si="72"/>
        <v>0</v>
      </c>
      <c r="CX77">
        <f t="shared" si="72"/>
        <v>0</v>
      </c>
      <c r="CY77">
        <f>(((S77+R77)*AT77)/100)</f>
        <v>619.0956</v>
      </c>
      <c r="CZ77">
        <f>(((S77+R77)*AU77)/100)</f>
        <v>296.0892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51</v>
      </c>
      <c r="DW77" t="s">
        <v>51</v>
      </c>
      <c r="DX77">
        <v>1000</v>
      </c>
      <c r="EE77">
        <v>53470375</v>
      </c>
      <c r="EF77">
        <v>6</v>
      </c>
      <c r="EG77" t="s">
        <v>32</v>
      </c>
      <c r="EH77">
        <v>103</v>
      </c>
      <c r="EI77" t="s">
        <v>137</v>
      </c>
      <c r="EJ77">
        <v>1</v>
      </c>
      <c r="EK77">
        <v>69001</v>
      </c>
      <c r="EL77" t="s">
        <v>137</v>
      </c>
      <c r="EM77" t="s">
        <v>138</v>
      </c>
      <c r="EQ77">
        <v>0</v>
      </c>
      <c r="ER77">
        <v>23.81</v>
      </c>
      <c r="ES77">
        <v>16.4</v>
      </c>
      <c r="ET77">
        <v>0</v>
      </c>
      <c r="EU77">
        <v>0</v>
      </c>
      <c r="EV77">
        <v>7.41</v>
      </c>
      <c r="EW77">
        <v>1.03</v>
      </c>
      <c r="EX77">
        <v>0</v>
      </c>
      <c r="EY77">
        <v>0</v>
      </c>
      <c r="FQ77">
        <v>0</v>
      </c>
      <c r="FR77">
        <f t="shared" si="73"/>
        <v>0</v>
      </c>
      <c r="FS77">
        <v>0</v>
      </c>
      <c r="FX77">
        <v>92</v>
      </c>
      <c r="FY77">
        <v>44</v>
      </c>
      <c r="GD77">
        <v>1</v>
      </c>
      <c r="GF77">
        <v>-1160313074</v>
      </c>
      <c r="GG77">
        <v>2</v>
      </c>
      <c r="GH77">
        <v>1</v>
      </c>
      <c r="GI77">
        <v>2</v>
      </c>
      <c r="GJ77">
        <v>0</v>
      </c>
      <c r="GK77">
        <v>0</v>
      </c>
      <c r="GL77">
        <f t="shared" si="74"/>
        <v>0</v>
      </c>
      <c r="GM77">
        <f>ROUND(O77+X77+Y77,2)+GX77</f>
        <v>1870.38</v>
      </c>
      <c r="GN77">
        <f>IF(OR(BI77=0,BI77=1),ROUND(O77+X77+Y77,2),0)</f>
        <v>1870.38</v>
      </c>
      <c r="GO77">
        <f>IF(BI77=2,ROUND(O77+X77+Y77,2),0)</f>
        <v>0</v>
      </c>
      <c r="GP77">
        <f>IF(BI77=4,ROUND(O77+X77+Y77,2)+GX77,0)</f>
        <v>0</v>
      </c>
      <c r="GR77">
        <v>0</v>
      </c>
      <c r="GS77">
        <v>0</v>
      </c>
      <c r="GT77">
        <v>0</v>
      </c>
      <c r="GV77">
        <f>ROUND((GT77),6)</f>
        <v>0</v>
      </c>
      <c r="GW77">
        <v>1</v>
      </c>
      <c r="GX77">
        <f>ROUND(HC77*I77,2)</f>
        <v>0</v>
      </c>
      <c r="HA77">
        <v>0</v>
      </c>
      <c r="HB77">
        <v>0</v>
      </c>
      <c r="HC77">
        <f>GV77*GW77</f>
        <v>0</v>
      </c>
      <c r="HN77" t="s">
        <v>139</v>
      </c>
      <c r="HO77" t="s">
        <v>140</v>
      </c>
      <c r="HP77" t="s">
        <v>137</v>
      </c>
      <c r="HQ77" t="s">
        <v>137</v>
      </c>
      <c r="IK77">
        <v>0</v>
      </c>
    </row>
    <row r="78" spans="1:255" ht="12.75">
      <c r="A78" s="2">
        <v>17</v>
      </c>
      <c r="B78" s="2">
        <v>1</v>
      </c>
      <c r="C78" s="2">
        <f>ROW(SmtRes!A36)</f>
        <v>36</v>
      </c>
      <c r="D78" s="2"/>
      <c r="E78" s="2" t="s">
        <v>141</v>
      </c>
      <c r="F78" s="2" t="s">
        <v>142</v>
      </c>
      <c r="G78" s="2" t="s">
        <v>143</v>
      </c>
      <c r="H78" s="2" t="s">
        <v>144</v>
      </c>
      <c r="I78" s="2">
        <v>2.3674</v>
      </c>
      <c r="J78" s="2">
        <v>0</v>
      </c>
      <c r="K78" s="2">
        <v>2.3674</v>
      </c>
      <c r="L78" s="2"/>
      <c r="M78" s="2"/>
      <c r="N78" s="2"/>
      <c r="O78" s="2">
        <f>0</f>
        <v>0</v>
      </c>
      <c r="P78" s="2">
        <f>0</f>
        <v>0</v>
      </c>
      <c r="Q78" s="2">
        <f>0</f>
        <v>0</v>
      </c>
      <c r="R78" s="2">
        <f>0</f>
        <v>0</v>
      </c>
      <c r="S78" s="2">
        <f>0</f>
        <v>0</v>
      </c>
      <c r="T78" s="2">
        <f>0</f>
        <v>0</v>
      </c>
      <c r="U78" s="2">
        <f>0</f>
        <v>0</v>
      </c>
      <c r="V78" s="2">
        <f>0</f>
        <v>0</v>
      </c>
      <c r="W78" s="2">
        <f>0</f>
        <v>0</v>
      </c>
      <c r="X78" s="2">
        <f>0</f>
        <v>0</v>
      </c>
      <c r="Y78" s="2">
        <f>0</f>
        <v>0</v>
      </c>
      <c r="Z78" s="2"/>
      <c r="AA78" s="2">
        <v>55115741</v>
      </c>
      <c r="AB78" s="2">
        <f>ROUND((AK78),6)</f>
        <v>42.98</v>
      </c>
      <c r="AC78" s="2">
        <f>0</f>
        <v>0</v>
      </c>
      <c r="AD78" s="2">
        <f>0</f>
        <v>0</v>
      </c>
      <c r="AE78" s="2">
        <f>0</f>
        <v>0</v>
      </c>
      <c r="AF78" s="2">
        <f>0</f>
        <v>0</v>
      </c>
      <c r="AG78" s="2">
        <f>0</f>
        <v>0</v>
      </c>
      <c r="AH78" s="2">
        <f>0</f>
        <v>0</v>
      </c>
      <c r="AI78" s="2">
        <f>0</f>
        <v>0</v>
      </c>
      <c r="AJ78" s="2">
        <f>0</f>
        <v>0</v>
      </c>
      <c r="AK78" s="2">
        <v>42.98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145</v>
      </c>
      <c r="BK78" s="2"/>
      <c r="BL78" s="2"/>
      <c r="BM78" s="2">
        <v>700004</v>
      </c>
      <c r="BN78" s="2">
        <v>0</v>
      </c>
      <c r="BO78" s="2" t="s">
        <v>3</v>
      </c>
      <c r="BP78" s="2">
        <v>0</v>
      </c>
      <c r="BQ78" s="2">
        <v>19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 t="s">
        <v>3</v>
      </c>
      <c r="CC78" s="2"/>
      <c r="CD78" s="2"/>
      <c r="CE78" s="2">
        <v>0</v>
      </c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>AB78*AZ78</f>
        <v>42.98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1013</v>
      </c>
      <c r="DV78" s="2" t="s">
        <v>144</v>
      </c>
      <c r="DW78" s="2" t="s">
        <v>144</v>
      </c>
      <c r="DX78" s="2">
        <v>1</v>
      </c>
      <c r="DY78" s="2"/>
      <c r="DZ78" s="2" t="s">
        <v>3</v>
      </c>
      <c r="EA78" s="2" t="s">
        <v>3</v>
      </c>
      <c r="EB78" s="2" t="s">
        <v>3</v>
      </c>
      <c r="EC78" s="2" t="s">
        <v>3</v>
      </c>
      <c r="ED78" s="2"/>
      <c r="EE78" s="2">
        <v>53470585</v>
      </c>
      <c r="EF78" s="2">
        <v>19</v>
      </c>
      <c r="EG78" s="2" t="s">
        <v>146</v>
      </c>
      <c r="EH78" s="2">
        <v>106</v>
      </c>
      <c r="EI78" s="2" t="s">
        <v>146</v>
      </c>
      <c r="EJ78" s="2">
        <v>1</v>
      </c>
      <c r="EK78" s="2">
        <v>700004</v>
      </c>
      <c r="EL78" s="2" t="s">
        <v>146</v>
      </c>
      <c r="EM78" s="2" t="s">
        <v>147</v>
      </c>
      <c r="EN78" s="2"/>
      <c r="EO78" s="2" t="s">
        <v>3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73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3</v>
      </c>
      <c r="GB78" s="2"/>
      <c r="GC78" s="2"/>
      <c r="GD78" s="2">
        <v>1</v>
      </c>
      <c r="GE78" s="2"/>
      <c r="GF78" s="2">
        <v>-441336689</v>
      </c>
      <c r="GG78" s="2">
        <v>2</v>
      </c>
      <c r="GH78" s="2">
        <v>1</v>
      </c>
      <c r="GI78" s="2">
        <v>-2</v>
      </c>
      <c r="GJ78" s="2">
        <v>2</v>
      </c>
      <c r="GK78" s="2">
        <v>0</v>
      </c>
      <c r="GL78" s="2">
        <f t="shared" si="74"/>
        <v>0</v>
      </c>
      <c r="GM78" s="2">
        <f>ROUND(CP78*I78,2)</f>
        <v>101.75</v>
      </c>
      <c r="GN78" s="2">
        <f>IF(OR(BI78=0,BI78=1),ROUND(CP78*I78,2),0)</f>
        <v>101.75</v>
      </c>
      <c r="GO78" s="2">
        <f>IF(BI78=2,ROUND(CP78*I78,2),0)</f>
        <v>0</v>
      </c>
      <c r="GP78" s="2">
        <f>IF(BI78=4,ROUND(CP78*I78,2)+GX78,0)</f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>0</f>
        <v>0</v>
      </c>
      <c r="GW78" s="2">
        <v>1</v>
      </c>
      <c r="GX78" s="2">
        <f>0</f>
        <v>0</v>
      </c>
      <c r="GY78" s="2"/>
      <c r="GZ78" s="2"/>
      <c r="HA78" s="2">
        <v>0</v>
      </c>
      <c r="HB78" s="2">
        <v>0</v>
      </c>
      <c r="HC78" s="2">
        <v>0</v>
      </c>
      <c r="HD78" s="2">
        <f>GM78</f>
        <v>101.75</v>
      </c>
      <c r="HE78" s="2" t="s">
        <v>3</v>
      </c>
      <c r="HF78" s="2" t="s">
        <v>3</v>
      </c>
      <c r="HG78" s="2"/>
      <c r="HH78" s="2"/>
      <c r="HI78" s="2"/>
      <c r="HJ78" s="2"/>
      <c r="HK78" s="2"/>
      <c r="HL78" s="2"/>
      <c r="HM78" s="2" t="s">
        <v>3</v>
      </c>
      <c r="HN78" s="2" t="s">
        <v>3</v>
      </c>
      <c r="HO78" s="2" t="s">
        <v>3</v>
      </c>
      <c r="HP78" s="2" t="s">
        <v>3</v>
      </c>
      <c r="HQ78" s="2" t="s">
        <v>3</v>
      </c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45" ht="12.75">
      <c r="A79">
        <v>17</v>
      </c>
      <c r="B79">
        <v>1</v>
      </c>
      <c r="C79">
        <f>ROW(SmtRes!A38)</f>
        <v>38</v>
      </c>
      <c r="E79" t="s">
        <v>141</v>
      </c>
      <c r="F79" t="s">
        <v>142</v>
      </c>
      <c r="G79" t="s">
        <v>143</v>
      </c>
      <c r="H79" t="s">
        <v>144</v>
      </c>
      <c r="I79">
        <v>2.3674</v>
      </c>
      <c r="J79">
        <v>0</v>
      </c>
      <c r="K79">
        <v>2.3674</v>
      </c>
      <c r="O79">
        <f>0</f>
        <v>0</v>
      </c>
      <c r="P79">
        <f>0</f>
        <v>0</v>
      </c>
      <c r="Q79">
        <f>0</f>
        <v>0</v>
      </c>
      <c r="R79">
        <f>0</f>
        <v>0</v>
      </c>
      <c r="S79">
        <f>0</f>
        <v>0</v>
      </c>
      <c r="T79">
        <f>0</f>
        <v>0</v>
      </c>
      <c r="U79">
        <f>0</f>
        <v>0</v>
      </c>
      <c r="V79">
        <f>0</f>
        <v>0</v>
      </c>
      <c r="W79">
        <f>0</f>
        <v>0</v>
      </c>
      <c r="X79">
        <f>0</f>
        <v>0</v>
      </c>
      <c r="Y79">
        <f>0</f>
        <v>0</v>
      </c>
      <c r="AA79">
        <v>55115742</v>
      </c>
      <c r="AB79">
        <f>ROUND((AK79),6)</f>
        <v>42.98</v>
      </c>
      <c r="AC79">
        <f>0</f>
        <v>0</v>
      </c>
      <c r="AD79">
        <f>0</f>
        <v>0</v>
      </c>
      <c r="AE79">
        <f>0</f>
        <v>0</v>
      </c>
      <c r="AF79">
        <f>0</f>
        <v>0</v>
      </c>
      <c r="AG79">
        <f>0</f>
        <v>0</v>
      </c>
      <c r="AH79">
        <f>0</f>
        <v>0</v>
      </c>
      <c r="AI79">
        <f>0</f>
        <v>0</v>
      </c>
      <c r="AJ79">
        <f>0</f>
        <v>0</v>
      </c>
      <c r="AK79">
        <v>42.98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14.12</v>
      </c>
      <c r="BA79">
        <v>1</v>
      </c>
      <c r="BB79">
        <v>1</v>
      </c>
      <c r="BC79">
        <v>1</v>
      </c>
      <c r="BH79">
        <v>0</v>
      </c>
      <c r="BI79">
        <v>1</v>
      </c>
      <c r="BJ79" t="s">
        <v>145</v>
      </c>
      <c r="BM79">
        <v>700004</v>
      </c>
      <c r="BN79">
        <v>0</v>
      </c>
      <c r="BO79" t="s">
        <v>142</v>
      </c>
      <c r="BP79">
        <v>1</v>
      </c>
      <c r="BQ79">
        <v>19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0</v>
      </c>
      <c r="CA79">
        <v>0</v>
      </c>
      <c r="CE79">
        <v>0</v>
      </c>
      <c r="CF79">
        <v>0</v>
      </c>
      <c r="CG79">
        <v>0</v>
      </c>
      <c r="CM79">
        <v>0</v>
      </c>
      <c r="CO79">
        <v>0</v>
      </c>
      <c r="CP79">
        <f>AB79*AZ79</f>
        <v>606.8775999999999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144</v>
      </c>
      <c r="DW79" t="s">
        <v>144</v>
      </c>
      <c r="DX79">
        <v>1</v>
      </c>
      <c r="EE79">
        <v>53470585</v>
      </c>
      <c r="EF79">
        <v>19</v>
      </c>
      <c r="EG79" t="s">
        <v>146</v>
      </c>
      <c r="EH79">
        <v>106</v>
      </c>
      <c r="EI79" t="s">
        <v>146</v>
      </c>
      <c r="EJ79">
        <v>1</v>
      </c>
      <c r="EK79">
        <v>700004</v>
      </c>
      <c r="EL79" t="s">
        <v>146</v>
      </c>
      <c r="EM79" t="s">
        <v>147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73"/>
        <v>0</v>
      </c>
      <c r="FS79">
        <v>0</v>
      </c>
      <c r="FX79">
        <v>0</v>
      </c>
      <c r="FY79">
        <v>0</v>
      </c>
      <c r="GD79">
        <v>1</v>
      </c>
      <c r="GF79">
        <v>-441336689</v>
      </c>
      <c r="GG79">
        <v>2</v>
      </c>
      <c r="GH79">
        <v>1</v>
      </c>
      <c r="GI79">
        <v>2</v>
      </c>
      <c r="GJ79">
        <v>2</v>
      </c>
      <c r="GK79">
        <v>0</v>
      </c>
      <c r="GL79">
        <f t="shared" si="74"/>
        <v>0</v>
      </c>
      <c r="GM79">
        <f>ROUND(CP79*I79,2)</f>
        <v>1436.72</v>
      </c>
      <c r="GN79">
        <f>IF(OR(BI79=0,BI79=1),ROUND(CP79*I79,2),0)</f>
        <v>1436.72</v>
      </c>
      <c r="GO79">
        <f>IF(BI79=2,ROUND(CP79*I79,2),0)</f>
        <v>0</v>
      </c>
      <c r="GP79">
        <f>IF(BI79=4,ROUND(CP79*I79,2)+GX79,0)</f>
        <v>0</v>
      </c>
      <c r="GR79">
        <v>0</v>
      </c>
      <c r="GS79">
        <v>0</v>
      </c>
      <c r="GT79">
        <v>0</v>
      </c>
      <c r="GV79">
        <f>0</f>
        <v>0</v>
      </c>
      <c r="GW79">
        <v>1</v>
      </c>
      <c r="GX79">
        <f>0</f>
        <v>0</v>
      </c>
      <c r="HA79">
        <v>0</v>
      </c>
      <c r="HB79">
        <v>0</v>
      </c>
      <c r="HC79">
        <v>0</v>
      </c>
      <c r="HD79">
        <f>GM79</f>
        <v>1436.72</v>
      </c>
      <c r="IK79">
        <v>0</v>
      </c>
    </row>
    <row r="80" spans="1:255" ht="12.75">
      <c r="A80" s="2">
        <v>17</v>
      </c>
      <c r="B80" s="2">
        <v>1</v>
      </c>
      <c r="C80" s="2"/>
      <c r="D80" s="2"/>
      <c r="E80" s="2" t="s">
        <v>148</v>
      </c>
      <c r="F80" s="2" t="s">
        <v>149</v>
      </c>
      <c r="G80" s="2" t="s">
        <v>150</v>
      </c>
      <c r="H80" s="2" t="s">
        <v>144</v>
      </c>
      <c r="I80" s="2">
        <v>2.3674</v>
      </c>
      <c r="J80" s="2">
        <v>0</v>
      </c>
      <c r="K80" s="2">
        <v>2.3674</v>
      </c>
      <c r="L80" s="2"/>
      <c r="M80" s="2"/>
      <c r="N80" s="2"/>
      <c r="O80" s="2">
        <f>0</f>
        <v>0</v>
      </c>
      <c r="P80" s="2">
        <f>0</f>
        <v>0</v>
      </c>
      <c r="Q80" s="2">
        <f>0</f>
        <v>0</v>
      </c>
      <c r="R80" s="2">
        <f>0</f>
        <v>0</v>
      </c>
      <c r="S80" s="2">
        <f>0</f>
        <v>0</v>
      </c>
      <c r="T80" s="2">
        <f>0</f>
        <v>0</v>
      </c>
      <c r="U80" s="2">
        <f>0</f>
        <v>0</v>
      </c>
      <c r="V80" s="2">
        <f>0</f>
        <v>0</v>
      </c>
      <c r="W80" s="2">
        <f>0</f>
        <v>0</v>
      </c>
      <c r="X80" s="2">
        <f>0</f>
        <v>0</v>
      </c>
      <c r="Y80" s="2">
        <f>0</f>
        <v>0</v>
      </c>
      <c r="Z80" s="2"/>
      <c r="AA80" s="2">
        <v>55115741</v>
      </c>
      <c r="AB80" s="2">
        <f>ROUND((AK80),6)</f>
        <v>46.37</v>
      </c>
      <c r="AC80" s="2">
        <f>0</f>
        <v>0</v>
      </c>
      <c r="AD80" s="2">
        <f>0</f>
        <v>0</v>
      </c>
      <c r="AE80" s="2">
        <f>0</f>
        <v>0</v>
      </c>
      <c r="AF80" s="2">
        <f>0</f>
        <v>0</v>
      </c>
      <c r="AG80" s="2">
        <f>0</f>
        <v>0</v>
      </c>
      <c r="AH80" s="2">
        <f>0</f>
        <v>0</v>
      </c>
      <c r="AI80" s="2">
        <f>0</f>
        <v>0</v>
      </c>
      <c r="AJ80" s="2">
        <f>0</f>
        <v>0</v>
      </c>
      <c r="AK80" s="2">
        <v>46.37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0</v>
      </c>
      <c r="BI80" s="2">
        <v>1</v>
      </c>
      <c r="BJ80" s="2" t="s">
        <v>151</v>
      </c>
      <c r="BK80" s="2"/>
      <c r="BL80" s="2"/>
      <c r="BM80" s="2">
        <v>700005</v>
      </c>
      <c r="BN80" s="2">
        <v>0</v>
      </c>
      <c r="BO80" s="2" t="s">
        <v>3</v>
      </c>
      <c r="BP80" s="2">
        <v>0</v>
      </c>
      <c r="BQ80" s="2">
        <v>10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 t="s">
        <v>3</v>
      </c>
      <c r="CC80" s="2"/>
      <c r="CD80" s="2"/>
      <c r="CE80" s="2">
        <v>0</v>
      </c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>AB80*AZ80</f>
        <v>46.37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1013</v>
      </c>
      <c r="DV80" s="2" t="s">
        <v>144</v>
      </c>
      <c r="DW80" s="2" t="s">
        <v>144</v>
      </c>
      <c r="DX80" s="2">
        <v>1</v>
      </c>
      <c r="DY80" s="2"/>
      <c r="DZ80" s="2" t="s">
        <v>3</v>
      </c>
      <c r="EA80" s="2" t="s">
        <v>3</v>
      </c>
      <c r="EB80" s="2" t="s">
        <v>3</v>
      </c>
      <c r="EC80" s="2" t="s">
        <v>3</v>
      </c>
      <c r="ED80" s="2"/>
      <c r="EE80" s="2">
        <v>53470586</v>
      </c>
      <c r="EF80" s="2">
        <v>10</v>
      </c>
      <c r="EG80" s="2" t="s">
        <v>152</v>
      </c>
      <c r="EH80" s="2">
        <v>107</v>
      </c>
      <c r="EI80" s="2" t="s">
        <v>153</v>
      </c>
      <c r="EJ80" s="2">
        <v>1</v>
      </c>
      <c r="EK80" s="2">
        <v>700005</v>
      </c>
      <c r="EL80" s="2" t="s">
        <v>153</v>
      </c>
      <c r="EM80" s="2" t="s">
        <v>154</v>
      </c>
      <c r="EN80" s="2"/>
      <c r="EO80" s="2" t="s">
        <v>3</v>
      </c>
      <c r="EP80" s="2"/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73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3</v>
      </c>
      <c r="GB80" s="2"/>
      <c r="GC80" s="2"/>
      <c r="GD80" s="2">
        <v>1</v>
      </c>
      <c r="GE80" s="2"/>
      <c r="GF80" s="2">
        <v>343111974</v>
      </c>
      <c r="GG80" s="2">
        <v>2</v>
      </c>
      <c r="GH80" s="2">
        <v>1</v>
      </c>
      <c r="GI80" s="2">
        <v>-2</v>
      </c>
      <c r="GJ80" s="2">
        <v>2</v>
      </c>
      <c r="GK80" s="2">
        <v>0</v>
      </c>
      <c r="GL80" s="2">
        <f t="shared" si="74"/>
        <v>0</v>
      </c>
      <c r="GM80" s="2">
        <f>ROUND(CP80*I80,2)</f>
        <v>109.78</v>
      </c>
      <c r="GN80" s="2">
        <f>IF(OR(BI80=0,BI80=1),ROUND(CP80*I80,2),0)</f>
        <v>109.78</v>
      </c>
      <c r="GO80" s="2">
        <f>IF(BI80=2,ROUND(CP80*I80,2),0)</f>
        <v>0</v>
      </c>
      <c r="GP80" s="2">
        <f>IF(BI80=4,ROUND(CP80*I80,2)+GX80,0)</f>
        <v>0</v>
      </c>
      <c r="GQ80" s="2"/>
      <c r="GR80" s="2">
        <v>0</v>
      </c>
      <c r="GS80" s="2">
        <v>3</v>
      </c>
      <c r="GT80" s="2">
        <v>0</v>
      </c>
      <c r="GU80" s="2" t="s">
        <v>3</v>
      </c>
      <c r="GV80" s="2">
        <f>0</f>
        <v>0</v>
      </c>
      <c r="GW80" s="2">
        <v>1</v>
      </c>
      <c r="GX80" s="2">
        <f>0</f>
        <v>0</v>
      </c>
      <c r="GY80" s="2"/>
      <c r="GZ80" s="2"/>
      <c r="HA80" s="2">
        <v>0</v>
      </c>
      <c r="HB80" s="2">
        <v>0</v>
      </c>
      <c r="HC80" s="2">
        <v>0</v>
      </c>
      <c r="HD80" s="2">
        <f>GM80</f>
        <v>109.78</v>
      </c>
      <c r="HE80" s="2" t="s">
        <v>3</v>
      </c>
      <c r="HF80" s="2" t="s">
        <v>3</v>
      </c>
      <c r="HG80" s="2"/>
      <c r="HH80" s="2"/>
      <c r="HI80" s="2"/>
      <c r="HJ80" s="2"/>
      <c r="HK80" s="2"/>
      <c r="HL80" s="2"/>
      <c r="HM80" s="2" t="s">
        <v>3</v>
      </c>
      <c r="HN80" s="2" t="s">
        <v>3</v>
      </c>
      <c r="HO80" s="2" t="s">
        <v>3</v>
      </c>
      <c r="HP80" s="2" t="s">
        <v>3</v>
      </c>
      <c r="HQ80" s="2" t="s">
        <v>3</v>
      </c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45" ht="12.75">
      <c r="A81">
        <v>17</v>
      </c>
      <c r="B81">
        <v>1</v>
      </c>
      <c r="E81" t="s">
        <v>148</v>
      </c>
      <c r="F81" t="s">
        <v>149</v>
      </c>
      <c r="G81" t="s">
        <v>150</v>
      </c>
      <c r="H81" t="s">
        <v>144</v>
      </c>
      <c r="I81">
        <v>2.3674</v>
      </c>
      <c r="J81">
        <v>0</v>
      </c>
      <c r="K81">
        <v>2.3674</v>
      </c>
      <c r="O81">
        <f>0</f>
        <v>0</v>
      </c>
      <c r="P81">
        <f>0</f>
        <v>0</v>
      </c>
      <c r="Q81">
        <f>0</f>
        <v>0</v>
      </c>
      <c r="R81">
        <f>0</f>
        <v>0</v>
      </c>
      <c r="S81">
        <f>0</f>
        <v>0</v>
      </c>
      <c r="T81">
        <f>0</f>
        <v>0</v>
      </c>
      <c r="U81">
        <f>0</f>
        <v>0</v>
      </c>
      <c r="V81">
        <f>0</f>
        <v>0</v>
      </c>
      <c r="W81">
        <f>0</f>
        <v>0</v>
      </c>
      <c r="X81">
        <f>0</f>
        <v>0</v>
      </c>
      <c r="Y81">
        <f>0</f>
        <v>0</v>
      </c>
      <c r="AA81">
        <v>55115742</v>
      </c>
      <c r="AB81">
        <f>ROUND((AK81),6)</f>
        <v>46.37</v>
      </c>
      <c r="AC81">
        <f>0</f>
        <v>0</v>
      </c>
      <c r="AD81">
        <f>0</f>
        <v>0</v>
      </c>
      <c r="AE81">
        <f>0</f>
        <v>0</v>
      </c>
      <c r="AF81">
        <f>0</f>
        <v>0</v>
      </c>
      <c r="AG81">
        <f>0</f>
        <v>0</v>
      </c>
      <c r="AH81">
        <f>0</f>
        <v>0</v>
      </c>
      <c r="AI81">
        <f>0</f>
        <v>0</v>
      </c>
      <c r="AJ81">
        <f>0</f>
        <v>0</v>
      </c>
      <c r="AK81">
        <v>46.37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10.49</v>
      </c>
      <c r="BA81">
        <v>1</v>
      </c>
      <c r="BB81">
        <v>1</v>
      </c>
      <c r="BC81">
        <v>1</v>
      </c>
      <c r="BH81">
        <v>0</v>
      </c>
      <c r="BI81">
        <v>1</v>
      </c>
      <c r="BJ81" t="s">
        <v>151</v>
      </c>
      <c r="BM81">
        <v>700005</v>
      </c>
      <c r="BN81">
        <v>0</v>
      </c>
      <c r="BO81" t="s">
        <v>149</v>
      </c>
      <c r="BP81">
        <v>1</v>
      </c>
      <c r="BQ81">
        <v>10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0</v>
      </c>
      <c r="CA81">
        <v>0</v>
      </c>
      <c r="CE81">
        <v>0</v>
      </c>
      <c r="CF81">
        <v>0</v>
      </c>
      <c r="CG81">
        <v>0</v>
      </c>
      <c r="CM81">
        <v>0</v>
      </c>
      <c r="CO81">
        <v>0</v>
      </c>
      <c r="CP81">
        <f>AB81*AZ81</f>
        <v>486.4213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N81">
        <v>0</v>
      </c>
      <c r="DO81">
        <v>0</v>
      </c>
      <c r="DP81">
        <v>1</v>
      </c>
      <c r="DQ81">
        <v>1</v>
      </c>
      <c r="DU81">
        <v>1013</v>
      </c>
      <c r="DV81" t="s">
        <v>144</v>
      </c>
      <c r="DW81" t="s">
        <v>144</v>
      </c>
      <c r="DX81">
        <v>1</v>
      </c>
      <c r="EE81">
        <v>53470586</v>
      </c>
      <c r="EF81">
        <v>10</v>
      </c>
      <c r="EG81" t="s">
        <v>152</v>
      </c>
      <c r="EH81">
        <v>107</v>
      </c>
      <c r="EI81" t="s">
        <v>153</v>
      </c>
      <c r="EJ81">
        <v>1</v>
      </c>
      <c r="EK81">
        <v>700005</v>
      </c>
      <c r="EL81" t="s">
        <v>153</v>
      </c>
      <c r="EM81" t="s">
        <v>154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FQ81">
        <v>0</v>
      </c>
      <c r="FR81">
        <f t="shared" si="73"/>
        <v>0</v>
      </c>
      <c r="FS81">
        <v>0</v>
      </c>
      <c r="FX81">
        <v>0</v>
      </c>
      <c r="FY81">
        <v>0</v>
      </c>
      <c r="GD81">
        <v>1</v>
      </c>
      <c r="GF81">
        <v>343111974</v>
      </c>
      <c r="GG81">
        <v>2</v>
      </c>
      <c r="GH81">
        <v>1</v>
      </c>
      <c r="GI81">
        <v>2</v>
      </c>
      <c r="GJ81">
        <v>2</v>
      </c>
      <c r="GK81">
        <v>0</v>
      </c>
      <c r="GL81">
        <f t="shared" si="74"/>
        <v>0</v>
      </c>
      <c r="GM81">
        <f>ROUND(CP81*I81,2)</f>
        <v>1151.55</v>
      </c>
      <c r="GN81">
        <f>IF(OR(BI81=0,BI81=1),ROUND(CP81*I81,2),0)</f>
        <v>1151.55</v>
      </c>
      <c r="GO81">
        <f>IF(BI81=2,ROUND(CP81*I81,2),0)</f>
        <v>0</v>
      </c>
      <c r="GP81">
        <f>IF(BI81=4,ROUND(CP81*I81,2)+GX81,0)</f>
        <v>0</v>
      </c>
      <c r="GR81">
        <v>0</v>
      </c>
      <c r="GS81">
        <v>3</v>
      </c>
      <c r="GT81">
        <v>0</v>
      </c>
      <c r="GV81">
        <f>0</f>
        <v>0</v>
      </c>
      <c r="GW81">
        <v>1</v>
      </c>
      <c r="GX81">
        <f>0</f>
        <v>0</v>
      </c>
      <c r="HA81">
        <v>0</v>
      </c>
      <c r="HB81">
        <v>0</v>
      </c>
      <c r="HC81">
        <v>0</v>
      </c>
      <c r="HD81">
        <f>GM81</f>
        <v>1151.55</v>
      </c>
      <c r="IK81">
        <v>0</v>
      </c>
    </row>
    <row r="83" spans="1:206" ht="12.75">
      <c r="A83" s="3">
        <v>51</v>
      </c>
      <c r="B83" s="3">
        <f>B72</f>
        <v>1</v>
      </c>
      <c r="C83" s="3">
        <f>A72</f>
        <v>4</v>
      </c>
      <c r="D83" s="3">
        <f>ROW(A72)</f>
        <v>72</v>
      </c>
      <c r="E83" s="3"/>
      <c r="F83" s="3" t="str">
        <f>IF(F72&lt;&gt;"",F72,"")</f>
        <v>Новый раздел</v>
      </c>
      <c r="G83" s="3" t="str">
        <f>IF(G72&lt;&gt;"",G72,"")</f>
        <v>Разные работы</v>
      </c>
      <c r="H83" s="3">
        <v>0</v>
      </c>
      <c r="I83" s="3"/>
      <c r="J83" s="3"/>
      <c r="K83" s="3"/>
      <c r="L83" s="3"/>
      <c r="M83" s="3"/>
      <c r="N83" s="3"/>
      <c r="O83" s="3">
        <f aca="true" t="shared" si="75" ref="O83:T83">ROUND(AB83,2)</f>
        <v>56.37</v>
      </c>
      <c r="P83" s="3">
        <f t="shared" si="75"/>
        <v>38.83</v>
      </c>
      <c r="Q83" s="3">
        <f t="shared" si="75"/>
        <v>0</v>
      </c>
      <c r="R83" s="3">
        <f t="shared" si="75"/>
        <v>0</v>
      </c>
      <c r="S83" s="3">
        <f t="shared" si="75"/>
        <v>17.54</v>
      </c>
      <c r="T83" s="3">
        <f t="shared" si="75"/>
        <v>0</v>
      </c>
      <c r="U83" s="3">
        <f>AH83</f>
        <v>2.438422</v>
      </c>
      <c r="V83" s="3">
        <f>AI83</f>
        <v>0</v>
      </c>
      <c r="W83" s="3">
        <f>ROUND(AJ83,2)</f>
        <v>0</v>
      </c>
      <c r="X83" s="3">
        <f>ROUND(AK83,2)</f>
        <v>16.14</v>
      </c>
      <c r="Y83" s="3">
        <f>ROUND(AL83,2)</f>
        <v>7.72</v>
      </c>
      <c r="Z83" s="3"/>
      <c r="AA83" s="3"/>
      <c r="AB83" s="3">
        <f>ROUND(SUMIF(AA76:AA81,"=55115741",O76:O81),2)</f>
        <v>56.37</v>
      </c>
      <c r="AC83" s="3">
        <f>ROUND(SUMIF(AA76:AA81,"=55115741",P76:P81),2)</f>
        <v>38.83</v>
      </c>
      <c r="AD83" s="3">
        <f>ROUND(SUMIF(AA76:AA81,"=55115741",Q76:Q81),2)</f>
        <v>0</v>
      </c>
      <c r="AE83" s="3">
        <f>ROUND(SUMIF(AA76:AA81,"=55115741",R76:R81),2)</f>
        <v>0</v>
      </c>
      <c r="AF83" s="3">
        <f>ROUND(SUMIF(AA76:AA81,"=55115741",S76:S81),2)</f>
        <v>17.54</v>
      </c>
      <c r="AG83" s="3">
        <f>ROUND(SUMIF(AA76:AA81,"=55115741",T76:T81),2)</f>
        <v>0</v>
      </c>
      <c r="AH83" s="3">
        <f>SUMIF(AA76:AA81,"=55115741",U76:U81)</f>
        <v>2.438422</v>
      </c>
      <c r="AI83" s="3">
        <f>SUMIF(AA76:AA81,"=55115741",V76:V81)</f>
        <v>0</v>
      </c>
      <c r="AJ83" s="3">
        <f>ROUND(SUMIF(AA76:AA81,"=55115741",W76:W81),2)</f>
        <v>0</v>
      </c>
      <c r="AK83" s="3">
        <f>ROUND(SUMIF(AA76:AA81,"=55115741",X76:X81),2)</f>
        <v>16.14</v>
      </c>
      <c r="AL83" s="3">
        <f>ROUND(SUMIF(AA76:AA81,"=55115741",Y76:Y81),2)</f>
        <v>7.72</v>
      </c>
      <c r="AM83" s="3"/>
      <c r="AN83" s="3"/>
      <c r="AO83" s="3">
        <f aca="true" t="shared" si="76" ref="AO83:BD83">ROUND(BX83,2)</f>
        <v>0</v>
      </c>
      <c r="AP83" s="3">
        <f t="shared" si="76"/>
        <v>0</v>
      </c>
      <c r="AQ83" s="3">
        <f t="shared" si="76"/>
        <v>0</v>
      </c>
      <c r="AR83" s="3">
        <f t="shared" si="76"/>
        <v>291.76</v>
      </c>
      <c r="AS83" s="3">
        <f t="shared" si="76"/>
        <v>291.76</v>
      </c>
      <c r="AT83" s="3">
        <f t="shared" si="76"/>
        <v>0</v>
      </c>
      <c r="AU83" s="3">
        <f t="shared" si="76"/>
        <v>0</v>
      </c>
      <c r="AV83" s="3">
        <f t="shared" si="76"/>
        <v>38.83</v>
      </c>
      <c r="AW83" s="3">
        <f t="shared" si="76"/>
        <v>38.83</v>
      </c>
      <c r="AX83" s="3">
        <f t="shared" si="76"/>
        <v>0</v>
      </c>
      <c r="AY83" s="3">
        <f t="shared" si="76"/>
        <v>38.83</v>
      </c>
      <c r="AZ83" s="3">
        <f t="shared" si="76"/>
        <v>0</v>
      </c>
      <c r="BA83" s="3">
        <f t="shared" si="76"/>
        <v>0</v>
      </c>
      <c r="BB83" s="3">
        <f t="shared" si="76"/>
        <v>0</v>
      </c>
      <c r="BC83" s="3">
        <f t="shared" si="76"/>
        <v>0</v>
      </c>
      <c r="BD83" s="3">
        <f t="shared" si="76"/>
        <v>211.53</v>
      </c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>
        <f>ROUND(SUMIF(AA76:AA81,"=55115741",FQ76:FQ81),2)</f>
        <v>0</v>
      </c>
      <c r="BY83" s="3">
        <f>ROUND(SUMIF(AA76:AA81,"=55115741",FR76:FR81),2)</f>
        <v>0</v>
      </c>
      <c r="BZ83" s="3">
        <f>ROUND(SUMIF(AA76:AA81,"=55115741",GL76:GL81),2)</f>
        <v>0</v>
      </c>
      <c r="CA83" s="3">
        <f>ROUND(SUMIF(AA76:AA81,"=55115741",GM76:GM81),2)</f>
        <v>291.76</v>
      </c>
      <c r="CB83" s="3">
        <f>ROUND(SUMIF(AA76:AA81,"=55115741",GN76:GN81),2)</f>
        <v>291.76</v>
      </c>
      <c r="CC83" s="3">
        <f>ROUND(SUMIF(AA76:AA81,"=55115741",GO76:GO81),2)</f>
        <v>0</v>
      </c>
      <c r="CD83" s="3">
        <f>ROUND(SUMIF(AA76:AA81,"=55115741",GP76:GP81),2)</f>
        <v>0</v>
      </c>
      <c r="CE83" s="3">
        <f>AC83-BX83</f>
        <v>38.83</v>
      </c>
      <c r="CF83" s="3">
        <f>AC83-BY83</f>
        <v>38.83</v>
      </c>
      <c r="CG83" s="3">
        <f>BX83-BZ83</f>
        <v>0</v>
      </c>
      <c r="CH83" s="3">
        <f>AC83-BX83-BY83+BZ83</f>
        <v>38.83</v>
      </c>
      <c r="CI83" s="3">
        <f>BY83-BZ83</f>
        <v>0</v>
      </c>
      <c r="CJ83" s="3">
        <f>ROUND(SUMIF(AA76:AA81,"=55115741",GX76:GX81),2)</f>
        <v>0</v>
      </c>
      <c r="CK83" s="3">
        <f>ROUND(SUMIF(AA76:AA81,"=55115741",GY76:GY81),2)</f>
        <v>0</v>
      </c>
      <c r="CL83" s="3">
        <f>ROUND(SUMIF(AA76:AA81,"=55115741",GZ76:GZ81),2)</f>
        <v>0</v>
      </c>
      <c r="CM83" s="3">
        <f>ROUND(SUMIF(AA76:AA81,"=55115741",HD76:HD81),2)</f>
        <v>211.53</v>
      </c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4">
        <f aca="true" t="shared" si="77" ref="DG83:DL83">ROUND(DT83,2)</f>
        <v>955.19</v>
      </c>
      <c r="DH83" s="4">
        <f t="shared" si="77"/>
        <v>282.26</v>
      </c>
      <c r="DI83" s="4">
        <f t="shared" si="77"/>
        <v>0</v>
      </c>
      <c r="DJ83" s="4">
        <f t="shared" si="77"/>
        <v>0</v>
      </c>
      <c r="DK83" s="4">
        <f t="shared" si="77"/>
        <v>672.93</v>
      </c>
      <c r="DL83" s="4">
        <f t="shared" si="77"/>
        <v>0</v>
      </c>
      <c r="DM83" s="4">
        <f>DZ83</f>
        <v>2.438422</v>
      </c>
      <c r="DN83" s="4">
        <f>EA83</f>
        <v>0</v>
      </c>
      <c r="DO83" s="4">
        <f>ROUND(EB83,2)</f>
        <v>0</v>
      </c>
      <c r="DP83" s="4">
        <f>ROUND(EC83,2)</f>
        <v>619.1</v>
      </c>
      <c r="DQ83" s="4">
        <f>ROUND(ED83,2)</f>
        <v>296.09</v>
      </c>
      <c r="DR83" s="4"/>
      <c r="DS83" s="4"/>
      <c r="DT83" s="4">
        <f>ROUND(SUMIF(AA76:AA81,"=55115742",O76:O81),2)</f>
        <v>955.19</v>
      </c>
      <c r="DU83" s="4">
        <f>ROUND(SUMIF(AA76:AA81,"=55115742",P76:P81),2)</f>
        <v>282.26</v>
      </c>
      <c r="DV83" s="4">
        <f>ROUND(SUMIF(AA76:AA81,"=55115742",Q76:Q81),2)</f>
        <v>0</v>
      </c>
      <c r="DW83" s="4">
        <f>ROUND(SUMIF(AA76:AA81,"=55115742",R76:R81),2)</f>
        <v>0</v>
      </c>
      <c r="DX83" s="4">
        <f>ROUND(SUMIF(AA76:AA81,"=55115742",S76:S81),2)</f>
        <v>672.93</v>
      </c>
      <c r="DY83" s="4">
        <f>ROUND(SUMIF(AA76:AA81,"=55115742",T76:T81),2)</f>
        <v>0</v>
      </c>
      <c r="DZ83" s="4">
        <f>SUMIF(AA76:AA81,"=55115742",U76:U81)</f>
        <v>2.438422</v>
      </c>
      <c r="EA83" s="4">
        <f>SUMIF(AA76:AA81,"=55115742",V76:V81)</f>
        <v>0</v>
      </c>
      <c r="EB83" s="4">
        <f>ROUND(SUMIF(AA76:AA81,"=55115742",W76:W81),2)</f>
        <v>0</v>
      </c>
      <c r="EC83" s="4">
        <f>ROUND(SUMIF(AA76:AA81,"=55115742",X76:X81),2)</f>
        <v>619.1</v>
      </c>
      <c r="ED83" s="4">
        <f>ROUND(SUMIF(AA76:AA81,"=55115742",Y76:Y81),2)</f>
        <v>296.09</v>
      </c>
      <c r="EE83" s="4"/>
      <c r="EF83" s="4"/>
      <c r="EG83" s="4">
        <f aca="true" t="shared" si="78" ref="EG83:EV83">ROUND(FP83,2)</f>
        <v>0</v>
      </c>
      <c r="EH83" s="4">
        <f t="shared" si="78"/>
        <v>0</v>
      </c>
      <c r="EI83" s="4">
        <f t="shared" si="78"/>
        <v>0</v>
      </c>
      <c r="EJ83" s="4">
        <f t="shared" si="78"/>
        <v>4458.65</v>
      </c>
      <c r="EK83" s="4">
        <f t="shared" si="78"/>
        <v>4458.65</v>
      </c>
      <c r="EL83" s="4">
        <f t="shared" si="78"/>
        <v>0</v>
      </c>
      <c r="EM83" s="4">
        <f t="shared" si="78"/>
        <v>0</v>
      </c>
      <c r="EN83" s="4">
        <f t="shared" si="78"/>
        <v>282.26</v>
      </c>
      <c r="EO83" s="4">
        <f t="shared" si="78"/>
        <v>282.26</v>
      </c>
      <c r="EP83" s="4">
        <f t="shared" si="78"/>
        <v>0</v>
      </c>
      <c r="EQ83" s="4">
        <f t="shared" si="78"/>
        <v>282.26</v>
      </c>
      <c r="ER83" s="4">
        <f t="shared" si="78"/>
        <v>0</v>
      </c>
      <c r="ES83" s="4">
        <f t="shared" si="78"/>
        <v>0</v>
      </c>
      <c r="ET83" s="4">
        <f t="shared" si="78"/>
        <v>0</v>
      </c>
      <c r="EU83" s="4">
        <f t="shared" si="78"/>
        <v>0</v>
      </c>
      <c r="EV83" s="4">
        <f t="shared" si="78"/>
        <v>2588.27</v>
      </c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>
        <f>ROUND(SUMIF(AA76:AA81,"=55115742",FQ76:FQ81),2)</f>
        <v>0</v>
      </c>
      <c r="FQ83" s="4">
        <f>ROUND(SUMIF(AA76:AA81,"=55115742",FR76:FR81),2)</f>
        <v>0</v>
      </c>
      <c r="FR83" s="4">
        <f>ROUND(SUMIF(AA76:AA81,"=55115742",GL76:GL81),2)</f>
        <v>0</v>
      </c>
      <c r="FS83" s="4">
        <f>ROUND(SUMIF(AA76:AA81,"=55115742",GM76:GM81),2)</f>
        <v>4458.65</v>
      </c>
      <c r="FT83" s="4">
        <f>ROUND(SUMIF(AA76:AA81,"=55115742",GN76:GN81),2)</f>
        <v>4458.65</v>
      </c>
      <c r="FU83" s="4">
        <f>ROUND(SUMIF(AA76:AA81,"=55115742",GO76:GO81),2)</f>
        <v>0</v>
      </c>
      <c r="FV83" s="4">
        <f>ROUND(SUMIF(AA76:AA81,"=55115742",GP76:GP81),2)</f>
        <v>0</v>
      </c>
      <c r="FW83" s="4">
        <f>DU83-FP83</f>
        <v>282.26</v>
      </c>
      <c r="FX83" s="4">
        <f>DU83-FQ83</f>
        <v>282.26</v>
      </c>
      <c r="FY83" s="4">
        <f>FP83-FR83</f>
        <v>0</v>
      </c>
      <c r="FZ83" s="4">
        <f>DU83-FP83-FQ83+FR83</f>
        <v>282.26</v>
      </c>
      <c r="GA83" s="4">
        <f>FQ83-FR83</f>
        <v>0</v>
      </c>
      <c r="GB83" s="4">
        <f>ROUND(SUMIF(AA76:AA81,"=55115742",GX76:GX81),2)</f>
        <v>0</v>
      </c>
      <c r="GC83" s="4">
        <f>ROUND(SUMIF(AA76:AA81,"=55115742",GY76:GY81),2)</f>
        <v>0</v>
      </c>
      <c r="GD83" s="4">
        <f>ROUND(SUMIF(AA76:AA81,"=55115742",GZ76:GZ81),2)</f>
        <v>0</v>
      </c>
      <c r="GE83" s="4">
        <f>ROUND(SUMIF(AA76:AA81,"=55115742",HD76:HD81),2)</f>
        <v>2588.27</v>
      </c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>
        <v>0</v>
      </c>
    </row>
    <row r="85" spans="1:28" ht="12.75">
      <c r="A85" s="5">
        <v>50</v>
      </c>
      <c r="B85" s="5">
        <v>0</v>
      </c>
      <c r="C85" s="5">
        <v>0</v>
      </c>
      <c r="D85" s="5">
        <v>1</v>
      </c>
      <c r="E85" s="5">
        <v>201</v>
      </c>
      <c r="F85" s="5">
        <f>ROUND(Source!O83,O85)</f>
        <v>56.37</v>
      </c>
      <c r="G85" s="5" t="s">
        <v>76</v>
      </c>
      <c r="H85" s="5" t="s">
        <v>77</v>
      </c>
      <c r="I85" s="5"/>
      <c r="J85" s="5"/>
      <c r="K85" s="5">
        <v>201</v>
      </c>
      <c r="L85" s="5">
        <v>1</v>
      </c>
      <c r="M85" s="5">
        <v>3</v>
      </c>
      <c r="N85" s="5" t="s">
        <v>3</v>
      </c>
      <c r="O85" s="5">
        <v>2</v>
      </c>
      <c r="P85" s="5">
        <f>ROUND(Source!DG83,O85)</f>
        <v>955.19</v>
      </c>
      <c r="Q85" s="5"/>
      <c r="R85" s="5"/>
      <c r="S85" s="5"/>
      <c r="T85" s="5"/>
      <c r="U85" s="5"/>
      <c r="V85" s="5"/>
      <c r="W85" s="5">
        <v>267.9</v>
      </c>
      <c r="X85" s="5">
        <v>1</v>
      </c>
      <c r="Y85" s="5">
        <v>267.9</v>
      </c>
      <c r="Z85" s="5">
        <v>3543.46</v>
      </c>
      <c r="AA85" s="5">
        <v>1</v>
      </c>
      <c r="AB85" s="5">
        <v>3543.46</v>
      </c>
    </row>
    <row r="86" spans="1:28" ht="12.75">
      <c r="A86" s="5">
        <v>50</v>
      </c>
      <c r="B86" s="5">
        <v>0</v>
      </c>
      <c r="C86" s="5">
        <v>0</v>
      </c>
      <c r="D86" s="5">
        <v>1</v>
      </c>
      <c r="E86" s="5">
        <v>202</v>
      </c>
      <c r="F86" s="5">
        <f>ROUND(Source!P83,O86)</f>
        <v>38.83</v>
      </c>
      <c r="G86" s="5" t="s">
        <v>78</v>
      </c>
      <c r="H86" s="5" t="s">
        <v>79</v>
      </c>
      <c r="I86" s="5"/>
      <c r="J86" s="5"/>
      <c r="K86" s="5">
        <v>202</v>
      </c>
      <c r="L86" s="5">
        <v>2</v>
      </c>
      <c r="M86" s="5">
        <v>3</v>
      </c>
      <c r="N86" s="5" t="s">
        <v>3</v>
      </c>
      <c r="O86" s="5">
        <v>2</v>
      </c>
      <c r="P86" s="5">
        <f>ROUND(Source!DH83,O86)</f>
        <v>282.26</v>
      </c>
      <c r="Q86" s="5"/>
      <c r="R86" s="5"/>
      <c r="S86" s="5"/>
      <c r="T86" s="5"/>
      <c r="U86" s="5"/>
      <c r="V86" s="5"/>
      <c r="W86" s="5">
        <v>38.83</v>
      </c>
      <c r="X86" s="5">
        <v>1</v>
      </c>
      <c r="Y86" s="5">
        <v>38.83</v>
      </c>
      <c r="Z86" s="5">
        <v>282.26</v>
      </c>
      <c r="AA86" s="5">
        <v>1</v>
      </c>
      <c r="AB86" s="5">
        <v>282.26</v>
      </c>
    </row>
    <row r="87" spans="1:28" ht="12.75">
      <c r="A87" s="5">
        <v>50</v>
      </c>
      <c r="B87" s="5">
        <v>0</v>
      </c>
      <c r="C87" s="5">
        <v>0</v>
      </c>
      <c r="D87" s="5">
        <v>1</v>
      </c>
      <c r="E87" s="5">
        <v>222</v>
      </c>
      <c r="F87" s="5">
        <f>ROUND(Source!AO83,O87)</f>
        <v>0</v>
      </c>
      <c r="G87" s="5" t="s">
        <v>80</v>
      </c>
      <c r="H87" s="5" t="s">
        <v>81</v>
      </c>
      <c r="I87" s="5"/>
      <c r="J87" s="5"/>
      <c r="K87" s="5">
        <v>222</v>
      </c>
      <c r="L87" s="5">
        <v>3</v>
      </c>
      <c r="M87" s="5">
        <v>3</v>
      </c>
      <c r="N87" s="5" t="s">
        <v>3</v>
      </c>
      <c r="O87" s="5">
        <v>2</v>
      </c>
      <c r="P87" s="5">
        <f>ROUND(Source!EG83,O87)</f>
        <v>0</v>
      </c>
      <c r="Q87" s="5"/>
      <c r="R87" s="5"/>
      <c r="S87" s="5"/>
      <c r="T87" s="5"/>
      <c r="U87" s="5"/>
      <c r="V87" s="5"/>
      <c r="W87" s="5">
        <v>0</v>
      </c>
      <c r="X87" s="5">
        <v>1</v>
      </c>
      <c r="Y87" s="5">
        <v>0</v>
      </c>
      <c r="Z87" s="5">
        <v>0</v>
      </c>
      <c r="AA87" s="5">
        <v>1</v>
      </c>
      <c r="AB87" s="5">
        <v>0</v>
      </c>
    </row>
    <row r="88" spans="1:28" ht="12.75">
      <c r="A88" s="5">
        <v>50</v>
      </c>
      <c r="B88" s="5">
        <v>0</v>
      </c>
      <c r="C88" s="5">
        <v>0</v>
      </c>
      <c r="D88" s="5">
        <v>1</v>
      </c>
      <c r="E88" s="5">
        <v>225</v>
      </c>
      <c r="F88" s="5">
        <f>ROUND(Source!AV83,O88)</f>
        <v>38.83</v>
      </c>
      <c r="G88" s="5" t="s">
        <v>82</v>
      </c>
      <c r="H88" s="5" t="s">
        <v>83</v>
      </c>
      <c r="I88" s="5"/>
      <c r="J88" s="5"/>
      <c r="K88" s="5">
        <v>225</v>
      </c>
      <c r="L88" s="5">
        <v>4</v>
      </c>
      <c r="M88" s="5">
        <v>3</v>
      </c>
      <c r="N88" s="5" t="s">
        <v>3</v>
      </c>
      <c r="O88" s="5">
        <v>2</v>
      </c>
      <c r="P88" s="5">
        <f>ROUND(Source!EN83,O88)</f>
        <v>282.26</v>
      </c>
      <c r="Q88" s="5"/>
      <c r="R88" s="5"/>
      <c r="S88" s="5"/>
      <c r="T88" s="5"/>
      <c r="U88" s="5"/>
      <c r="V88" s="5"/>
      <c r="W88" s="5">
        <v>38.83</v>
      </c>
      <c r="X88" s="5">
        <v>1</v>
      </c>
      <c r="Y88" s="5">
        <v>38.83</v>
      </c>
      <c r="Z88" s="5">
        <v>282.26</v>
      </c>
      <c r="AA88" s="5">
        <v>1</v>
      </c>
      <c r="AB88" s="5">
        <v>282.26</v>
      </c>
    </row>
    <row r="89" spans="1:28" ht="12.75">
      <c r="A89" s="5">
        <v>50</v>
      </c>
      <c r="B89" s="5">
        <v>0</v>
      </c>
      <c r="C89" s="5">
        <v>0</v>
      </c>
      <c r="D89" s="5">
        <v>1</v>
      </c>
      <c r="E89" s="5">
        <v>226</v>
      </c>
      <c r="F89" s="5">
        <f>ROUND(Source!AW83,O89)</f>
        <v>38.83</v>
      </c>
      <c r="G89" s="5" t="s">
        <v>84</v>
      </c>
      <c r="H89" s="5" t="s">
        <v>85</v>
      </c>
      <c r="I89" s="5"/>
      <c r="J89" s="5"/>
      <c r="K89" s="5">
        <v>226</v>
      </c>
      <c r="L89" s="5">
        <v>5</v>
      </c>
      <c r="M89" s="5">
        <v>3</v>
      </c>
      <c r="N89" s="5" t="s">
        <v>3</v>
      </c>
      <c r="O89" s="5">
        <v>2</v>
      </c>
      <c r="P89" s="5">
        <f>ROUND(Source!EO83,O89)</f>
        <v>282.26</v>
      </c>
      <c r="Q89" s="5"/>
      <c r="R89" s="5"/>
      <c r="S89" s="5"/>
      <c r="T89" s="5"/>
      <c r="U89" s="5"/>
      <c r="V89" s="5"/>
      <c r="W89" s="5">
        <v>38.83</v>
      </c>
      <c r="X89" s="5">
        <v>1</v>
      </c>
      <c r="Y89" s="5">
        <v>38.83</v>
      </c>
      <c r="Z89" s="5">
        <v>282.26</v>
      </c>
      <c r="AA89" s="5">
        <v>1</v>
      </c>
      <c r="AB89" s="5">
        <v>282.26</v>
      </c>
    </row>
    <row r="90" spans="1:28" ht="12.75">
      <c r="A90" s="5">
        <v>50</v>
      </c>
      <c r="B90" s="5">
        <v>0</v>
      </c>
      <c r="C90" s="5">
        <v>0</v>
      </c>
      <c r="D90" s="5">
        <v>1</v>
      </c>
      <c r="E90" s="5">
        <v>227</v>
      </c>
      <c r="F90" s="5">
        <f>ROUND(Source!AX83,O90)</f>
        <v>0</v>
      </c>
      <c r="G90" s="5" t="s">
        <v>86</v>
      </c>
      <c r="H90" s="5" t="s">
        <v>87</v>
      </c>
      <c r="I90" s="5"/>
      <c r="J90" s="5"/>
      <c r="K90" s="5">
        <v>227</v>
      </c>
      <c r="L90" s="5">
        <v>6</v>
      </c>
      <c r="M90" s="5">
        <v>3</v>
      </c>
      <c r="N90" s="5" t="s">
        <v>3</v>
      </c>
      <c r="O90" s="5">
        <v>2</v>
      </c>
      <c r="P90" s="5">
        <f>ROUND(Source!EP83,O90)</f>
        <v>0</v>
      </c>
      <c r="Q90" s="5"/>
      <c r="R90" s="5"/>
      <c r="S90" s="5"/>
      <c r="T90" s="5"/>
      <c r="U90" s="5"/>
      <c r="V90" s="5"/>
      <c r="W90" s="5">
        <v>0</v>
      </c>
      <c r="X90" s="5">
        <v>1</v>
      </c>
      <c r="Y90" s="5">
        <v>0</v>
      </c>
      <c r="Z90" s="5">
        <v>0</v>
      </c>
      <c r="AA90" s="5">
        <v>1</v>
      </c>
      <c r="AB90" s="5">
        <v>0</v>
      </c>
    </row>
    <row r="91" spans="1:28" ht="12.75">
      <c r="A91" s="5">
        <v>50</v>
      </c>
      <c r="B91" s="5">
        <v>0</v>
      </c>
      <c r="C91" s="5">
        <v>0</v>
      </c>
      <c r="D91" s="5">
        <v>1</v>
      </c>
      <c r="E91" s="5">
        <v>228</v>
      </c>
      <c r="F91" s="5">
        <f>ROUND(Source!AY83,O91)</f>
        <v>38.83</v>
      </c>
      <c r="G91" s="5" t="s">
        <v>88</v>
      </c>
      <c r="H91" s="5" t="s">
        <v>89</v>
      </c>
      <c r="I91" s="5"/>
      <c r="J91" s="5"/>
      <c r="K91" s="5">
        <v>228</v>
      </c>
      <c r="L91" s="5">
        <v>7</v>
      </c>
      <c r="M91" s="5">
        <v>3</v>
      </c>
      <c r="N91" s="5" t="s">
        <v>3</v>
      </c>
      <c r="O91" s="5">
        <v>2</v>
      </c>
      <c r="P91" s="5">
        <f>ROUND(Source!EQ83,O91)</f>
        <v>282.26</v>
      </c>
      <c r="Q91" s="5"/>
      <c r="R91" s="5"/>
      <c r="S91" s="5"/>
      <c r="T91" s="5"/>
      <c r="U91" s="5"/>
      <c r="V91" s="5"/>
      <c r="W91" s="5">
        <v>38.83</v>
      </c>
      <c r="X91" s="5">
        <v>1</v>
      </c>
      <c r="Y91" s="5">
        <v>38.83</v>
      </c>
      <c r="Z91" s="5">
        <v>282.26</v>
      </c>
      <c r="AA91" s="5">
        <v>1</v>
      </c>
      <c r="AB91" s="5">
        <v>282.26</v>
      </c>
    </row>
    <row r="92" spans="1:28" ht="12.75">
      <c r="A92" s="5">
        <v>50</v>
      </c>
      <c r="B92" s="5">
        <v>0</v>
      </c>
      <c r="C92" s="5">
        <v>0</v>
      </c>
      <c r="D92" s="5">
        <v>1</v>
      </c>
      <c r="E92" s="5">
        <v>216</v>
      </c>
      <c r="F92" s="5">
        <f>ROUND(Source!AP83,O92)</f>
        <v>0</v>
      </c>
      <c r="G92" s="5" t="s">
        <v>90</v>
      </c>
      <c r="H92" s="5" t="s">
        <v>91</v>
      </c>
      <c r="I92" s="5"/>
      <c r="J92" s="5"/>
      <c r="K92" s="5">
        <v>216</v>
      </c>
      <c r="L92" s="5">
        <v>8</v>
      </c>
      <c r="M92" s="5">
        <v>3</v>
      </c>
      <c r="N92" s="5" t="s">
        <v>3</v>
      </c>
      <c r="O92" s="5">
        <v>2</v>
      </c>
      <c r="P92" s="5">
        <f>ROUND(Source!EH83,O92)</f>
        <v>0</v>
      </c>
      <c r="Q92" s="5"/>
      <c r="R92" s="5"/>
      <c r="S92" s="5"/>
      <c r="T92" s="5"/>
      <c r="U92" s="5"/>
      <c r="V92" s="5"/>
      <c r="W92" s="5">
        <v>0</v>
      </c>
      <c r="X92" s="5">
        <v>1</v>
      </c>
      <c r="Y92" s="5">
        <v>0</v>
      </c>
      <c r="Z92" s="5">
        <v>0</v>
      </c>
      <c r="AA92" s="5">
        <v>1</v>
      </c>
      <c r="AB92" s="5">
        <v>0</v>
      </c>
    </row>
    <row r="93" spans="1:28" ht="12.75">
      <c r="A93" s="5">
        <v>50</v>
      </c>
      <c r="B93" s="5">
        <v>0</v>
      </c>
      <c r="C93" s="5">
        <v>0</v>
      </c>
      <c r="D93" s="5">
        <v>1</v>
      </c>
      <c r="E93" s="5">
        <v>223</v>
      </c>
      <c r="F93" s="5">
        <f>ROUND(Source!AQ83,O93)</f>
        <v>0</v>
      </c>
      <c r="G93" s="5" t="s">
        <v>92</v>
      </c>
      <c r="H93" s="5" t="s">
        <v>93</v>
      </c>
      <c r="I93" s="5"/>
      <c r="J93" s="5"/>
      <c r="K93" s="5">
        <v>223</v>
      </c>
      <c r="L93" s="5">
        <v>9</v>
      </c>
      <c r="M93" s="5">
        <v>3</v>
      </c>
      <c r="N93" s="5" t="s">
        <v>3</v>
      </c>
      <c r="O93" s="5">
        <v>2</v>
      </c>
      <c r="P93" s="5">
        <f>ROUND(Source!EI83,O93)</f>
        <v>0</v>
      </c>
      <c r="Q93" s="5"/>
      <c r="R93" s="5"/>
      <c r="S93" s="5"/>
      <c r="T93" s="5"/>
      <c r="U93" s="5"/>
      <c r="V93" s="5"/>
      <c r="W93" s="5">
        <v>0</v>
      </c>
      <c r="X93" s="5">
        <v>1</v>
      </c>
      <c r="Y93" s="5">
        <v>0</v>
      </c>
      <c r="Z93" s="5">
        <v>0</v>
      </c>
      <c r="AA93" s="5">
        <v>1</v>
      </c>
      <c r="AB93" s="5">
        <v>0</v>
      </c>
    </row>
    <row r="94" spans="1:28" ht="12.75">
      <c r="A94" s="5">
        <v>50</v>
      </c>
      <c r="B94" s="5">
        <v>0</v>
      </c>
      <c r="C94" s="5">
        <v>0</v>
      </c>
      <c r="D94" s="5">
        <v>1</v>
      </c>
      <c r="E94" s="5">
        <v>229</v>
      </c>
      <c r="F94" s="5">
        <f>ROUND(Source!AZ83,O94)</f>
        <v>0</v>
      </c>
      <c r="G94" s="5" t="s">
        <v>94</v>
      </c>
      <c r="H94" s="5" t="s">
        <v>95</v>
      </c>
      <c r="I94" s="5"/>
      <c r="J94" s="5"/>
      <c r="K94" s="5">
        <v>229</v>
      </c>
      <c r="L94" s="5">
        <v>10</v>
      </c>
      <c r="M94" s="5">
        <v>3</v>
      </c>
      <c r="N94" s="5" t="s">
        <v>3</v>
      </c>
      <c r="O94" s="5">
        <v>2</v>
      </c>
      <c r="P94" s="5">
        <f>ROUND(Source!ER83,O94)</f>
        <v>0</v>
      </c>
      <c r="Q94" s="5"/>
      <c r="R94" s="5"/>
      <c r="S94" s="5"/>
      <c r="T94" s="5"/>
      <c r="U94" s="5"/>
      <c r="V94" s="5"/>
      <c r="W94" s="5">
        <v>0</v>
      </c>
      <c r="X94" s="5">
        <v>1</v>
      </c>
      <c r="Y94" s="5">
        <v>0</v>
      </c>
      <c r="Z94" s="5">
        <v>0</v>
      </c>
      <c r="AA94" s="5">
        <v>1</v>
      </c>
      <c r="AB94" s="5">
        <v>0</v>
      </c>
    </row>
    <row r="95" spans="1:28" ht="12.75">
      <c r="A95" s="5">
        <v>50</v>
      </c>
      <c r="B95" s="5">
        <v>0</v>
      </c>
      <c r="C95" s="5">
        <v>0</v>
      </c>
      <c r="D95" s="5">
        <v>1</v>
      </c>
      <c r="E95" s="5">
        <v>203</v>
      </c>
      <c r="F95" s="5">
        <f>ROUND(Source!Q83,O95)</f>
        <v>0</v>
      </c>
      <c r="G95" s="5" t="s">
        <v>96</v>
      </c>
      <c r="H95" s="5" t="s">
        <v>97</v>
      </c>
      <c r="I95" s="5"/>
      <c r="J95" s="5"/>
      <c r="K95" s="5">
        <v>203</v>
      </c>
      <c r="L95" s="5">
        <v>11</v>
      </c>
      <c r="M95" s="5">
        <v>3</v>
      </c>
      <c r="N95" s="5" t="s">
        <v>3</v>
      </c>
      <c r="O95" s="5">
        <v>2</v>
      </c>
      <c r="P95" s="5">
        <f>ROUND(Source!DI83,O95)</f>
        <v>0</v>
      </c>
      <c r="Q95" s="5"/>
      <c r="R95" s="5"/>
      <c r="S95" s="5"/>
      <c r="T95" s="5"/>
      <c r="U95" s="5"/>
      <c r="V95" s="5"/>
      <c r="W95" s="5">
        <v>0</v>
      </c>
      <c r="X95" s="5">
        <v>1</v>
      </c>
      <c r="Y95" s="5">
        <v>0</v>
      </c>
      <c r="Z95" s="5">
        <v>0</v>
      </c>
      <c r="AA95" s="5">
        <v>1</v>
      </c>
      <c r="AB95" s="5">
        <v>0</v>
      </c>
    </row>
    <row r="96" spans="1:28" ht="12.75">
      <c r="A96" s="5">
        <v>50</v>
      </c>
      <c r="B96" s="5">
        <v>0</v>
      </c>
      <c r="C96" s="5">
        <v>0</v>
      </c>
      <c r="D96" s="5">
        <v>1</v>
      </c>
      <c r="E96" s="5">
        <v>231</v>
      </c>
      <c r="F96" s="5">
        <f>ROUND(Source!BB83,O96)</f>
        <v>0</v>
      </c>
      <c r="G96" s="5" t="s">
        <v>98</v>
      </c>
      <c r="H96" s="5" t="s">
        <v>99</v>
      </c>
      <c r="I96" s="5"/>
      <c r="J96" s="5"/>
      <c r="K96" s="5">
        <v>231</v>
      </c>
      <c r="L96" s="5">
        <v>12</v>
      </c>
      <c r="M96" s="5">
        <v>3</v>
      </c>
      <c r="N96" s="5" t="s">
        <v>3</v>
      </c>
      <c r="O96" s="5">
        <v>2</v>
      </c>
      <c r="P96" s="5">
        <f>ROUND(Source!ET83,O96)</f>
        <v>0</v>
      </c>
      <c r="Q96" s="5"/>
      <c r="R96" s="5"/>
      <c r="S96" s="5"/>
      <c r="T96" s="5"/>
      <c r="U96" s="5"/>
      <c r="V96" s="5"/>
      <c r="W96" s="5">
        <v>0</v>
      </c>
      <c r="X96" s="5">
        <v>1</v>
      </c>
      <c r="Y96" s="5">
        <v>0</v>
      </c>
      <c r="Z96" s="5">
        <v>0</v>
      </c>
      <c r="AA96" s="5">
        <v>1</v>
      </c>
      <c r="AB96" s="5">
        <v>0</v>
      </c>
    </row>
    <row r="97" spans="1:28" ht="12.75">
      <c r="A97" s="5">
        <v>50</v>
      </c>
      <c r="B97" s="5">
        <v>0</v>
      </c>
      <c r="C97" s="5">
        <v>0</v>
      </c>
      <c r="D97" s="5">
        <v>1</v>
      </c>
      <c r="E97" s="5">
        <v>204</v>
      </c>
      <c r="F97" s="5">
        <f>ROUND(Source!R83,O97)</f>
        <v>0</v>
      </c>
      <c r="G97" s="5" t="s">
        <v>100</v>
      </c>
      <c r="H97" s="5" t="s">
        <v>101</v>
      </c>
      <c r="I97" s="5"/>
      <c r="J97" s="5"/>
      <c r="K97" s="5">
        <v>204</v>
      </c>
      <c r="L97" s="5">
        <v>13</v>
      </c>
      <c r="M97" s="5">
        <v>3</v>
      </c>
      <c r="N97" s="5" t="s">
        <v>3</v>
      </c>
      <c r="O97" s="5">
        <v>2</v>
      </c>
      <c r="P97" s="5">
        <f>ROUND(Source!DJ83,O97)</f>
        <v>0</v>
      </c>
      <c r="Q97" s="5"/>
      <c r="R97" s="5"/>
      <c r="S97" s="5"/>
      <c r="T97" s="5"/>
      <c r="U97" s="5"/>
      <c r="V97" s="5"/>
      <c r="W97" s="5">
        <v>0</v>
      </c>
      <c r="X97" s="5">
        <v>1</v>
      </c>
      <c r="Y97" s="5">
        <v>0</v>
      </c>
      <c r="Z97" s="5">
        <v>0</v>
      </c>
      <c r="AA97" s="5">
        <v>1</v>
      </c>
      <c r="AB97" s="5">
        <v>0</v>
      </c>
    </row>
    <row r="98" spans="1:28" ht="12.75">
      <c r="A98" s="5">
        <v>50</v>
      </c>
      <c r="B98" s="5">
        <v>0</v>
      </c>
      <c r="C98" s="5">
        <v>0</v>
      </c>
      <c r="D98" s="5">
        <v>1</v>
      </c>
      <c r="E98" s="5">
        <v>205</v>
      </c>
      <c r="F98" s="5">
        <f>ROUND(Source!S83,O98)</f>
        <v>17.54</v>
      </c>
      <c r="G98" s="5" t="s">
        <v>102</v>
      </c>
      <c r="H98" s="5" t="s">
        <v>103</v>
      </c>
      <c r="I98" s="5"/>
      <c r="J98" s="5"/>
      <c r="K98" s="5">
        <v>205</v>
      </c>
      <c r="L98" s="5">
        <v>14</v>
      </c>
      <c r="M98" s="5">
        <v>3</v>
      </c>
      <c r="N98" s="5" t="s">
        <v>3</v>
      </c>
      <c r="O98" s="5">
        <v>2</v>
      </c>
      <c r="P98" s="5">
        <f>ROUND(Source!DK83,O98)</f>
        <v>672.93</v>
      </c>
      <c r="Q98" s="5"/>
      <c r="R98" s="5"/>
      <c r="S98" s="5"/>
      <c r="T98" s="5"/>
      <c r="U98" s="5"/>
      <c r="V98" s="5"/>
      <c r="W98" s="5">
        <v>17.54</v>
      </c>
      <c r="X98" s="5">
        <v>1</v>
      </c>
      <c r="Y98" s="5">
        <v>17.54</v>
      </c>
      <c r="Z98" s="5">
        <v>672.93</v>
      </c>
      <c r="AA98" s="5">
        <v>1</v>
      </c>
      <c r="AB98" s="5">
        <v>672.93</v>
      </c>
    </row>
    <row r="99" spans="1:28" ht="12.75">
      <c r="A99" s="5">
        <v>50</v>
      </c>
      <c r="B99" s="5">
        <v>0</v>
      </c>
      <c r="C99" s="5">
        <v>0</v>
      </c>
      <c r="D99" s="5">
        <v>1</v>
      </c>
      <c r="E99" s="5">
        <v>232</v>
      </c>
      <c r="F99" s="5">
        <f>ROUND(Source!BC83,O99)</f>
        <v>0</v>
      </c>
      <c r="G99" s="5" t="s">
        <v>104</v>
      </c>
      <c r="H99" s="5" t="s">
        <v>105</v>
      </c>
      <c r="I99" s="5"/>
      <c r="J99" s="5"/>
      <c r="K99" s="5">
        <v>232</v>
      </c>
      <c r="L99" s="5">
        <v>15</v>
      </c>
      <c r="M99" s="5">
        <v>3</v>
      </c>
      <c r="N99" s="5" t="s">
        <v>3</v>
      </c>
      <c r="O99" s="5">
        <v>2</v>
      </c>
      <c r="P99" s="5">
        <f>ROUND(Source!EU83,O99)</f>
        <v>0</v>
      </c>
      <c r="Q99" s="5"/>
      <c r="R99" s="5"/>
      <c r="S99" s="5"/>
      <c r="T99" s="5"/>
      <c r="U99" s="5"/>
      <c r="V99" s="5"/>
      <c r="W99" s="5">
        <v>0</v>
      </c>
      <c r="X99" s="5">
        <v>1</v>
      </c>
      <c r="Y99" s="5">
        <v>0</v>
      </c>
      <c r="Z99" s="5">
        <v>0</v>
      </c>
      <c r="AA99" s="5">
        <v>1</v>
      </c>
      <c r="AB99" s="5">
        <v>0</v>
      </c>
    </row>
    <row r="100" spans="1:28" ht="12.75">
      <c r="A100" s="5">
        <v>50</v>
      </c>
      <c r="B100" s="5">
        <v>0</v>
      </c>
      <c r="C100" s="5">
        <v>0</v>
      </c>
      <c r="D100" s="5">
        <v>1</v>
      </c>
      <c r="E100" s="5">
        <v>214</v>
      </c>
      <c r="F100" s="5">
        <f>ROUND(Source!AS83,O100)</f>
        <v>291.76</v>
      </c>
      <c r="G100" s="5" t="s">
        <v>106</v>
      </c>
      <c r="H100" s="5" t="s">
        <v>107</v>
      </c>
      <c r="I100" s="5"/>
      <c r="J100" s="5"/>
      <c r="K100" s="5">
        <v>214</v>
      </c>
      <c r="L100" s="5">
        <v>16</v>
      </c>
      <c r="M100" s="5">
        <v>3</v>
      </c>
      <c r="N100" s="5" t="s">
        <v>3</v>
      </c>
      <c r="O100" s="5">
        <v>2</v>
      </c>
      <c r="P100" s="5">
        <f>ROUND(Source!EK83,O100)</f>
        <v>4458.65</v>
      </c>
      <c r="Q100" s="5"/>
      <c r="R100" s="5"/>
      <c r="S100" s="5"/>
      <c r="T100" s="5"/>
      <c r="U100" s="5"/>
      <c r="V100" s="5"/>
      <c r="W100" s="5">
        <v>291.76</v>
      </c>
      <c r="X100" s="5">
        <v>1</v>
      </c>
      <c r="Y100" s="5">
        <v>291.76</v>
      </c>
      <c r="Z100" s="5">
        <v>4458.65</v>
      </c>
      <c r="AA100" s="5">
        <v>1</v>
      </c>
      <c r="AB100" s="5">
        <v>4458.65</v>
      </c>
    </row>
    <row r="101" spans="1:28" ht="12.75">
      <c r="A101" s="5">
        <v>50</v>
      </c>
      <c r="B101" s="5">
        <v>0</v>
      </c>
      <c r="C101" s="5">
        <v>0</v>
      </c>
      <c r="D101" s="5">
        <v>1</v>
      </c>
      <c r="E101" s="5">
        <v>215</v>
      </c>
      <c r="F101" s="5">
        <f>ROUND(Source!AT83,O101)</f>
        <v>0</v>
      </c>
      <c r="G101" s="5" t="s">
        <v>108</v>
      </c>
      <c r="H101" s="5" t="s">
        <v>109</v>
      </c>
      <c r="I101" s="5"/>
      <c r="J101" s="5"/>
      <c r="K101" s="5">
        <v>215</v>
      </c>
      <c r="L101" s="5">
        <v>17</v>
      </c>
      <c r="M101" s="5">
        <v>3</v>
      </c>
      <c r="N101" s="5" t="s">
        <v>3</v>
      </c>
      <c r="O101" s="5">
        <v>2</v>
      </c>
      <c r="P101" s="5">
        <f>ROUND(Source!EL83,O101)</f>
        <v>0</v>
      </c>
      <c r="Q101" s="5"/>
      <c r="R101" s="5"/>
      <c r="S101" s="5"/>
      <c r="T101" s="5"/>
      <c r="U101" s="5"/>
      <c r="V101" s="5"/>
      <c r="W101" s="5">
        <v>0</v>
      </c>
      <c r="X101" s="5">
        <v>1</v>
      </c>
      <c r="Y101" s="5">
        <v>0</v>
      </c>
      <c r="Z101" s="5">
        <v>0</v>
      </c>
      <c r="AA101" s="5">
        <v>1</v>
      </c>
      <c r="AB101" s="5">
        <v>0</v>
      </c>
    </row>
    <row r="102" spans="1:28" ht="12.75">
      <c r="A102" s="5">
        <v>50</v>
      </c>
      <c r="B102" s="5">
        <v>0</v>
      </c>
      <c r="C102" s="5">
        <v>0</v>
      </c>
      <c r="D102" s="5">
        <v>1</v>
      </c>
      <c r="E102" s="5">
        <v>217</v>
      </c>
      <c r="F102" s="5">
        <f>ROUND(Source!AU83,O102)</f>
        <v>0</v>
      </c>
      <c r="G102" s="5" t="s">
        <v>110</v>
      </c>
      <c r="H102" s="5" t="s">
        <v>111</v>
      </c>
      <c r="I102" s="5"/>
      <c r="J102" s="5"/>
      <c r="K102" s="5">
        <v>217</v>
      </c>
      <c r="L102" s="5">
        <v>18</v>
      </c>
      <c r="M102" s="5">
        <v>3</v>
      </c>
      <c r="N102" s="5" t="s">
        <v>3</v>
      </c>
      <c r="O102" s="5">
        <v>2</v>
      </c>
      <c r="P102" s="5">
        <f>ROUND(Source!EM83,O102)</f>
        <v>0</v>
      </c>
      <c r="Q102" s="5"/>
      <c r="R102" s="5"/>
      <c r="S102" s="5"/>
      <c r="T102" s="5"/>
      <c r="U102" s="5"/>
      <c r="V102" s="5"/>
      <c r="W102" s="5">
        <v>0</v>
      </c>
      <c r="X102" s="5">
        <v>1</v>
      </c>
      <c r="Y102" s="5">
        <v>0</v>
      </c>
      <c r="Z102" s="5">
        <v>0</v>
      </c>
      <c r="AA102" s="5">
        <v>1</v>
      </c>
      <c r="AB102" s="5">
        <v>0</v>
      </c>
    </row>
    <row r="103" spans="1:28" ht="12.75">
      <c r="A103" s="5">
        <v>50</v>
      </c>
      <c r="B103" s="5">
        <v>0</v>
      </c>
      <c r="C103" s="5">
        <v>0</v>
      </c>
      <c r="D103" s="5">
        <v>1</v>
      </c>
      <c r="E103" s="5">
        <v>230</v>
      </c>
      <c r="F103" s="5">
        <f>ROUND(Source!BA83,O103)</f>
        <v>0</v>
      </c>
      <c r="G103" s="5" t="s">
        <v>112</v>
      </c>
      <c r="H103" s="5" t="s">
        <v>113</v>
      </c>
      <c r="I103" s="5"/>
      <c r="J103" s="5"/>
      <c r="K103" s="5">
        <v>230</v>
      </c>
      <c r="L103" s="5">
        <v>19</v>
      </c>
      <c r="M103" s="5">
        <v>3</v>
      </c>
      <c r="N103" s="5" t="s">
        <v>3</v>
      </c>
      <c r="O103" s="5">
        <v>2</v>
      </c>
      <c r="P103" s="5">
        <f>ROUND(Source!ES83,O103)</f>
        <v>0</v>
      </c>
      <c r="Q103" s="5"/>
      <c r="R103" s="5"/>
      <c r="S103" s="5"/>
      <c r="T103" s="5"/>
      <c r="U103" s="5"/>
      <c r="V103" s="5"/>
      <c r="W103" s="5">
        <v>0</v>
      </c>
      <c r="X103" s="5">
        <v>1</v>
      </c>
      <c r="Y103" s="5">
        <v>0</v>
      </c>
      <c r="Z103" s="5">
        <v>0</v>
      </c>
      <c r="AA103" s="5">
        <v>1</v>
      </c>
      <c r="AB103" s="5">
        <v>0</v>
      </c>
    </row>
    <row r="104" spans="1:28" ht="12.75">
      <c r="A104" s="5">
        <v>50</v>
      </c>
      <c r="B104" s="5">
        <v>0</v>
      </c>
      <c r="C104" s="5">
        <v>0</v>
      </c>
      <c r="D104" s="5">
        <v>1</v>
      </c>
      <c r="E104" s="5">
        <v>206</v>
      </c>
      <c r="F104" s="5">
        <f>ROUND(Source!T83,O104)</f>
        <v>0</v>
      </c>
      <c r="G104" s="5" t="s">
        <v>114</v>
      </c>
      <c r="H104" s="5" t="s">
        <v>115</v>
      </c>
      <c r="I104" s="5"/>
      <c r="J104" s="5"/>
      <c r="K104" s="5">
        <v>206</v>
      </c>
      <c r="L104" s="5">
        <v>20</v>
      </c>
      <c r="M104" s="5">
        <v>3</v>
      </c>
      <c r="N104" s="5" t="s">
        <v>3</v>
      </c>
      <c r="O104" s="5">
        <v>2</v>
      </c>
      <c r="P104" s="5">
        <f>ROUND(Source!DL83,O104)</f>
        <v>0</v>
      </c>
      <c r="Q104" s="5"/>
      <c r="R104" s="5"/>
      <c r="S104" s="5"/>
      <c r="T104" s="5"/>
      <c r="U104" s="5"/>
      <c r="V104" s="5"/>
      <c r="W104" s="5">
        <v>0</v>
      </c>
      <c r="X104" s="5">
        <v>1</v>
      </c>
      <c r="Y104" s="5">
        <v>0</v>
      </c>
      <c r="Z104" s="5">
        <v>0</v>
      </c>
      <c r="AA104" s="5">
        <v>1</v>
      </c>
      <c r="AB104" s="5">
        <v>0</v>
      </c>
    </row>
    <row r="105" spans="1:28" ht="12.75">
      <c r="A105" s="5">
        <v>50</v>
      </c>
      <c r="B105" s="5">
        <v>0</v>
      </c>
      <c r="C105" s="5">
        <v>0</v>
      </c>
      <c r="D105" s="5">
        <v>1</v>
      </c>
      <c r="E105" s="5">
        <v>207</v>
      </c>
      <c r="F105" s="5">
        <f>Source!U83</f>
        <v>2.438422</v>
      </c>
      <c r="G105" s="5" t="s">
        <v>116</v>
      </c>
      <c r="H105" s="5" t="s">
        <v>117</v>
      </c>
      <c r="I105" s="5"/>
      <c r="J105" s="5"/>
      <c r="K105" s="5">
        <v>207</v>
      </c>
      <c r="L105" s="5">
        <v>21</v>
      </c>
      <c r="M105" s="5">
        <v>3</v>
      </c>
      <c r="N105" s="5" t="s">
        <v>3</v>
      </c>
      <c r="O105" s="5">
        <v>-1</v>
      </c>
      <c r="P105" s="5">
        <f>Source!DM83</f>
        <v>2.438422</v>
      </c>
      <c r="Q105" s="5"/>
      <c r="R105" s="5"/>
      <c r="S105" s="5"/>
      <c r="T105" s="5"/>
      <c r="U105" s="5"/>
      <c r="V105" s="5"/>
      <c r="W105" s="5">
        <v>2.438422</v>
      </c>
      <c r="X105" s="5">
        <v>1</v>
      </c>
      <c r="Y105" s="5">
        <v>2.438422</v>
      </c>
      <c r="Z105" s="5">
        <v>2.438422</v>
      </c>
      <c r="AA105" s="5">
        <v>1</v>
      </c>
      <c r="AB105" s="5">
        <v>2.438422</v>
      </c>
    </row>
    <row r="106" spans="1:28" ht="12.75">
      <c r="A106" s="5">
        <v>50</v>
      </c>
      <c r="B106" s="5">
        <v>0</v>
      </c>
      <c r="C106" s="5">
        <v>0</v>
      </c>
      <c r="D106" s="5">
        <v>1</v>
      </c>
      <c r="E106" s="5">
        <v>208</v>
      </c>
      <c r="F106" s="5">
        <f>Source!V83</f>
        <v>0</v>
      </c>
      <c r="G106" s="5" t="s">
        <v>118</v>
      </c>
      <c r="H106" s="5" t="s">
        <v>119</v>
      </c>
      <c r="I106" s="5"/>
      <c r="J106" s="5"/>
      <c r="K106" s="5">
        <v>208</v>
      </c>
      <c r="L106" s="5">
        <v>22</v>
      </c>
      <c r="M106" s="5">
        <v>3</v>
      </c>
      <c r="N106" s="5" t="s">
        <v>3</v>
      </c>
      <c r="O106" s="5">
        <v>-1</v>
      </c>
      <c r="P106" s="5">
        <f>Source!DN83</f>
        <v>0</v>
      </c>
      <c r="Q106" s="5"/>
      <c r="R106" s="5"/>
      <c r="S106" s="5"/>
      <c r="T106" s="5"/>
      <c r="U106" s="5"/>
      <c r="V106" s="5"/>
      <c r="W106" s="5">
        <v>0</v>
      </c>
      <c r="X106" s="5">
        <v>1</v>
      </c>
      <c r="Y106" s="5">
        <v>0</v>
      </c>
      <c r="Z106" s="5">
        <v>0</v>
      </c>
      <c r="AA106" s="5">
        <v>1</v>
      </c>
      <c r="AB106" s="5">
        <v>0</v>
      </c>
    </row>
    <row r="107" spans="1:28" ht="12.75">
      <c r="A107" s="5">
        <v>50</v>
      </c>
      <c r="B107" s="5">
        <v>0</v>
      </c>
      <c r="C107" s="5">
        <v>0</v>
      </c>
      <c r="D107" s="5">
        <v>1</v>
      </c>
      <c r="E107" s="5">
        <v>209</v>
      </c>
      <c r="F107" s="5">
        <f>ROUND(Source!W83,O107)</f>
        <v>0</v>
      </c>
      <c r="G107" s="5" t="s">
        <v>120</v>
      </c>
      <c r="H107" s="5" t="s">
        <v>121</v>
      </c>
      <c r="I107" s="5"/>
      <c r="J107" s="5"/>
      <c r="K107" s="5">
        <v>209</v>
      </c>
      <c r="L107" s="5">
        <v>23</v>
      </c>
      <c r="M107" s="5">
        <v>3</v>
      </c>
      <c r="N107" s="5" t="s">
        <v>3</v>
      </c>
      <c r="O107" s="5">
        <v>2</v>
      </c>
      <c r="P107" s="5">
        <f>ROUND(Source!DO83,O107)</f>
        <v>0</v>
      </c>
      <c r="Q107" s="5"/>
      <c r="R107" s="5"/>
      <c r="S107" s="5"/>
      <c r="T107" s="5"/>
      <c r="U107" s="5"/>
      <c r="V107" s="5"/>
      <c r="W107" s="5">
        <v>0</v>
      </c>
      <c r="X107" s="5">
        <v>1</v>
      </c>
      <c r="Y107" s="5">
        <v>0</v>
      </c>
      <c r="Z107" s="5">
        <v>0</v>
      </c>
      <c r="AA107" s="5">
        <v>1</v>
      </c>
      <c r="AB107" s="5">
        <v>0</v>
      </c>
    </row>
    <row r="108" spans="1:28" ht="12.75">
      <c r="A108" s="5">
        <v>50</v>
      </c>
      <c r="B108" s="5">
        <v>0</v>
      </c>
      <c r="C108" s="5">
        <v>0</v>
      </c>
      <c r="D108" s="5">
        <v>1</v>
      </c>
      <c r="E108" s="5">
        <v>233</v>
      </c>
      <c r="F108" s="5">
        <f>ROUND(Source!BD83,O108)</f>
        <v>211.53</v>
      </c>
      <c r="G108" s="5" t="s">
        <v>122</v>
      </c>
      <c r="H108" s="5" t="s">
        <v>123</v>
      </c>
      <c r="I108" s="5"/>
      <c r="J108" s="5"/>
      <c r="K108" s="5">
        <v>233</v>
      </c>
      <c r="L108" s="5">
        <v>24</v>
      </c>
      <c r="M108" s="5">
        <v>3</v>
      </c>
      <c r="N108" s="5" t="s">
        <v>3</v>
      </c>
      <c r="O108" s="5">
        <v>2</v>
      </c>
      <c r="P108" s="5">
        <f>ROUND(Source!EV83,O108)</f>
        <v>2588.27</v>
      </c>
      <c r="Q108" s="5"/>
      <c r="R108" s="5"/>
      <c r="S108" s="5"/>
      <c r="T108" s="5"/>
      <c r="U108" s="5"/>
      <c r="V108" s="5"/>
      <c r="W108" s="5">
        <v>211.53</v>
      </c>
      <c r="X108" s="5">
        <v>1</v>
      </c>
      <c r="Y108" s="5">
        <v>211.53</v>
      </c>
      <c r="Z108" s="5">
        <v>2588.27</v>
      </c>
      <c r="AA108" s="5">
        <v>1</v>
      </c>
      <c r="AB108" s="5">
        <v>2588.27</v>
      </c>
    </row>
    <row r="109" spans="1:28" ht="12.75">
      <c r="A109" s="5">
        <v>50</v>
      </c>
      <c r="B109" s="5">
        <v>0</v>
      </c>
      <c r="C109" s="5">
        <v>0</v>
      </c>
      <c r="D109" s="5">
        <v>1</v>
      </c>
      <c r="E109" s="5">
        <v>210</v>
      </c>
      <c r="F109" s="5">
        <f>ROUND(Source!X83,O109)</f>
        <v>16.14</v>
      </c>
      <c r="G109" s="5" t="s">
        <v>124</v>
      </c>
      <c r="H109" s="5" t="s">
        <v>125</v>
      </c>
      <c r="I109" s="5"/>
      <c r="J109" s="5"/>
      <c r="K109" s="5">
        <v>210</v>
      </c>
      <c r="L109" s="5">
        <v>25</v>
      </c>
      <c r="M109" s="5">
        <v>3</v>
      </c>
      <c r="N109" s="5" t="s">
        <v>3</v>
      </c>
      <c r="O109" s="5">
        <v>2</v>
      </c>
      <c r="P109" s="5">
        <f>ROUND(Source!DP83,O109)</f>
        <v>619.1</v>
      </c>
      <c r="Q109" s="5"/>
      <c r="R109" s="5"/>
      <c r="S109" s="5"/>
      <c r="T109" s="5"/>
      <c r="U109" s="5"/>
      <c r="V109" s="5"/>
      <c r="W109" s="5">
        <v>16.14</v>
      </c>
      <c r="X109" s="5">
        <v>1</v>
      </c>
      <c r="Y109" s="5">
        <v>16.14</v>
      </c>
      <c r="Z109" s="5">
        <v>619.1</v>
      </c>
      <c r="AA109" s="5">
        <v>1</v>
      </c>
      <c r="AB109" s="5">
        <v>619.1</v>
      </c>
    </row>
    <row r="110" spans="1:28" ht="12.75">
      <c r="A110" s="5">
        <v>50</v>
      </c>
      <c r="B110" s="5">
        <v>0</v>
      </c>
      <c r="C110" s="5">
        <v>0</v>
      </c>
      <c r="D110" s="5">
        <v>1</v>
      </c>
      <c r="E110" s="5">
        <v>211</v>
      </c>
      <c r="F110" s="5">
        <f>ROUND(Source!Y83,O110)</f>
        <v>7.72</v>
      </c>
      <c r="G110" s="5" t="s">
        <v>126</v>
      </c>
      <c r="H110" s="5" t="s">
        <v>127</v>
      </c>
      <c r="I110" s="5"/>
      <c r="J110" s="5"/>
      <c r="K110" s="5">
        <v>211</v>
      </c>
      <c r="L110" s="5">
        <v>26</v>
      </c>
      <c r="M110" s="5">
        <v>3</v>
      </c>
      <c r="N110" s="5" t="s">
        <v>3</v>
      </c>
      <c r="O110" s="5">
        <v>2</v>
      </c>
      <c r="P110" s="5">
        <f>ROUND(Source!DQ83,O110)</f>
        <v>296.09</v>
      </c>
      <c r="Q110" s="5"/>
      <c r="R110" s="5"/>
      <c r="S110" s="5"/>
      <c r="T110" s="5"/>
      <c r="U110" s="5"/>
      <c r="V110" s="5"/>
      <c r="W110" s="5">
        <v>7.72</v>
      </c>
      <c r="X110" s="5">
        <v>1</v>
      </c>
      <c r="Y110" s="5">
        <v>7.72</v>
      </c>
      <c r="Z110" s="5">
        <v>296.09</v>
      </c>
      <c r="AA110" s="5">
        <v>1</v>
      </c>
      <c r="AB110" s="5">
        <v>296.09</v>
      </c>
    </row>
    <row r="111" spans="1:28" ht="12.75">
      <c r="A111" s="5">
        <v>50</v>
      </c>
      <c r="B111" s="5">
        <v>0</v>
      </c>
      <c r="C111" s="5">
        <v>0</v>
      </c>
      <c r="D111" s="5">
        <v>1</v>
      </c>
      <c r="E111" s="5">
        <v>224</v>
      </c>
      <c r="F111" s="5">
        <f>ROUND(Source!AR83,O111)</f>
        <v>291.76</v>
      </c>
      <c r="G111" s="5" t="s">
        <v>128</v>
      </c>
      <c r="H111" s="5" t="s">
        <v>129</v>
      </c>
      <c r="I111" s="5"/>
      <c r="J111" s="5"/>
      <c r="K111" s="5">
        <v>224</v>
      </c>
      <c r="L111" s="5">
        <v>27</v>
      </c>
      <c r="M111" s="5">
        <v>3</v>
      </c>
      <c r="N111" s="5" t="s">
        <v>3</v>
      </c>
      <c r="O111" s="5">
        <v>2</v>
      </c>
      <c r="P111" s="5">
        <f>ROUND(Source!EJ83,O111)</f>
        <v>4458.65</v>
      </c>
      <c r="Q111" s="5"/>
      <c r="R111" s="5"/>
      <c r="S111" s="5"/>
      <c r="T111" s="5"/>
      <c r="U111" s="5"/>
      <c r="V111" s="5"/>
      <c r="W111" s="5">
        <v>291.76</v>
      </c>
      <c r="X111" s="5">
        <v>1</v>
      </c>
      <c r="Y111" s="5">
        <v>291.76</v>
      </c>
      <c r="Z111" s="5">
        <v>4458.650000000001</v>
      </c>
      <c r="AA111" s="5">
        <v>1</v>
      </c>
      <c r="AB111" s="5">
        <v>4458.650000000001</v>
      </c>
    </row>
    <row r="112" spans="1:28" ht="12.75">
      <c r="A112" s="5">
        <v>50</v>
      </c>
      <c r="B112" s="5">
        <v>1</v>
      </c>
      <c r="C112" s="5">
        <v>0</v>
      </c>
      <c r="D112" s="5">
        <v>2</v>
      </c>
      <c r="E112" s="5">
        <v>0</v>
      </c>
      <c r="F112" s="5">
        <f>ROUND(F111,O112)</f>
        <v>291.76</v>
      </c>
      <c r="G112" s="5" t="s">
        <v>130</v>
      </c>
      <c r="H112" s="5" t="s">
        <v>131</v>
      </c>
      <c r="I112" s="5"/>
      <c r="J112" s="5"/>
      <c r="K112" s="5">
        <v>212</v>
      </c>
      <c r="L112" s="5">
        <v>28</v>
      </c>
      <c r="M112" s="5">
        <v>0</v>
      </c>
      <c r="N112" s="5" t="s">
        <v>3</v>
      </c>
      <c r="O112" s="5">
        <v>2</v>
      </c>
      <c r="P112" s="5">
        <f>ROUND(P111,O112)</f>
        <v>4458.65</v>
      </c>
      <c r="Q112" s="5"/>
      <c r="R112" s="5"/>
      <c r="S112" s="5"/>
      <c r="T112" s="5"/>
      <c r="U112" s="5"/>
      <c r="V112" s="5"/>
      <c r="W112" s="5">
        <v>291.76</v>
      </c>
      <c r="X112" s="5">
        <v>1</v>
      </c>
      <c r="Y112" s="5">
        <v>291.76</v>
      </c>
      <c r="Z112" s="5">
        <v>4458.65</v>
      </c>
      <c r="AA112" s="5">
        <v>1</v>
      </c>
      <c r="AB112" s="5">
        <v>4458.65</v>
      </c>
    </row>
    <row r="114" spans="1:206" ht="12.75">
      <c r="A114" s="3">
        <v>51</v>
      </c>
      <c r="B114" s="3">
        <f>B20</f>
        <v>1</v>
      </c>
      <c r="C114" s="3">
        <f>A20</f>
        <v>3</v>
      </c>
      <c r="D114" s="3">
        <f>ROW(A20)</f>
        <v>20</v>
      </c>
      <c r="E114" s="3"/>
      <c r="F114" s="3">
        <f>IF(F20&lt;&gt;"",F20,"")</f>
      </c>
      <c r="G114" s="3" t="str">
        <f>IF(G20&lt;&gt;"",G20,"")</f>
        <v>Выполнение работ по замене стеклопакетов на 3 этаже КОНа</v>
      </c>
      <c r="H114" s="3">
        <v>0</v>
      </c>
      <c r="I114" s="3"/>
      <c r="J114" s="3"/>
      <c r="K114" s="3"/>
      <c r="L114" s="3"/>
      <c r="M114" s="3"/>
      <c r="N114" s="3"/>
      <c r="O114" s="3">
        <f aca="true" t="shared" si="79" ref="O114:T114">ROUND(O41+O83+AB114,2)</f>
        <v>513198.3</v>
      </c>
      <c r="P114" s="3">
        <f t="shared" si="79"/>
        <v>491038.31</v>
      </c>
      <c r="Q114" s="3">
        <f t="shared" si="79"/>
        <v>20496.23</v>
      </c>
      <c r="R114" s="3">
        <f t="shared" si="79"/>
        <v>1141.61</v>
      </c>
      <c r="S114" s="3">
        <f t="shared" si="79"/>
        <v>1663.76</v>
      </c>
      <c r="T114" s="3">
        <f t="shared" si="79"/>
        <v>0</v>
      </c>
      <c r="U114" s="3">
        <f>U41+U83+AH114</f>
        <v>190.081897</v>
      </c>
      <c r="V114" s="3">
        <f>V41+V83+AI114</f>
        <v>0.896625</v>
      </c>
      <c r="W114" s="3">
        <f>ROUND(W41+W83+AJ114,2)</f>
        <v>0</v>
      </c>
      <c r="X114" s="3">
        <f>ROUND(X41+X83+AK114,2)</f>
        <v>2845.35</v>
      </c>
      <c r="Y114" s="3">
        <f>ROUND(Y41+Y83+AL114,2)</f>
        <v>1699.58</v>
      </c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>
        <f aca="true" t="shared" si="80" ref="AO114:BD114">ROUND(AO41+AO83+BX114,2)</f>
        <v>0</v>
      </c>
      <c r="AP114" s="3">
        <f t="shared" si="80"/>
        <v>0</v>
      </c>
      <c r="AQ114" s="3">
        <f t="shared" si="80"/>
        <v>0</v>
      </c>
      <c r="AR114" s="3">
        <f t="shared" si="80"/>
        <v>517954.76</v>
      </c>
      <c r="AS114" s="3">
        <f t="shared" si="80"/>
        <v>517954.76</v>
      </c>
      <c r="AT114" s="3">
        <f t="shared" si="80"/>
        <v>0</v>
      </c>
      <c r="AU114" s="3">
        <f t="shared" si="80"/>
        <v>0</v>
      </c>
      <c r="AV114" s="3">
        <f t="shared" si="80"/>
        <v>491038.31</v>
      </c>
      <c r="AW114" s="3">
        <f t="shared" si="80"/>
        <v>491038.31</v>
      </c>
      <c r="AX114" s="3">
        <f t="shared" si="80"/>
        <v>0</v>
      </c>
      <c r="AY114" s="3">
        <f t="shared" si="80"/>
        <v>491038.31</v>
      </c>
      <c r="AZ114" s="3">
        <f t="shared" si="80"/>
        <v>0</v>
      </c>
      <c r="BA114" s="3">
        <f t="shared" si="80"/>
        <v>0</v>
      </c>
      <c r="BB114" s="3">
        <f t="shared" si="80"/>
        <v>0</v>
      </c>
      <c r="BC114" s="3">
        <f t="shared" si="80"/>
        <v>0</v>
      </c>
      <c r="BD114" s="3">
        <f t="shared" si="80"/>
        <v>211.53</v>
      </c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4">
        <f aca="true" t="shared" si="81" ref="DG114:DL114">ROUND(DG41+DG83+DT114,2)</f>
        <v>747867.54</v>
      </c>
      <c r="DH114" s="4">
        <f t="shared" si="81"/>
        <v>521305.69</v>
      </c>
      <c r="DI114" s="4">
        <f t="shared" si="81"/>
        <v>162739.68</v>
      </c>
      <c r="DJ114" s="4">
        <f t="shared" si="81"/>
        <v>43792.35</v>
      </c>
      <c r="DK114" s="4">
        <f t="shared" si="81"/>
        <v>63822.17</v>
      </c>
      <c r="DL114" s="4">
        <f t="shared" si="81"/>
        <v>0</v>
      </c>
      <c r="DM114" s="4">
        <f>DM41+DM83+DZ114</f>
        <v>190.081897</v>
      </c>
      <c r="DN114" s="4">
        <f>DN41+DN83+EA114</f>
        <v>0.896625</v>
      </c>
      <c r="DO114" s="4">
        <f>ROUND(DO41+DO83+EB114,2)</f>
        <v>0</v>
      </c>
      <c r="DP114" s="4">
        <f>ROUND(DP41+DP83+EC114,2)</f>
        <v>109147.89</v>
      </c>
      <c r="DQ114" s="4">
        <f>ROUND(DQ41+DQ83+ED114,2)</f>
        <v>65196.26</v>
      </c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>
        <f aca="true" t="shared" si="82" ref="EG114:EV114">ROUND(EG41+EG83+FP114,2)</f>
        <v>0</v>
      </c>
      <c r="EH114" s="4">
        <f t="shared" si="82"/>
        <v>0</v>
      </c>
      <c r="EI114" s="4">
        <f t="shared" si="82"/>
        <v>0</v>
      </c>
      <c r="EJ114" s="4">
        <f t="shared" si="82"/>
        <v>924799.96</v>
      </c>
      <c r="EK114" s="4">
        <f t="shared" si="82"/>
        <v>924799.96</v>
      </c>
      <c r="EL114" s="4">
        <f t="shared" si="82"/>
        <v>0</v>
      </c>
      <c r="EM114" s="4">
        <f t="shared" si="82"/>
        <v>0</v>
      </c>
      <c r="EN114" s="4">
        <f t="shared" si="82"/>
        <v>521305.69</v>
      </c>
      <c r="EO114" s="4">
        <f t="shared" si="82"/>
        <v>521305.69</v>
      </c>
      <c r="EP114" s="4">
        <f t="shared" si="82"/>
        <v>0</v>
      </c>
      <c r="EQ114" s="4">
        <f t="shared" si="82"/>
        <v>521305.69</v>
      </c>
      <c r="ER114" s="4">
        <f t="shared" si="82"/>
        <v>0</v>
      </c>
      <c r="ES114" s="4">
        <f t="shared" si="82"/>
        <v>0</v>
      </c>
      <c r="ET114" s="4">
        <f t="shared" si="82"/>
        <v>0</v>
      </c>
      <c r="EU114" s="4">
        <f t="shared" si="82"/>
        <v>0</v>
      </c>
      <c r="EV114" s="4">
        <f t="shared" si="82"/>
        <v>2588.27</v>
      </c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>
        <v>0</v>
      </c>
    </row>
    <row r="116" spans="1:28" ht="12.75">
      <c r="A116" s="5">
        <v>50</v>
      </c>
      <c r="B116" s="5">
        <v>0</v>
      </c>
      <c r="C116" s="5">
        <v>0</v>
      </c>
      <c r="D116" s="5">
        <v>1</v>
      </c>
      <c r="E116" s="5">
        <v>201</v>
      </c>
      <c r="F116" s="5">
        <f>ROUND(Source!O114,O116)</f>
        <v>513198.3</v>
      </c>
      <c r="G116" s="5" t="s">
        <v>76</v>
      </c>
      <c r="H116" s="5" t="s">
        <v>77</v>
      </c>
      <c r="I116" s="5"/>
      <c r="J116" s="5"/>
      <c r="K116" s="5">
        <v>201</v>
      </c>
      <c r="L116" s="5">
        <v>1</v>
      </c>
      <c r="M116" s="5">
        <v>3</v>
      </c>
      <c r="N116" s="5" t="s">
        <v>3</v>
      </c>
      <c r="O116" s="5">
        <v>2</v>
      </c>
      <c r="P116" s="5">
        <f>ROUND(Source!DG114,O116)</f>
        <v>747867.54</v>
      </c>
      <c r="Q116" s="5"/>
      <c r="R116" s="5"/>
      <c r="S116" s="5"/>
      <c r="T116" s="5"/>
      <c r="U116" s="5"/>
      <c r="V116" s="5"/>
      <c r="W116" s="5">
        <v>513409.83</v>
      </c>
      <c r="X116" s="5">
        <v>1</v>
      </c>
      <c r="Y116" s="5">
        <v>513409.83</v>
      </c>
      <c r="Z116" s="5">
        <v>750455.8099999999</v>
      </c>
      <c r="AA116" s="5">
        <v>1</v>
      </c>
      <c r="AB116" s="5">
        <v>750455.8099999999</v>
      </c>
    </row>
    <row r="117" spans="1:28" ht="12.75">
      <c r="A117" s="5">
        <v>50</v>
      </c>
      <c r="B117" s="5">
        <v>0</v>
      </c>
      <c r="C117" s="5">
        <v>0</v>
      </c>
      <c r="D117" s="5">
        <v>1</v>
      </c>
      <c r="E117" s="5">
        <v>202</v>
      </c>
      <c r="F117" s="5">
        <f>ROUND(Source!P114,O117)</f>
        <v>491038.31</v>
      </c>
      <c r="G117" s="5" t="s">
        <v>78</v>
      </c>
      <c r="H117" s="5" t="s">
        <v>79</v>
      </c>
      <c r="I117" s="5"/>
      <c r="J117" s="5"/>
      <c r="K117" s="5">
        <v>202</v>
      </c>
      <c r="L117" s="5">
        <v>2</v>
      </c>
      <c r="M117" s="5">
        <v>3</v>
      </c>
      <c r="N117" s="5" t="s">
        <v>3</v>
      </c>
      <c r="O117" s="5">
        <v>2</v>
      </c>
      <c r="P117" s="5">
        <f>ROUND(Source!DH114,O117)</f>
        <v>521305.69</v>
      </c>
      <c r="Q117" s="5"/>
      <c r="R117" s="5"/>
      <c r="S117" s="5"/>
      <c r="T117" s="5"/>
      <c r="U117" s="5"/>
      <c r="V117" s="5"/>
      <c r="W117" s="5">
        <v>491038.31</v>
      </c>
      <c r="X117" s="5">
        <v>1</v>
      </c>
      <c r="Y117" s="5">
        <v>491038.31</v>
      </c>
      <c r="Z117" s="5">
        <v>521305.69</v>
      </c>
      <c r="AA117" s="5">
        <v>1</v>
      </c>
      <c r="AB117" s="5">
        <v>521305.69</v>
      </c>
    </row>
    <row r="118" spans="1:28" ht="12.75">
      <c r="A118" s="5">
        <v>50</v>
      </c>
      <c r="B118" s="5">
        <v>0</v>
      </c>
      <c r="C118" s="5">
        <v>0</v>
      </c>
      <c r="D118" s="5">
        <v>1</v>
      </c>
      <c r="E118" s="5">
        <v>222</v>
      </c>
      <c r="F118" s="5">
        <f>ROUND(Source!AO114,O118)</f>
        <v>0</v>
      </c>
      <c r="G118" s="5" t="s">
        <v>80</v>
      </c>
      <c r="H118" s="5" t="s">
        <v>81</v>
      </c>
      <c r="I118" s="5"/>
      <c r="J118" s="5"/>
      <c r="K118" s="5">
        <v>222</v>
      </c>
      <c r="L118" s="5">
        <v>3</v>
      </c>
      <c r="M118" s="5">
        <v>3</v>
      </c>
      <c r="N118" s="5" t="s">
        <v>3</v>
      </c>
      <c r="O118" s="5">
        <v>2</v>
      </c>
      <c r="P118" s="5">
        <f>ROUND(Source!EG114,O118)</f>
        <v>0</v>
      </c>
      <c r="Q118" s="5"/>
      <c r="R118" s="5"/>
      <c r="S118" s="5"/>
      <c r="T118" s="5"/>
      <c r="U118" s="5"/>
      <c r="V118" s="5"/>
      <c r="W118" s="5">
        <v>0</v>
      </c>
      <c r="X118" s="5">
        <v>1</v>
      </c>
      <c r="Y118" s="5">
        <v>0</v>
      </c>
      <c r="Z118" s="5">
        <v>0</v>
      </c>
      <c r="AA118" s="5">
        <v>1</v>
      </c>
      <c r="AB118" s="5">
        <v>0</v>
      </c>
    </row>
    <row r="119" spans="1:28" ht="12.75">
      <c r="A119" s="5">
        <v>50</v>
      </c>
      <c r="B119" s="5">
        <v>0</v>
      </c>
      <c r="C119" s="5">
        <v>0</v>
      </c>
      <c r="D119" s="5">
        <v>1</v>
      </c>
      <c r="E119" s="5">
        <v>225</v>
      </c>
      <c r="F119" s="5">
        <f>ROUND(Source!AV114,O119)</f>
        <v>491038.31</v>
      </c>
      <c r="G119" s="5" t="s">
        <v>82</v>
      </c>
      <c r="H119" s="5" t="s">
        <v>83</v>
      </c>
      <c r="I119" s="5"/>
      <c r="J119" s="5"/>
      <c r="K119" s="5">
        <v>225</v>
      </c>
      <c r="L119" s="5">
        <v>4</v>
      </c>
      <c r="M119" s="5">
        <v>3</v>
      </c>
      <c r="N119" s="5" t="s">
        <v>3</v>
      </c>
      <c r="O119" s="5">
        <v>2</v>
      </c>
      <c r="P119" s="5">
        <f>ROUND(Source!EN114,O119)</f>
        <v>521305.69</v>
      </c>
      <c r="Q119" s="5"/>
      <c r="R119" s="5"/>
      <c r="S119" s="5"/>
      <c r="T119" s="5"/>
      <c r="U119" s="5"/>
      <c r="V119" s="5"/>
      <c r="W119" s="5">
        <v>491038.31</v>
      </c>
      <c r="X119" s="5">
        <v>1</v>
      </c>
      <c r="Y119" s="5">
        <v>491038.31</v>
      </c>
      <c r="Z119" s="5">
        <v>521305.69</v>
      </c>
      <c r="AA119" s="5">
        <v>1</v>
      </c>
      <c r="AB119" s="5">
        <v>521305.69</v>
      </c>
    </row>
    <row r="120" spans="1:28" ht="12.75">
      <c r="A120" s="5">
        <v>50</v>
      </c>
      <c r="B120" s="5">
        <v>0</v>
      </c>
      <c r="C120" s="5">
        <v>0</v>
      </c>
      <c r="D120" s="5">
        <v>1</v>
      </c>
      <c r="E120" s="5">
        <v>226</v>
      </c>
      <c r="F120" s="5">
        <f>ROUND(Source!AW114,O120)</f>
        <v>491038.31</v>
      </c>
      <c r="G120" s="5" t="s">
        <v>84</v>
      </c>
      <c r="H120" s="5" t="s">
        <v>85</v>
      </c>
      <c r="I120" s="5"/>
      <c r="J120" s="5"/>
      <c r="K120" s="5">
        <v>226</v>
      </c>
      <c r="L120" s="5">
        <v>5</v>
      </c>
      <c r="M120" s="5">
        <v>3</v>
      </c>
      <c r="N120" s="5" t="s">
        <v>3</v>
      </c>
      <c r="O120" s="5">
        <v>2</v>
      </c>
      <c r="P120" s="5">
        <f>ROUND(Source!EO114,O120)</f>
        <v>521305.69</v>
      </c>
      <c r="Q120" s="5"/>
      <c r="R120" s="5"/>
      <c r="S120" s="5"/>
      <c r="T120" s="5"/>
      <c r="U120" s="5"/>
      <c r="V120" s="5"/>
      <c r="W120" s="5">
        <v>491038.31</v>
      </c>
      <c r="X120" s="5">
        <v>1</v>
      </c>
      <c r="Y120" s="5">
        <v>491038.31</v>
      </c>
      <c r="Z120" s="5">
        <v>521305.69</v>
      </c>
      <c r="AA120" s="5">
        <v>1</v>
      </c>
      <c r="AB120" s="5">
        <v>521305.69</v>
      </c>
    </row>
    <row r="121" spans="1:28" ht="12.75">
      <c r="A121" s="5">
        <v>50</v>
      </c>
      <c r="B121" s="5">
        <v>0</v>
      </c>
      <c r="C121" s="5">
        <v>0</v>
      </c>
      <c r="D121" s="5">
        <v>1</v>
      </c>
      <c r="E121" s="5">
        <v>227</v>
      </c>
      <c r="F121" s="5">
        <f>ROUND(Source!AX114,O121)</f>
        <v>0</v>
      </c>
      <c r="G121" s="5" t="s">
        <v>86</v>
      </c>
      <c r="H121" s="5" t="s">
        <v>87</v>
      </c>
      <c r="I121" s="5"/>
      <c r="J121" s="5"/>
      <c r="K121" s="5">
        <v>227</v>
      </c>
      <c r="L121" s="5">
        <v>6</v>
      </c>
      <c r="M121" s="5">
        <v>3</v>
      </c>
      <c r="N121" s="5" t="s">
        <v>3</v>
      </c>
      <c r="O121" s="5">
        <v>2</v>
      </c>
      <c r="P121" s="5">
        <f>ROUND(Source!EP114,O121)</f>
        <v>0</v>
      </c>
      <c r="Q121" s="5"/>
      <c r="R121" s="5"/>
      <c r="S121" s="5"/>
      <c r="T121" s="5"/>
      <c r="U121" s="5"/>
      <c r="V121" s="5"/>
      <c r="W121" s="5">
        <v>0</v>
      </c>
      <c r="X121" s="5">
        <v>1</v>
      </c>
      <c r="Y121" s="5">
        <v>0</v>
      </c>
      <c r="Z121" s="5">
        <v>0</v>
      </c>
      <c r="AA121" s="5">
        <v>1</v>
      </c>
      <c r="AB121" s="5">
        <v>0</v>
      </c>
    </row>
    <row r="122" spans="1:28" ht="12.75">
      <c r="A122" s="5">
        <v>50</v>
      </c>
      <c r="B122" s="5">
        <v>0</v>
      </c>
      <c r="C122" s="5">
        <v>0</v>
      </c>
      <c r="D122" s="5">
        <v>1</v>
      </c>
      <c r="E122" s="5">
        <v>228</v>
      </c>
      <c r="F122" s="5">
        <f>ROUND(Source!AY114,O122)</f>
        <v>491038.31</v>
      </c>
      <c r="G122" s="5" t="s">
        <v>88</v>
      </c>
      <c r="H122" s="5" t="s">
        <v>89</v>
      </c>
      <c r="I122" s="5"/>
      <c r="J122" s="5"/>
      <c r="K122" s="5">
        <v>228</v>
      </c>
      <c r="L122" s="5">
        <v>7</v>
      </c>
      <c r="M122" s="5">
        <v>3</v>
      </c>
      <c r="N122" s="5" t="s">
        <v>3</v>
      </c>
      <c r="O122" s="5">
        <v>2</v>
      </c>
      <c r="P122" s="5">
        <f>ROUND(Source!EQ114,O122)</f>
        <v>521305.69</v>
      </c>
      <c r="Q122" s="5"/>
      <c r="R122" s="5"/>
      <c r="S122" s="5"/>
      <c r="T122" s="5"/>
      <c r="U122" s="5"/>
      <c r="V122" s="5"/>
      <c r="W122" s="5">
        <v>491038.31</v>
      </c>
      <c r="X122" s="5">
        <v>1</v>
      </c>
      <c r="Y122" s="5">
        <v>491038.31</v>
      </c>
      <c r="Z122" s="5">
        <v>521305.69</v>
      </c>
      <c r="AA122" s="5">
        <v>1</v>
      </c>
      <c r="AB122" s="5">
        <v>521305.69</v>
      </c>
    </row>
    <row r="123" spans="1:28" ht="12.75">
      <c r="A123" s="5">
        <v>50</v>
      </c>
      <c r="B123" s="5">
        <v>0</v>
      </c>
      <c r="C123" s="5">
        <v>0</v>
      </c>
      <c r="D123" s="5">
        <v>1</v>
      </c>
      <c r="E123" s="5">
        <v>216</v>
      </c>
      <c r="F123" s="5">
        <f>ROUND(Source!AP114,O123)</f>
        <v>0</v>
      </c>
      <c r="G123" s="5" t="s">
        <v>90</v>
      </c>
      <c r="H123" s="5" t="s">
        <v>91</v>
      </c>
      <c r="I123" s="5"/>
      <c r="J123" s="5"/>
      <c r="K123" s="5">
        <v>216</v>
      </c>
      <c r="L123" s="5">
        <v>8</v>
      </c>
      <c r="M123" s="5">
        <v>3</v>
      </c>
      <c r="N123" s="5" t="s">
        <v>3</v>
      </c>
      <c r="O123" s="5">
        <v>2</v>
      </c>
      <c r="P123" s="5">
        <f>ROUND(Source!EH114,O123)</f>
        <v>0</v>
      </c>
      <c r="Q123" s="5"/>
      <c r="R123" s="5"/>
      <c r="S123" s="5"/>
      <c r="T123" s="5"/>
      <c r="U123" s="5"/>
      <c r="V123" s="5"/>
      <c r="W123" s="5">
        <v>0</v>
      </c>
      <c r="X123" s="5">
        <v>1</v>
      </c>
      <c r="Y123" s="5">
        <v>0</v>
      </c>
      <c r="Z123" s="5">
        <v>0</v>
      </c>
      <c r="AA123" s="5">
        <v>1</v>
      </c>
      <c r="AB123" s="5">
        <v>0</v>
      </c>
    </row>
    <row r="124" spans="1:28" ht="12.75">
      <c r="A124" s="5">
        <v>50</v>
      </c>
      <c r="B124" s="5">
        <v>0</v>
      </c>
      <c r="C124" s="5">
        <v>0</v>
      </c>
      <c r="D124" s="5">
        <v>1</v>
      </c>
      <c r="E124" s="5">
        <v>223</v>
      </c>
      <c r="F124" s="5">
        <f>ROUND(Source!AQ114,O124)</f>
        <v>0</v>
      </c>
      <c r="G124" s="5" t="s">
        <v>92</v>
      </c>
      <c r="H124" s="5" t="s">
        <v>93</v>
      </c>
      <c r="I124" s="5"/>
      <c r="J124" s="5"/>
      <c r="K124" s="5">
        <v>223</v>
      </c>
      <c r="L124" s="5">
        <v>9</v>
      </c>
      <c r="M124" s="5">
        <v>3</v>
      </c>
      <c r="N124" s="5" t="s">
        <v>3</v>
      </c>
      <c r="O124" s="5">
        <v>2</v>
      </c>
      <c r="P124" s="5">
        <f>ROUND(Source!EI114,O124)</f>
        <v>0</v>
      </c>
      <c r="Q124" s="5"/>
      <c r="R124" s="5"/>
      <c r="S124" s="5"/>
      <c r="T124" s="5"/>
      <c r="U124" s="5"/>
      <c r="V124" s="5"/>
      <c r="W124" s="5">
        <v>0</v>
      </c>
      <c r="X124" s="5">
        <v>1</v>
      </c>
      <c r="Y124" s="5">
        <v>0</v>
      </c>
      <c r="Z124" s="5">
        <v>0</v>
      </c>
      <c r="AA124" s="5">
        <v>1</v>
      </c>
      <c r="AB124" s="5">
        <v>0</v>
      </c>
    </row>
    <row r="125" spans="1:28" ht="12.75">
      <c r="A125" s="5">
        <v>50</v>
      </c>
      <c r="B125" s="5">
        <v>0</v>
      </c>
      <c r="C125" s="5">
        <v>0</v>
      </c>
      <c r="D125" s="5">
        <v>1</v>
      </c>
      <c r="E125" s="5">
        <v>229</v>
      </c>
      <c r="F125" s="5">
        <f>ROUND(Source!AZ114,O125)</f>
        <v>0</v>
      </c>
      <c r="G125" s="5" t="s">
        <v>94</v>
      </c>
      <c r="H125" s="5" t="s">
        <v>95</v>
      </c>
      <c r="I125" s="5"/>
      <c r="J125" s="5"/>
      <c r="K125" s="5">
        <v>229</v>
      </c>
      <c r="L125" s="5">
        <v>10</v>
      </c>
      <c r="M125" s="5">
        <v>3</v>
      </c>
      <c r="N125" s="5" t="s">
        <v>3</v>
      </c>
      <c r="O125" s="5">
        <v>2</v>
      </c>
      <c r="P125" s="5">
        <f>ROUND(Source!ER114,O125)</f>
        <v>0</v>
      </c>
      <c r="Q125" s="5"/>
      <c r="R125" s="5"/>
      <c r="S125" s="5"/>
      <c r="T125" s="5"/>
      <c r="U125" s="5"/>
      <c r="V125" s="5"/>
      <c r="W125" s="5">
        <v>0</v>
      </c>
      <c r="X125" s="5">
        <v>1</v>
      </c>
      <c r="Y125" s="5">
        <v>0</v>
      </c>
      <c r="Z125" s="5">
        <v>0</v>
      </c>
      <c r="AA125" s="5">
        <v>1</v>
      </c>
      <c r="AB125" s="5">
        <v>0</v>
      </c>
    </row>
    <row r="126" spans="1:28" ht="12.75">
      <c r="A126" s="5">
        <v>50</v>
      </c>
      <c r="B126" s="5">
        <v>0</v>
      </c>
      <c r="C126" s="5">
        <v>0</v>
      </c>
      <c r="D126" s="5">
        <v>1</v>
      </c>
      <c r="E126" s="5">
        <v>203</v>
      </c>
      <c r="F126" s="5">
        <f>ROUND(Source!Q114,O126)</f>
        <v>20496.23</v>
      </c>
      <c r="G126" s="5" t="s">
        <v>96</v>
      </c>
      <c r="H126" s="5" t="s">
        <v>97</v>
      </c>
      <c r="I126" s="5"/>
      <c r="J126" s="5"/>
      <c r="K126" s="5">
        <v>203</v>
      </c>
      <c r="L126" s="5">
        <v>11</v>
      </c>
      <c r="M126" s="5">
        <v>3</v>
      </c>
      <c r="N126" s="5" t="s">
        <v>3</v>
      </c>
      <c r="O126" s="5">
        <v>2</v>
      </c>
      <c r="P126" s="5">
        <f>ROUND(Source!DI114,O126)</f>
        <v>162739.68</v>
      </c>
      <c r="Q126" s="5"/>
      <c r="R126" s="5"/>
      <c r="S126" s="5"/>
      <c r="T126" s="5"/>
      <c r="U126" s="5"/>
      <c r="V126" s="5"/>
      <c r="W126" s="5">
        <v>20496.23</v>
      </c>
      <c r="X126" s="5">
        <v>1</v>
      </c>
      <c r="Y126" s="5">
        <v>20496.23</v>
      </c>
      <c r="Z126" s="5">
        <v>162739.68</v>
      </c>
      <c r="AA126" s="5">
        <v>1</v>
      </c>
      <c r="AB126" s="5">
        <v>162739.68</v>
      </c>
    </row>
    <row r="127" spans="1:28" ht="12.75">
      <c r="A127" s="5">
        <v>50</v>
      </c>
      <c r="B127" s="5">
        <v>0</v>
      </c>
      <c r="C127" s="5">
        <v>0</v>
      </c>
      <c r="D127" s="5">
        <v>1</v>
      </c>
      <c r="E127" s="5">
        <v>231</v>
      </c>
      <c r="F127" s="5">
        <f>ROUND(Source!BB114,O127)</f>
        <v>0</v>
      </c>
      <c r="G127" s="5" t="s">
        <v>98</v>
      </c>
      <c r="H127" s="5" t="s">
        <v>99</v>
      </c>
      <c r="I127" s="5"/>
      <c r="J127" s="5"/>
      <c r="K127" s="5">
        <v>231</v>
      </c>
      <c r="L127" s="5">
        <v>12</v>
      </c>
      <c r="M127" s="5">
        <v>3</v>
      </c>
      <c r="N127" s="5" t="s">
        <v>3</v>
      </c>
      <c r="O127" s="5">
        <v>2</v>
      </c>
      <c r="P127" s="5">
        <f>ROUND(Source!ET114,O127)</f>
        <v>0</v>
      </c>
      <c r="Q127" s="5"/>
      <c r="R127" s="5"/>
      <c r="S127" s="5"/>
      <c r="T127" s="5"/>
      <c r="U127" s="5"/>
      <c r="V127" s="5"/>
      <c r="W127" s="5">
        <v>0</v>
      </c>
      <c r="X127" s="5">
        <v>1</v>
      </c>
      <c r="Y127" s="5">
        <v>0</v>
      </c>
      <c r="Z127" s="5">
        <v>0</v>
      </c>
      <c r="AA127" s="5">
        <v>1</v>
      </c>
      <c r="AB127" s="5">
        <v>0</v>
      </c>
    </row>
    <row r="128" spans="1:28" ht="12.75">
      <c r="A128" s="5">
        <v>50</v>
      </c>
      <c r="B128" s="5">
        <v>0</v>
      </c>
      <c r="C128" s="5">
        <v>0</v>
      </c>
      <c r="D128" s="5">
        <v>1</v>
      </c>
      <c r="E128" s="5">
        <v>204</v>
      </c>
      <c r="F128" s="5">
        <f>ROUND(Source!R114,O128)</f>
        <v>1141.61</v>
      </c>
      <c r="G128" s="5" t="s">
        <v>100</v>
      </c>
      <c r="H128" s="5" t="s">
        <v>101</v>
      </c>
      <c r="I128" s="5"/>
      <c r="J128" s="5"/>
      <c r="K128" s="5">
        <v>204</v>
      </c>
      <c r="L128" s="5">
        <v>13</v>
      </c>
      <c r="M128" s="5">
        <v>3</v>
      </c>
      <c r="N128" s="5" t="s">
        <v>3</v>
      </c>
      <c r="O128" s="5">
        <v>2</v>
      </c>
      <c r="P128" s="5">
        <f>ROUND(Source!DJ114,O128)</f>
        <v>43792.35</v>
      </c>
      <c r="Q128" s="5"/>
      <c r="R128" s="5"/>
      <c r="S128" s="5"/>
      <c r="T128" s="5"/>
      <c r="U128" s="5"/>
      <c r="V128" s="5"/>
      <c r="W128" s="5">
        <v>1141.61</v>
      </c>
      <c r="X128" s="5">
        <v>1</v>
      </c>
      <c r="Y128" s="5">
        <v>1141.61</v>
      </c>
      <c r="Z128" s="5">
        <v>43792.34999999999</v>
      </c>
      <c r="AA128" s="5">
        <v>1</v>
      </c>
      <c r="AB128" s="5">
        <v>43792.34999999999</v>
      </c>
    </row>
    <row r="129" spans="1:28" ht="12.75">
      <c r="A129" s="5">
        <v>50</v>
      </c>
      <c r="B129" s="5">
        <v>0</v>
      </c>
      <c r="C129" s="5">
        <v>0</v>
      </c>
      <c r="D129" s="5">
        <v>1</v>
      </c>
      <c r="E129" s="5">
        <v>205</v>
      </c>
      <c r="F129" s="5">
        <f>ROUND(Source!S114,O129)</f>
        <v>1663.76</v>
      </c>
      <c r="G129" s="5" t="s">
        <v>102</v>
      </c>
      <c r="H129" s="5" t="s">
        <v>103</v>
      </c>
      <c r="I129" s="5"/>
      <c r="J129" s="5"/>
      <c r="K129" s="5">
        <v>205</v>
      </c>
      <c r="L129" s="5">
        <v>14</v>
      </c>
      <c r="M129" s="5">
        <v>3</v>
      </c>
      <c r="N129" s="5" t="s">
        <v>3</v>
      </c>
      <c r="O129" s="5">
        <v>2</v>
      </c>
      <c r="P129" s="5">
        <f>ROUND(Source!DK114,O129)</f>
        <v>63822.17</v>
      </c>
      <c r="Q129" s="5"/>
      <c r="R129" s="5"/>
      <c r="S129" s="5"/>
      <c r="T129" s="5"/>
      <c r="U129" s="5"/>
      <c r="V129" s="5"/>
      <c r="W129" s="5">
        <v>1663.76</v>
      </c>
      <c r="X129" s="5">
        <v>1</v>
      </c>
      <c r="Y129" s="5">
        <v>1663.76</v>
      </c>
      <c r="Z129" s="5">
        <v>63822.17</v>
      </c>
      <c r="AA129" s="5">
        <v>1</v>
      </c>
      <c r="AB129" s="5">
        <v>63822.17</v>
      </c>
    </row>
    <row r="130" spans="1:28" ht="12.75">
      <c r="A130" s="5">
        <v>50</v>
      </c>
      <c r="B130" s="5">
        <v>0</v>
      </c>
      <c r="C130" s="5">
        <v>0</v>
      </c>
      <c r="D130" s="5">
        <v>1</v>
      </c>
      <c r="E130" s="5">
        <v>232</v>
      </c>
      <c r="F130" s="5">
        <f>ROUND(Source!BC114,O130)</f>
        <v>0</v>
      </c>
      <c r="G130" s="5" t="s">
        <v>104</v>
      </c>
      <c r="H130" s="5" t="s">
        <v>105</v>
      </c>
      <c r="I130" s="5"/>
      <c r="J130" s="5"/>
      <c r="K130" s="5">
        <v>232</v>
      </c>
      <c r="L130" s="5">
        <v>15</v>
      </c>
      <c r="M130" s="5">
        <v>3</v>
      </c>
      <c r="N130" s="5" t="s">
        <v>3</v>
      </c>
      <c r="O130" s="5">
        <v>2</v>
      </c>
      <c r="P130" s="5">
        <f>ROUND(Source!EU114,O130)</f>
        <v>0</v>
      </c>
      <c r="Q130" s="5"/>
      <c r="R130" s="5"/>
      <c r="S130" s="5"/>
      <c r="T130" s="5"/>
      <c r="U130" s="5"/>
      <c r="V130" s="5"/>
      <c r="W130" s="5">
        <v>0</v>
      </c>
      <c r="X130" s="5">
        <v>1</v>
      </c>
      <c r="Y130" s="5">
        <v>0</v>
      </c>
      <c r="Z130" s="5">
        <v>0</v>
      </c>
      <c r="AA130" s="5">
        <v>1</v>
      </c>
      <c r="AB130" s="5">
        <v>0</v>
      </c>
    </row>
    <row r="131" spans="1:28" ht="12.75">
      <c r="A131" s="5">
        <v>50</v>
      </c>
      <c r="B131" s="5">
        <v>0</v>
      </c>
      <c r="C131" s="5">
        <v>0</v>
      </c>
      <c r="D131" s="5">
        <v>1</v>
      </c>
      <c r="E131" s="5">
        <v>214</v>
      </c>
      <c r="F131" s="5">
        <f>ROUND(Source!AS114,O131)</f>
        <v>517954.76</v>
      </c>
      <c r="G131" s="5" t="s">
        <v>106</v>
      </c>
      <c r="H131" s="5" t="s">
        <v>107</v>
      </c>
      <c r="I131" s="5"/>
      <c r="J131" s="5"/>
      <c r="K131" s="5">
        <v>214</v>
      </c>
      <c r="L131" s="5">
        <v>16</v>
      </c>
      <c r="M131" s="5">
        <v>3</v>
      </c>
      <c r="N131" s="5" t="s">
        <v>3</v>
      </c>
      <c r="O131" s="5">
        <v>2</v>
      </c>
      <c r="P131" s="5">
        <f>ROUND(Source!EK114,O131)</f>
        <v>924799.96</v>
      </c>
      <c r="Q131" s="5"/>
      <c r="R131" s="5"/>
      <c r="S131" s="5"/>
      <c r="T131" s="5"/>
      <c r="U131" s="5"/>
      <c r="V131" s="5"/>
      <c r="W131" s="5">
        <v>517954.76</v>
      </c>
      <c r="X131" s="5">
        <v>1</v>
      </c>
      <c r="Y131" s="5">
        <v>517954.76</v>
      </c>
      <c r="Z131" s="5">
        <v>924799.96</v>
      </c>
      <c r="AA131" s="5">
        <v>1</v>
      </c>
      <c r="AB131" s="5">
        <v>924799.96</v>
      </c>
    </row>
    <row r="132" spans="1:28" ht="12.75">
      <c r="A132" s="5">
        <v>50</v>
      </c>
      <c r="B132" s="5">
        <v>0</v>
      </c>
      <c r="C132" s="5">
        <v>0</v>
      </c>
      <c r="D132" s="5">
        <v>1</v>
      </c>
      <c r="E132" s="5">
        <v>215</v>
      </c>
      <c r="F132" s="5">
        <f>ROUND(Source!AT114,O132)</f>
        <v>0</v>
      </c>
      <c r="G132" s="5" t="s">
        <v>108</v>
      </c>
      <c r="H132" s="5" t="s">
        <v>109</v>
      </c>
      <c r="I132" s="5"/>
      <c r="J132" s="5"/>
      <c r="K132" s="5">
        <v>215</v>
      </c>
      <c r="L132" s="5">
        <v>17</v>
      </c>
      <c r="M132" s="5">
        <v>3</v>
      </c>
      <c r="N132" s="5" t="s">
        <v>3</v>
      </c>
      <c r="O132" s="5">
        <v>2</v>
      </c>
      <c r="P132" s="5">
        <f>ROUND(Source!EL114,O132)</f>
        <v>0</v>
      </c>
      <c r="Q132" s="5"/>
      <c r="R132" s="5"/>
      <c r="S132" s="5"/>
      <c r="T132" s="5"/>
      <c r="U132" s="5"/>
      <c r="V132" s="5"/>
      <c r="W132" s="5">
        <v>0</v>
      </c>
      <c r="X132" s="5">
        <v>1</v>
      </c>
      <c r="Y132" s="5">
        <v>0</v>
      </c>
      <c r="Z132" s="5">
        <v>0</v>
      </c>
      <c r="AA132" s="5">
        <v>1</v>
      </c>
      <c r="AB132" s="5">
        <v>0</v>
      </c>
    </row>
    <row r="133" spans="1:28" ht="12.75">
      <c r="A133" s="5">
        <v>50</v>
      </c>
      <c r="B133" s="5">
        <v>0</v>
      </c>
      <c r="C133" s="5">
        <v>0</v>
      </c>
      <c r="D133" s="5">
        <v>1</v>
      </c>
      <c r="E133" s="5">
        <v>217</v>
      </c>
      <c r="F133" s="5">
        <f>ROUND(Source!AU114,O133)</f>
        <v>0</v>
      </c>
      <c r="G133" s="5" t="s">
        <v>110</v>
      </c>
      <c r="H133" s="5" t="s">
        <v>111</v>
      </c>
      <c r="I133" s="5"/>
      <c r="J133" s="5"/>
      <c r="K133" s="5">
        <v>217</v>
      </c>
      <c r="L133" s="5">
        <v>18</v>
      </c>
      <c r="M133" s="5">
        <v>3</v>
      </c>
      <c r="N133" s="5" t="s">
        <v>3</v>
      </c>
      <c r="O133" s="5">
        <v>2</v>
      </c>
      <c r="P133" s="5">
        <f>ROUND(Source!EM114,O133)</f>
        <v>0</v>
      </c>
      <c r="Q133" s="5"/>
      <c r="R133" s="5"/>
      <c r="S133" s="5"/>
      <c r="T133" s="5"/>
      <c r="U133" s="5"/>
      <c r="V133" s="5"/>
      <c r="W133" s="5">
        <v>0</v>
      </c>
      <c r="X133" s="5">
        <v>1</v>
      </c>
      <c r="Y133" s="5">
        <v>0</v>
      </c>
      <c r="Z133" s="5">
        <v>0</v>
      </c>
      <c r="AA133" s="5">
        <v>1</v>
      </c>
      <c r="AB133" s="5">
        <v>0</v>
      </c>
    </row>
    <row r="134" spans="1:28" ht="12.75">
      <c r="A134" s="5">
        <v>50</v>
      </c>
      <c r="B134" s="5">
        <v>0</v>
      </c>
      <c r="C134" s="5">
        <v>0</v>
      </c>
      <c r="D134" s="5">
        <v>1</v>
      </c>
      <c r="E134" s="5">
        <v>230</v>
      </c>
      <c r="F134" s="5">
        <f>ROUND(Source!BA114,O134)</f>
        <v>0</v>
      </c>
      <c r="G134" s="5" t="s">
        <v>112</v>
      </c>
      <c r="H134" s="5" t="s">
        <v>113</v>
      </c>
      <c r="I134" s="5"/>
      <c r="J134" s="5"/>
      <c r="K134" s="5">
        <v>230</v>
      </c>
      <c r="L134" s="5">
        <v>19</v>
      </c>
      <c r="M134" s="5">
        <v>3</v>
      </c>
      <c r="N134" s="5" t="s">
        <v>3</v>
      </c>
      <c r="O134" s="5">
        <v>2</v>
      </c>
      <c r="P134" s="5">
        <f>ROUND(Source!ES114,O134)</f>
        <v>0</v>
      </c>
      <c r="Q134" s="5"/>
      <c r="R134" s="5"/>
      <c r="S134" s="5"/>
      <c r="T134" s="5"/>
      <c r="U134" s="5"/>
      <c r="V134" s="5"/>
      <c r="W134" s="5">
        <v>0</v>
      </c>
      <c r="X134" s="5">
        <v>1</v>
      </c>
      <c r="Y134" s="5">
        <v>0</v>
      </c>
      <c r="Z134" s="5">
        <v>0</v>
      </c>
      <c r="AA134" s="5">
        <v>1</v>
      </c>
      <c r="AB134" s="5">
        <v>0</v>
      </c>
    </row>
    <row r="135" spans="1:28" ht="12.75">
      <c r="A135" s="5">
        <v>50</v>
      </c>
      <c r="B135" s="5">
        <v>0</v>
      </c>
      <c r="C135" s="5">
        <v>0</v>
      </c>
      <c r="D135" s="5">
        <v>1</v>
      </c>
      <c r="E135" s="5">
        <v>206</v>
      </c>
      <c r="F135" s="5">
        <f>ROUND(Source!T114,O135)</f>
        <v>0</v>
      </c>
      <c r="G135" s="5" t="s">
        <v>114</v>
      </c>
      <c r="H135" s="5" t="s">
        <v>115</v>
      </c>
      <c r="I135" s="5"/>
      <c r="J135" s="5"/>
      <c r="K135" s="5">
        <v>206</v>
      </c>
      <c r="L135" s="5">
        <v>20</v>
      </c>
      <c r="M135" s="5">
        <v>3</v>
      </c>
      <c r="N135" s="5" t="s">
        <v>3</v>
      </c>
      <c r="O135" s="5">
        <v>2</v>
      </c>
      <c r="P135" s="5">
        <f>ROUND(Source!DL114,O135)</f>
        <v>0</v>
      </c>
      <c r="Q135" s="5"/>
      <c r="R135" s="5"/>
      <c r="S135" s="5"/>
      <c r="T135" s="5"/>
      <c r="U135" s="5"/>
      <c r="V135" s="5"/>
      <c r="W135" s="5">
        <v>0</v>
      </c>
      <c r="X135" s="5">
        <v>1</v>
      </c>
      <c r="Y135" s="5">
        <v>0</v>
      </c>
      <c r="Z135" s="5">
        <v>0</v>
      </c>
      <c r="AA135" s="5">
        <v>1</v>
      </c>
      <c r="AB135" s="5">
        <v>0</v>
      </c>
    </row>
    <row r="136" spans="1:28" ht="12.75">
      <c r="A136" s="5">
        <v>50</v>
      </c>
      <c r="B136" s="5">
        <v>0</v>
      </c>
      <c r="C136" s="5">
        <v>0</v>
      </c>
      <c r="D136" s="5">
        <v>1</v>
      </c>
      <c r="E136" s="5">
        <v>207</v>
      </c>
      <c r="F136" s="5">
        <f>Source!U114</f>
        <v>190.081897</v>
      </c>
      <c r="G136" s="5" t="s">
        <v>116</v>
      </c>
      <c r="H136" s="5" t="s">
        <v>117</v>
      </c>
      <c r="I136" s="5"/>
      <c r="J136" s="5"/>
      <c r="K136" s="5">
        <v>207</v>
      </c>
      <c r="L136" s="5">
        <v>21</v>
      </c>
      <c r="M136" s="5">
        <v>3</v>
      </c>
      <c r="N136" s="5" t="s">
        <v>3</v>
      </c>
      <c r="O136" s="5">
        <v>-1</v>
      </c>
      <c r="P136" s="5">
        <f>Source!DM114</f>
        <v>190.081897</v>
      </c>
      <c r="Q136" s="5"/>
      <c r="R136" s="5"/>
      <c r="S136" s="5"/>
      <c r="T136" s="5"/>
      <c r="U136" s="5"/>
      <c r="V136" s="5"/>
      <c r="W136" s="5">
        <v>190.081897</v>
      </c>
      <c r="X136" s="5">
        <v>1</v>
      </c>
      <c r="Y136" s="5">
        <v>190.081897</v>
      </c>
      <c r="Z136" s="5">
        <v>190.081897</v>
      </c>
      <c r="AA136" s="5">
        <v>1</v>
      </c>
      <c r="AB136" s="5">
        <v>190.081897</v>
      </c>
    </row>
    <row r="137" spans="1:28" ht="12.75">
      <c r="A137" s="5">
        <v>50</v>
      </c>
      <c r="B137" s="5">
        <v>0</v>
      </c>
      <c r="C137" s="5">
        <v>0</v>
      </c>
      <c r="D137" s="5">
        <v>1</v>
      </c>
      <c r="E137" s="5">
        <v>208</v>
      </c>
      <c r="F137" s="5">
        <f>Source!V114</f>
        <v>0.896625</v>
      </c>
      <c r="G137" s="5" t="s">
        <v>118</v>
      </c>
      <c r="H137" s="5" t="s">
        <v>119</v>
      </c>
      <c r="I137" s="5"/>
      <c r="J137" s="5"/>
      <c r="K137" s="5">
        <v>208</v>
      </c>
      <c r="L137" s="5">
        <v>22</v>
      </c>
      <c r="M137" s="5">
        <v>3</v>
      </c>
      <c r="N137" s="5" t="s">
        <v>3</v>
      </c>
      <c r="O137" s="5">
        <v>-1</v>
      </c>
      <c r="P137" s="5">
        <f>Source!DN114</f>
        <v>0.896625</v>
      </c>
      <c r="Q137" s="5"/>
      <c r="R137" s="5"/>
      <c r="S137" s="5"/>
      <c r="T137" s="5"/>
      <c r="U137" s="5"/>
      <c r="V137" s="5"/>
      <c r="W137" s="5">
        <v>0.896625</v>
      </c>
      <c r="X137" s="5">
        <v>1</v>
      </c>
      <c r="Y137" s="5">
        <v>0.896625</v>
      </c>
      <c r="Z137" s="5">
        <v>0.896625</v>
      </c>
      <c r="AA137" s="5">
        <v>1</v>
      </c>
      <c r="AB137" s="5">
        <v>0.896625</v>
      </c>
    </row>
    <row r="138" spans="1:28" ht="12.75">
      <c r="A138" s="5">
        <v>50</v>
      </c>
      <c r="B138" s="5">
        <v>0</v>
      </c>
      <c r="C138" s="5">
        <v>0</v>
      </c>
      <c r="D138" s="5">
        <v>1</v>
      </c>
      <c r="E138" s="5">
        <v>209</v>
      </c>
      <c r="F138" s="5">
        <f>ROUND(Source!W114,O138)</f>
        <v>0</v>
      </c>
      <c r="G138" s="5" t="s">
        <v>120</v>
      </c>
      <c r="H138" s="5" t="s">
        <v>121</v>
      </c>
      <c r="I138" s="5"/>
      <c r="J138" s="5"/>
      <c r="K138" s="5">
        <v>209</v>
      </c>
      <c r="L138" s="5">
        <v>23</v>
      </c>
      <c r="M138" s="5">
        <v>3</v>
      </c>
      <c r="N138" s="5" t="s">
        <v>3</v>
      </c>
      <c r="O138" s="5">
        <v>2</v>
      </c>
      <c r="P138" s="5">
        <f>ROUND(Source!DO114,O138)</f>
        <v>0</v>
      </c>
      <c r="Q138" s="5"/>
      <c r="R138" s="5"/>
      <c r="S138" s="5"/>
      <c r="T138" s="5"/>
      <c r="U138" s="5"/>
      <c r="V138" s="5"/>
      <c r="W138" s="5">
        <v>0</v>
      </c>
      <c r="X138" s="5">
        <v>1</v>
      </c>
      <c r="Y138" s="5">
        <v>0</v>
      </c>
      <c r="Z138" s="5">
        <v>0</v>
      </c>
      <c r="AA138" s="5">
        <v>1</v>
      </c>
      <c r="AB138" s="5">
        <v>0</v>
      </c>
    </row>
    <row r="139" spans="1:28" ht="12.75">
      <c r="A139" s="5">
        <v>50</v>
      </c>
      <c r="B139" s="5">
        <v>0</v>
      </c>
      <c r="C139" s="5">
        <v>0</v>
      </c>
      <c r="D139" s="5">
        <v>1</v>
      </c>
      <c r="E139" s="5">
        <v>233</v>
      </c>
      <c r="F139" s="5">
        <f>ROUND(Source!BD114,O139)</f>
        <v>211.53</v>
      </c>
      <c r="G139" s="5" t="s">
        <v>122</v>
      </c>
      <c r="H139" s="5" t="s">
        <v>123</v>
      </c>
      <c r="I139" s="5"/>
      <c r="J139" s="5"/>
      <c r="K139" s="5">
        <v>233</v>
      </c>
      <c r="L139" s="5">
        <v>24</v>
      </c>
      <c r="M139" s="5">
        <v>3</v>
      </c>
      <c r="N139" s="5" t="s">
        <v>3</v>
      </c>
      <c r="O139" s="5">
        <v>2</v>
      </c>
      <c r="P139" s="5">
        <f>ROUND(Source!EV114,O139)</f>
        <v>2588.27</v>
      </c>
      <c r="Q139" s="5"/>
      <c r="R139" s="5"/>
      <c r="S139" s="5"/>
      <c r="T139" s="5"/>
      <c r="U139" s="5"/>
      <c r="V139" s="5"/>
      <c r="W139" s="5">
        <v>211.53</v>
      </c>
      <c r="X139" s="5">
        <v>1</v>
      </c>
      <c r="Y139" s="5">
        <v>211.53</v>
      </c>
      <c r="Z139" s="5">
        <v>2588.27</v>
      </c>
      <c r="AA139" s="5">
        <v>1</v>
      </c>
      <c r="AB139" s="5">
        <v>2588.27</v>
      </c>
    </row>
    <row r="140" spans="1:28" ht="12.75">
      <c r="A140" s="5">
        <v>50</v>
      </c>
      <c r="B140" s="5">
        <v>0</v>
      </c>
      <c r="C140" s="5">
        <v>0</v>
      </c>
      <c r="D140" s="5">
        <v>1</v>
      </c>
      <c r="E140" s="5">
        <v>210</v>
      </c>
      <c r="F140" s="5">
        <f>ROUND(Source!X114,O140)</f>
        <v>2845.35</v>
      </c>
      <c r="G140" s="5" t="s">
        <v>124</v>
      </c>
      <c r="H140" s="5" t="s">
        <v>125</v>
      </c>
      <c r="I140" s="5"/>
      <c r="J140" s="5"/>
      <c r="K140" s="5">
        <v>210</v>
      </c>
      <c r="L140" s="5">
        <v>25</v>
      </c>
      <c r="M140" s="5">
        <v>3</v>
      </c>
      <c r="N140" s="5" t="s">
        <v>3</v>
      </c>
      <c r="O140" s="5">
        <v>2</v>
      </c>
      <c r="P140" s="5">
        <f>ROUND(Source!DP114,O140)</f>
        <v>109147.89</v>
      </c>
      <c r="Q140" s="5"/>
      <c r="R140" s="5"/>
      <c r="S140" s="5"/>
      <c r="T140" s="5"/>
      <c r="U140" s="5"/>
      <c r="V140" s="5"/>
      <c r="W140" s="5">
        <v>2845.35</v>
      </c>
      <c r="X140" s="5">
        <v>1</v>
      </c>
      <c r="Y140" s="5">
        <v>2845.35</v>
      </c>
      <c r="Z140" s="5">
        <v>109147.89</v>
      </c>
      <c r="AA140" s="5">
        <v>1</v>
      </c>
      <c r="AB140" s="5">
        <v>109147.89</v>
      </c>
    </row>
    <row r="141" spans="1:28" ht="12.75">
      <c r="A141" s="5">
        <v>50</v>
      </c>
      <c r="B141" s="5">
        <v>0</v>
      </c>
      <c r="C141" s="5">
        <v>0</v>
      </c>
      <c r="D141" s="5">
        <v>1</v>
      </c>
      <c r="E141" s="5">
        <v>211</v>
      </c>
      <c r="F141" s="5">
        <f>ROUND(Source!Y114,O141)</f>
        <v>1699.58</v>
      </c>
      <c r="G141" s="5" t="s">
        <v>126</v>
      </c>
      <c r="H141" s="5" t="s">
        <v>127</v>
      </c>
      <c r="I141" s="5"/>
      <c r="J141" s="5"/>
      <c r="K141" s="5">
        <v>211</v>
      </c>
      <c r="L141" s="5">
        <v>26</v>
      </c>
      <c r="M141" s="5">
        <v>3</v>
      </c>
      <c r="N141" s="5" t="s">
        <v>3</v>
      </c>
      <c r="O141" s="5">
        <v>2</v>
      </c>
      <c r="P141" s="5">
        <f>ROUND(Source!DQ114,O141)</f>
        <v>65196.26</v>
      </c>
      <c r="Q141" s="5"/>
      <c r="R141" s="5"/>
      <c r="S141" s="5"/>
      <c r="T141" s="5"/>
      <c r="U141" s="5"/>
      <c r="V141" s="5"/>
      <c r="W141" s="5">
        <v>1699.58</v>
      </c>
      <c r="X141" s="5">
        <v>1</v>
      </c>
      <c r="Y141" s="5">
        <v>1699.58</v>
      </c>
      <c r="Z141" s="5">
        <v>65196.26</v>
      </c>
      <c r="AA141" s="5">
        <v>1</v>
      </c>
      <c r="AB141" s="5">
        <v>65196.26</v>
      </c>
    </row>
    <row r="142" spans="1:28" ht="12.75">
      <c r="A142" s="5">
        <v>50</v>
      </c>
      <c r="B142" s="5">
        <v>0</v>
      </c>
      <c r="C142" s="5">
        <v>0</v>
      </c>
      <c r="D142" s="5">
        <v>1</v>
      </c>
      <c r="E142" s="5">
        <v>0</v>
      </c>
      <c r="F142" s="5">
        <f>ROUND(Source!AR114,O142)</f>
        <v>517954.76</v>
      </c>
      <c r="G142" s="5" t="s">
        <v>128</v>
      </c>
      <c r="H142" s="5" t="s">
        <v>129</v>
      </c>
      <c r="I142" s="5"/>
      <c r="J142" s="5"/>
      <c r="K142" s="5">
        <v>224</v>
      </c>
      <c r="L142" s="5">
        <v>27</v>
      </c>
      <c r="M142" s="5">
        <v>3</v>
      </c>
      <c r="N142" s="5" t="s">
        <v>3</v>
      </c>
      <c r="O142" s="5">
        <v>2</v>
      </c>
      <c r="P142" s="5">
        <f>ROUND(Source!EJ114,O142)</f>
        <v>924799.96</v>
      </c>
      <c r="Q142" s="5"/>
      <c r="R142" s="5"/>
      <c r="S142" s="5"/>
      <c r="T142" s="5"/>
      <c r="U142" s="5"/>
      <c r="V142" s="5"/>
      <c r="W142" s="5">
        <v>517954.76</v>
      </c>
      <c r="X142" s="5">
        <v>1</v>
      </c>
      <c r="Y142" s="5">
        <v>517954.76</v>
      </c>
      <c r="Z142" s="5">
        <v>924799.96</v>
      </c>
      <c r="AA142" s="5">
        <v>1</v>
      </c>
      <c r="AB142" s="5">
        <v>924799.96</v>
      </c>
    </row>
    <row r="143" spans="1:28" ht="12.75">
      <c r="A143" s="5">
        <v>50</v>
      </c>
      <c r="B143" s="5">
        <v>1</v>
      </c>
      <c r="C143" s="5">
        <v>0</v>
      </c>
      <c r="D143" s="5">
        <v>2</v>
      </c>
      <c r="E143" s="5">
        <v>224</v>
      </c>
      <c r="F143" s="5">
        <f>ROUND(F142,O143)</f>
        <v>517954.76</v>
      </c>
      <c r="G143" s="5" t="s">
        <v>130</v>
      </c>
      <c r="H143" s="5" t="s">
        <v>155</v>
      </c>
      <c r="I143" s="5"/>
      <c r="J143" s="5"/>
      <c r="K143" s="5">
        <v>212</v>
      </c>
      <c r="L143" s="5">
        <v>28</v>
      </c>
      <c r="M143" s="5">
        <v>0</v>
      </c>
      <c r="N143" s="5" t="s">
        <v>3</v>
      </c>
      <c r="O143" s="5">
        <v>2</v>
      </c>
      <c r="P143" s="5">
        <f>ROUND(P142,O143)</f>
        <v>924799.96</v>
      </c>
      <c r="Q143" s="5"/>
      <c r="R143" s="5"/>
      <c r="S143" s="5"/>
      <c r="T143" s="5"/>
      <c r="U143" s="5"/>
      <c r="V143" s="5"/>
      <c r="W143" s="5">
        <v>517954.76</v>
      </c>
      <c r="X143" s="5">
        <v>1</v>
      </c>
      <c r="Y143" s="5">
        <v>517954.76</v>
      </c>
      <c r="Z143" s="5">
        <v>924799.96</v>
      </c>
      <c r="AA143" s="5">
        <v>1</v>
      </c>
      <c r="AB143" s="5">
        <v>924799.96</v>
      </c>
    </row>
    <row r="144" spans="1:28" ht="12.75">
      <c r="A144" s="5">
        <v>50</v>
      </c>
      <c r="B144" s="5">
        <v>1</v>
      </c>
      <c r="C144" s="5">
        <v>0</v>
      </c>
      <c r="D144" s="5">
        <v>2</v>
      </c>
      <c r="E144" s="5">
        <v>0</v>
      </c>
      <c r="F144" s="5">
        <f>ROUND(F143*0.02,O144)</f>
        <v>10359.1</v>
      </c>
      <c r="G144" s="5" t="s">
        <v>156</v>
      </c>
      <c r="H144" s="5" t="s">
        <v>157</v>
      </c>
      <c r="I144" s="5"/>
      <c r="J144" s="5"/>
      <c r="K144" s="5">
        <v>212</v>
      </c>
      <c r="L144" s="5">
        <v>29</v>
      </c>
      <c r="M144" s="5">
        <v>0</v>
      </c>
      <c r="N144" s="5" t="s">
        <v>3</v>
      </c>
      <c r="O144" s="5">
        <v>2</v>
      </c>
      <c r="P144" s="5">
        <f>ROUND(P143*0.02,O144)</f>
        <v>18496</v>
      </c>
      <c r="Q144" s="5"/>
      <c r="R144" s="5"/>
      <c r="S144" s="5"/>
      <c r="T144" s="5"/>
      <c r="U144" s="5"/>
      <c r="V144" s="5"/>
      <c r="W144" s="5">
        <v>10359.1</v>
      </c>
      <c r="X144" s="5">
        <v>1</v>
      </c>
      <c r="Y144" s="5">
        <v>10359.1</v>
      </c>
      <c r="Z144" s="5">
        <v>18496</v>
      </c>
      <c r="AA144" s="5">
        <v>1</v>
      </c>
      <c r="AB144" s="5">
        <v>18496</v>
      </c>
    </row>
    <row r="145" spans="1:28" ht="12.75">
      <c r="A145" s="5">
        <v>50</v>
      </c>
      <c r="B145" s="5">
        <v>1</v>
      </c>
      <c r="C145" s="5">
        <v>0</v>
      </c>
      <c r="D145" s="5">
        <v>2</v>
      </c>
      <c r="E145" s="5">
        <v>0</v>
      </c>
      <c r="F145" s="5">
        <f>ROUND(F143+F144,O145)</f>
        <v>528313.86</v>
      </c>
      <c r="G145" s="5" t="s">
        <v>158</v>
      </c>
      <c r="H145" s="5" t="s">
        <v>159</v>
      </c>
      <c r="I145" s="5"/>
      <c r="J145" s="5"/>
      <c r="K145" s="5">
        <v>212</v>
      </c>
      <c r="L145" s="5">
        <v>30</v>
      </c>
      <c r="M145" s="5">
        <v>0</v>
      </c>
      <c r="N145" s="5" t="s">
        <v>3</v>
      </c>
      <c r="O145" s="5">
        <v>2</v>
      </c>
      <c r="P145" s="5">
        <f>ROUND(P143+P144,O145)</f>
        <v>943295.96</v>
      </c>
      <c r="Q145" s="5"/>
      <c r="R145" s="5"/>
      <c r="S145" s="5"/>
      <c r="T145" s="5"/>
      <c r="U145" s="5"/>
      <c r="V145" s="5"/>
      <c r="W145" s="5">
        <v>528313.86</v>
      </c>
      <c r="X145" s="5">
        <v>1</v>
      </c>
      <c r="Y145" s="5">
        <v>528313.86</v>
      </c>
      <c r="Z145" s="5">
        <v>943295.96</v>
      </c>
      <c r="AA145" s="5">
        <v>1</v>
      </c>
      <c r="AB145" s="5">
        <v>943295.96</v>
      </c>
    </row>
    <row r="146" spans="1:28" ht="12.75">
      <c r="A146" s="5">
        <v>50</v>
      </c>
      <c r="B146" s="5">
        <v>1</v>
      </c>
      <c r="C146" s="5">
        <v>0</v>
      </c>
      <c r="D146" s="5">
        <v>2</v>
      </c>
      <c r="E146" s="5">
        <v>0</v>
      </c>
      <c r="F146" s="5">
        <f>ROUND(F145*0.2,O146)</f>
        <v>105662.77</v>
      </c>
      <c r="G146" s="5" t="s">
        <v>160</v>
      </c>
      <c r="H146" s="5" t="s">
        <v>161</v>
      </c>
      <c r="I146" s="5"/>
      <c r="J146" s="5"/>
      <c r="K146" s="5">
        <v>212</v>
      </c>
      <c r="L146" s="5">
        <v>31</v>
      </c>
      <c r="M146" s="5">
        <v>0</v>
      </c>
      <c r="N146" s="5" t="s">
        <v>3</v>
      </c>
      <c r="O146" s="5">
        <v>2</v>
      </c>
      <c r="P146" s="5">
        <f>ROUND(P145*0.2,O146)</f>
        <v>188659.19</v>
      </c>
      <c r="Q146" s="5"/>
      <c r="R146" s="5"/>
      <c r="S146" s="5"/>
      <c r="T146" s="5"/>
      <c r="U146" s="5"/>
      <c r="V146" s="5"/>
      <c r="W146" s="5">
        <v>105662.77</v>
      </c>
      <c r="X146" s="5">
        <v>1</v>
      </c>
      <c r="Y146" s="5">
        <v>105662.77</v>
      </c>
      <c r="Z146" s="5">
        <v>188659.19</v>
      </c>
      <c r="AA146" s="5">
        <v>1</v>
      </c>
      <c r="AB146" s="5">
        <v>188659.19</v>
      </c>
    </row>
    <row r="147" spans="1:28" ht="12.75">
      <c r="A147" s="5">
        <v>50</v>
      </c>
      <c r="B147" s="5">
        <v>1</v>
      </c>
      <c r="C147" s="5">
        <v>0</v>
      </c>
      <c r="D147" s="5">
        <v>2</v>
      </c>
      <c r="E147" s="5">
        <v>213</v>
      </c>
      <c r="F147" s="5">
        <f>ROUND(F145+F146,O147)</f>
        <v>633976.63</v>
      </c>
      <c r="G147" s="5" t="s">
        <v>162</v>
      </c>
      <c r="H147" s="5" t="s">
        <v>163</v>
      </c>
      <c r="I147" s="5"/>
      <c r="J147" s="5"/>
      <c r="K147" s="5">
        <v>212</v>
      </c>
      <c r="L147" s="5">
        <v>32</v>
      </c>
      <c r="M147" s="5">
        <v>0</v>
      </c>
      <c r="N147" s="5" t="s">
        <v>3</v>
      </c>
      <c r="O147" s="5">
        <v>2</v>
      </c>
      <c r="P147" s="5">
        <f>ROUND(P145+P146,O147)</f>
        <v>1131955.15</v>
      </c>
      <c r="Q147" s="5"/>
      <c r="R147" s="5"/>
      <c r="S147" s="5"/>
      <c r="T147" s="5"/>
      <c r="U147" s="5"/>
      <c r="V147" s="5"/>
      <c r="W147" s="5">
        <v>633976.63</v>
      </c>
      <c r="X147" s="5">
        <v>1</v>
      </c>
      <c r="Y147" s="5">
        <v>633976.63</v>
      </c>
      <c r="Z147" s="5">
        <v>1131955.15</v>
      </c>
      <c r="AA147" s="5">
        <v>1</v>
      </c>
      <c r="AB147" s="5">
        <v>1131955.15</v>
      </c>
    </row>
    <row r="149" spans="1:206" ht="12.75">
      <c r="A149" s="3">
        <v>51</v>
      </c>
      <c r="B149" s="3">
        <f>B12</f>
        <v>210</v>
      </c>
      <c r="C149" s="3">
        <f>A12</f>
        <v>1</v>
      </c>
      <c r="D149" s="3">
        <f>ROW(A12)</f>
        <v>12</v>
      </c>
      <c r="E149" s="3"/>
      <c r="F149" s="3">
        <f>IF(F12&lt;&gt;"",F12,"")</f>
      </c>
      <c r="G149" s="3" t="str">
        <f>IF(G12&lt;&gt;"",G12,"")</f>
        <v>Выполение работ по замене стеклопакетов в ИПУ РАН</v>
      </c>
      <c r="H149" s="3">
        <v>0</v>
      </c>
      <c r="I149" s="3"/>
      <c r="J149" s="3"/>
      <c r="K149" s="3"/>
      <c r="L149" s="3"/>
      <c r="M149" s="3"/>
      <c r="N149" s="3"/>
      <c r="O149" s="3">
        <f aca="true" t="shared" si="83" ref="O149:T149">ROUND(O114,2)</f>
        <v>513198.3</v>
      </c>
      <c r="P149" s="3">
        <f t="shared" si="83"/>
        <v>491038.31</v>
      </c>
      <c r="Q149" s="3">
        <f t="shared" si="83"/>
        <v>20496.23</v>
      </c>
      <c r="R149" s="3">
        <f t="shared" si="83"/>
        <v>1141.61</v>
      </c>
      <c r="S149" s="3">
        <f t="shared" si="83"/>
        <v>1663.76</v>
      </c>
      <c r="T149" s="3">
        <f t="shared" si="83"/>
        <v>0</v>
      </c>
      <c r="U149" s="3">
        <f>U114</f>
        <v>190.081897</v>
      </c>
      <c r="V149" s="3">
        <f>V114</f>
        <v>0.896625</v>
      </c>
      <c r="W149" s="3">
        <f>ROUND(W114,2)</f>
        <v>0</v>
      </c>
      <c r="X149" s="3">
        <f>ROUND(X114,2)</f>
        <v>2845.35</v>
      </c>
      <c r="Y149" s="3">
        <f>ROUND(Y114,2)</f>
        <v>1699.58</v>
      </c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>
        <f aca="true" t="shared" si="84" ref="AO149:BD149">ROUND(AO114,2)</f>
        <v>0</v>
      </c>
      <c r="AP149" s="3">
        <f t="shared" si="84"/>
        <v>0</v>
      </c>
      <c r="AQ149" s="3">
        <f t="shared" si="84"/>
        <v>0</v>
      </c>
      <c r="AR149" s="3">
        <f t="shared" si="84"/>
        <v>517954.76</v>
      </c>
      <c r="AS149" s="3">
        <f t="shared" si="84"/>
        <v>517954.76</v>
      </c>
      <c r="AT149" s="3">
        <f t="shared" si="84"/>
        <v>0</v>
      </c>
      <c r="AU149" s="3">
        <f t="shared" si="84"/>
        <v>0</v>
      </c>
      <c r="AV149" s="3">
        <f t="shared" si="84"/>
        <v>491038.31</v>
      </c>
      <c r="AW149" s="3">
        <f t="shared" si="84"/>
        <v>491038.31</v>
      </c>
      <c r="AX149" s="3">
        <f t="shared" si="84"/>
        <v>0</v>
      </c>
      <c r="AY149" s="3">
        <f t="shared" si="84"/>
        <v>491038.31</v>
      </c>
      <c r="AZ149" s="3">
        <f t="shared" si="84"/>
        <v>0</v>
      </c>
      <c r="BA149" s="3">
        <f t="shared" si="84"/>
        <v>0</v>
      </c>
      <c r="BB149" s="3">
        <f t="shared" si="84"/>
        <v>0</v>
      </c>
      <c r="BC149" s="3">
        <f t="shared" si="84"/>
        <v>0</v>
      </c>
      <c r="BD149" s="3">
        <f t="shared" si="84"/>
        <v>211.53</v>
      </c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4">
        <f aca="true" t="shared" si="85" ref="DG149:DL149">ROUND(DG114,2)</f>
        <v>747867.54</v>
      </c>
      <c r="DH149" s="4">
        <f t="shared" si="85"/>
        <v>521305.69</v>
      </c>
      <c r="DI149" s="4">
        <f t="shared" si="85"/>
        <v>162739.68</v>
      </c>
      <c r="DJ149" s="4">
        <f t="shared" si="85"/>
        <v>43792.35</v>
      </c>
      <c r="DK149" s="4">
        <f t="shared" si="85"/>
        <v>63822.17</v>
      </c>
      <c r="DL149" s="4">
        <f t="shared" si="85"/>
        <v>0</v>
      </c>
      <c r="DM149" s="4">
        <f>DM114</f>
        <v>190.081897</v>
      </c>
      <c r="DN149" s="4">
        <f>DN114</f>
        <v>0.896625</v>
      </c>
      <c r="DO149" s="4">
        <f>ROUND(DO114,2)</f>
        <v>0</v>
      </c>
      <c r="DP149" s="4">
        <f>ROUND(DP114,2)</f>
        <v>109147.89</v>
      </c>
      <c r="DQ149" s="4">
        <f>ROUND(DQ114,2)</f>
        <v>65196.26</v>
      </c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>
        <f aca="true" t="shared" si="86" ref="EG149:EV149">ROUND(EG114,2)</f>
        <v>0</v>
      </c>
      <c r="EH149" s="4">
        <f t="shared" si="86"/>
        <v>0</v>
      </c>
      <c r="EI149" s="4">
        <f t="shared" si="86"/>
        <v>0</v>
      </c>
      <c r="EJ149" s="4">
        <f t="shared" si="86"/>
        <v>924799.96</v>
      </c>
      <c r="EK149" s="4">
        <f t="shared" si="86"/>
        <v>924799.96</v>
      </c>
      <c r="EL149" s="4">
        <f t="shared" si="86"/>
        <v>0</v>
      </c>
      <c r="EM149" s="4">
        <f t="shared" si="86"/>
        <v>0</v>
      </c>
      <c r="EN149" s="4">
        <f t="shared" si="86"/>
        <v>521305.69</v>
      </c>
      <c r="EO149" s="4">
        <f t="shared" si="86"/>
        <v>521305.69</v>
      </c>
      <c r="EP149" s="4">
        <f t="shared" si="86"/>
        <v>0</v>
      </c>
      <c r="EQ149" s="4">
        <f t="shared" si="86"/>
        <v>521305.69</v>
      </c>
      <c r="ER149" s="4">
        <f t="shared" si="86"/>
        <v>0</v>
      </c>
      <c r="ES149" s="4">
        <f t="shared" si="86"/>
        <v>0</v>
      </c>
      <c r="ET149" s="4">
        <f t="shared" si="86"/>
        <v>0</v>
      </c>
      <c r="EU149" s="4">
        <f t="shared" si="86"/>
        <v>0</v>
      </c>
      <c r="EV149" s="4">
        <f t="shared" si="86"/>
        <v>2588.27</v>
      </c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>
        <v>0</v>
      </c>
    </row>
    <row r="151" spans="1:28" ht="12.75">
      <c r="A151" s="5">
        <v>50</v>
      </c>
      <c r="B151" s="5">
        <v>0</v>
      </c>
      <c r="C151" s="5">
        <v>0</v>
      </c>
      <c r="D151" s="5">
        <v>1</v>
      </c>
      <c r="E151" s="5">
        <v>201</v>
      </c>
      <c r="F151" s="5">
        <f>ROUND(Source!O149,O151)</f>
        <v>513198.3</v>
      </c>
      <c r="G151" s="5" t="s">
        <v>76</v>
      </c>
      <c r="H151" s="5" t="s">
        <v>77</v>
      </c>
      <c r="I151" s="5"/>
      <c r="J151" s="5"/>
      <c r="K151" s="5">
        <v>201</v>
      </c>
      <c r="L151" s="5">
        <v>1</v>
      </c>
      <c r="M151" s="5">
        <v>3</v>
      </c>
      <c r="N151" s="5" t="s">
        <v>3</v>
      </c>
      <c r="O151" s="5">
        <v>2</v>
      </c>
      <c r="P151" s="5">
        <f>ROUND(Source!DG149,O151)</f>
        <v>747867.54</v>
      </c>
      <c r="Q151" s="5"/>
      <c r="R151" s="5"/>
      <c r="S151" s="5"/>
      <c r="T151" s="5"/>
      <c r="U151" s="5"/>
      <c r="V151" s="5"/>
      <c r="W151" s="5">
        <v>513409.83</v>
      </c>
      <c r="X151" s="5">
        <v>1</v>
      </c>
      <c r="Y151" s="5">
        <v>513409.83</v>
      </c>
      <c r="Z151" s="5">
        <v>750455.8099999999</v>
      </c>
      <c r="AA151" s="5">
        <v>1</v>
      </c>
      <c r="AB151" s="5">
        <v>750455.8099999999</v>
      </c>
    </row>
    <row r="152" spans="1:28" ht="12.75">
      <c r="A152" s="5">
        <v>50</v>
      </c>
      <c r="B152" s="5">
        <v>0</v>
      </c>
      <c r="C152" s="5">
        <v>0</v>
      </c>
      <c r="D152" s="5">
        <v>1</v>
      </c>
      <c r="E152" s="5">
        <v>202</v>
      </c>
      <c r="F152" s="5">
        <f>ROUND(Source!P149,O152)</f>
        <v>491038.31</v>
      </c>
      <c r="G152" s="5" t="s">
        <v>78</v>
      </c>
      <c r="H152" s="5" t="s">
        <v>79</v>
      </c>
      <c r="I152" s="5"/>
      <c r="J152" s="5"/>
      <c r="K152" s="5">
        <v>202</v>
      </c>
      <c r="L152" s="5">
        <v>2</v>
      </c>
      <c r="M152" s="5">
        <v>3</v>
      </c>
      <c r="N152" s="5" t="s">
        <v>3</v>
      </c>
      <c r="O152" s="5">
        <v>2</v>
      </c>
      <c r="P152" s="5">
        <f>ROUND(Source!DH149,O152)</f>
        <v>521305.69</v>
      </c>
      <c r="Q152" s="5"/>
      <c r="R152" s="5"/>
      <c r="S152" s="5"/>
      <c r="T152" s="5"/>
      <c r="U152" s="5"/>
      <c r="V152" s="5"/>
      <c r="W152" s="5">
        <v>491038.31</v>
      </c>
      <c r="X152" s="5">
        <v>1</v>
      </c>
      <c r="Y152" s="5">
        <v>491038.31</v>
      </c>
      <c r="Z152" s="5">
        <v>521305.69</v>
      </c>
      <c r="AA152" s="5">
        <v>1</v>
      </c>
      <c r="AB152" s="5">
        <v>521305.69</v>
      </c>
    </row>
    <row r="153" spans="1:28" ht="12.75">
      <c r="A153" s="5">
        <v>50</v>
      </c>
      <c r="B153" s="5">
        <v>0</v>
      </c>
      <c r="C153" s="5">
        <v>0</v>
      </c>
      <c r="D153" s="5">
        <v>1</v>
      </c>
      <c r="E153" s="5">
        <v>222</v>
      </c>
      <c r="F153" s="5">
        <f>ROUND(Source!AO149,O153)</f>
        <v>0</v>
      </c>
      <c r="G153" s="5" t="s">
        <v>80</v>
      </c>
      <c r="H153" s="5" t="s">
        <v>81</v>
      </c>
      <c r="I153" s="5"/>
      <c r="J153" s="5"/>
      <c r="K153" s="5">
        <v>222</v>
      </c>
      <c r="L153" s="5">
        <v>3</v>
      </c>
      <c r="M153" s="5">
        <v>3</v>
      </c>
      <c r="N153" s="5" t="s">
        <v>3</v>
      </c>
      <c r="O153" s="5">
        <v>2</v>
      </c>
      <c r="P153" s="5">
        <f>ROUND(Source!EG149,O153)</f>
        <v>0</v>
      </c>
      <c r="Q153" s="5"/>
      <c r="R153" s="5"/>
      <c r="S153" s="5"/>
      <c r="T153" s="5"/>
      <c r="U153" s="5"/>
      <c r="V153" s="5"/>
      <c r="W153" s="5">
        <v>0</v>
      </c>
      <c r="X153" s="5">
        <v>1</v>
      </c>
      <c r="Y153" s="5">
        <v>0</v>
      </c>
      <c r="Z153" s="5">
        <v>0</v>
      </c>
      <c r="AA153" s="5">
        <v>1</v>
      </c>
      <c r="AB153" s="5">
        <v>0</v>
      </c>
    </row>
    <row r="154" spans="1:28" ht="12.75">
      <c r="A154" s="5">
        <v>50</v>
      </c>
      <c r="B154" s="5">
        <v>0</v>
      </c>
      <c r="C154" s="5">
        <v>0</v>
      </c>
      <c r="D154" s="5">
        <v>1</v>
      </c>
      <c r="E154" s="5">
        <v>225</v>
      </c>
      <c r="F154" s="5">
        <f>ROUND(Source!AV149,O154)</f>
        <v>491038.31</v>
      </c>
      <c r="G154" s="5" t="s">
        <v>82</v>
      </c>
      <c r="H154" s="5" t="s">
        <v>83</v>
      </c>
      <c r="I154" s="5"/>
      <c r="J154" s="5"/>
      <c r="K154" s="5">
        <v>225</v>
      </c>
      <c r="L154" s="5">
        <v>4</v>
      </c>
      <c r="M154" s="5">
        <v>3</v>
      </c>
      <c r="N154" s="5" t="s">
        <v>3</v>
      </c>
      <c r="O154" s="5">
        <v>2</v>
      </c>
      <c r="P154" s="5">
        <f>ROUND(Source!EN149,O154)</f>
        <v>521305.69</v>
      </c>
      <c r="Q154" s="5"/>
      <c r="R154" s="5"/>
      <c r="S154" s="5"/>
      <c r="T154" s="5"/>
      <c r="U154" s="5"/>
      <c r="V154" s="5"/>
      <c r="W154" s="5">
        <v>491038.31</v>
      </c>
      <c r="X154" s="5">
        <v>1</v>
      </c>
      <c r="Y154" s="5">
        <v>491038.31</v>
      </c>
      <c r="Z154" s="5">
        <v>521305.69</v>
      </c>
      <c r="AA154" s="5">
        <v>1</v>
      </c>
      <c r="AB154" s="5">
        <v>521305.69</v>
      </c>
    </row>
    <row r="155" spans="1:28" ht="12.75">
      <c r="A155" s="5">
        <v>50</v>
      </c>
      <c r="B155" s="5">
        <v>0</v>
      </c>
      <c r="C155" s="5">
        <v>0</v>
      </c>
      <c r="D155" s="5">
        <v>1</v>
      </c>
      <c r="E155" s="5">
        <v>226</v>
      </c>
      <c r="F155" s="5">
        <f>ROUND(Source!AW149,O155)</f>
        <v>491038.31</v>
      </c>
      <c r="G155" s="5" t="s">
        <v>84</v>
      </c>
      <c r="H155" s="5" t="s">
        <v>85</v>
      </c>
      <c r="I155" s="5"/>
      <c r="J155" s="5"/>
      <c r="K155" s="5">
        <v>226</v>
      </c>
      <c r="L155" s="5">
        <v>5</v>
      </c>
      <c r="M155" s="5">
        <v>3</v>
      </c>
      <c r="N155" s="5" t="s">
        <v>3</v>
      </c>
      <c r="O155" s="5">
        <v>2</v>
      </c>
      <c r="P155" s="5">
        <f>ROUND(Source!EO149,O155)</f>
        <v>521305.69</v>
      </c>
      <c r="Q155" s="5"/>
      <c r="R155" s="5"/>
      <c r="S155" s="5"/>
      <c r="T155" s="5"/>
      <c r="U155" s="5"/>
      <c r="V155" s="5"/>
      <c r="W155" s="5">
        <v>491038.31</v>
      </c>
      <c r="X155" s="5">
        <v>1</v>
      </c>
      <c r="Y155" s="5">
        <v>491038.31</v>
      </c>
      <c r="Z155" s="5">
        <v>521305.69</v>
      </c>
      <c r="AA155" s="5">
        <v>1</v>
      </c>
      <c r="AB155" s="5">
        <v>521305.69</v>
      </c>
    </row>
    <row r="156" spans="1:28" ht="12.75">
      <c r="A156" s="5">
        <v>50</v>
      </c>
      <c r="B156" s="5">
        <v>0</v>
      </c>
      <c r="C156" s="5">
        <v>0</v>
      </c>
      <c r="D156" s="5">
        <v>1</v>
      </c>
      <c r="E156" s="5">
        <v>227</v>
      </c>
      <c r="F156" s="5">
        <f>ROUND(Source!AX149,O156)</f>
        <v>0</v>
      </c>
      <c r="G156" s="5" t="s">
        <v>86</v>
      </c>
      <c r="H156" s="5" t="s">
        <v>87</v>
      </c>
      <c r="I156" s="5"/>
      <c r="J156" s="5"/>
      <c r="K156" s="5">
        <v>227</v>
      </c>
      <c r="L156" s="5">
        <v>6</v>
      </c>
      <c r="M156" s="5">
        <v>3</v>
      </c>
      <c r="N156" s="5" t="s">
        <v>3</v>
      </c>
      <c r="O156" s="5">
        <v>2</v>
      </c>
      <c r="P156" s="5">
        <f>ROUND(Source!EP149,O156)</f>
        <v>0</v>
      </c>
      <c r="Q156" s="5"/>
      <c r="R156" s="5"/>
      <c r="S156" s="5"/>
      <c r="T156" s="5"/>
      <c r="U156" s="5"/>
      <c r="V156" s="5"/>
      <c r="W156" s="5">
        <v>0</v>
      </c>
      <c r="X156" s="5">
        <v>1</v>
      </c>
      <c r="Y156" s="5">
        <v>0</v>
      </c>
      <c r="Z156" s="5">
        <v>0</v>
      </c>
      <c r="AA156" s="5">
        <v>1</v>
      </c>
      <c r="AB156" s="5">
        <v>0</v>
      </c>
    </row>
    <row r="157" spans="1:28" ht="12.75">
      <c r="A157" s="5">
        <v>50</v>
      </c>
      <c r="B157" s="5">
        <v>0</v>
      </c>
      <c r="C157" s="5">
        <v>0</v>
      </c>
      <c r="D157" s="5">
        <v>1</v>
      </c>
      <c r="E157" s="5">
        <v>228</v>
      </c>
      <c r="F157" s="5">
        <f>ROUND(Source!AY149,O157)</f>
        <v>491038.31</v>
      </c>
      <c r="G157" s="5" t="s">
        <v>88</v>
      </c>
      <c r="H157" s="5" t="s">
        <v>89</v>
      </c>
      <c r="I157" s="5"/>
      <c r="J157" s="5"/>
      <c r="K157" s="5">
        <v>228</v>
      </c>
      <c r="L157" s="5">
        <v>7</v>
      </c>
      <c r="M157" s="5">
        <v>3</v>
      </c>
      <c r="N157" s="5" t="s">
        <v>3</v>
      </c>
      <c r="O157" s="5">
        <v>2</v>
      </c>
      <c r="P157" s="5">
        <f>ROUND(Source!EQ149,O157)</f>
        <v>521305.69</v>
      </c>
      <c r="Q157" s="5"/>
      <c r="R157" s="5"/>
      <c r="S157" s="5"/>
      <c r="T157" s="5"/>
      <c r="U157" s="5"/>
      <c r="V157" s="5"/>
      <c r="W157" s="5">
        <v>491038.31</v>
      </c>
      <c r="X157" s="5">
        <v>1</v>
      </c>
      <c r="Y157" s="5">
        <v>491038.31</v>
      </c>
      <c r="Z157" s="5">
        <v>521305.69</v>
      </c>
      <c r="AA157" s="5">
        <v>1</v>
      </c>
      <c r="AB157" s="5">
        <v>521305.69</v>
      </c>
    </row>
    <row r="158" spans="1:28" ht="12.75">
      <c r="A158" s="5">
        <v>50</v>
      </c>
      <c r="B158" s="5">
        <v>0</v>
      </c>
      <c r="C158" s="5">
        <v>0</v>
      </c>
      <c r="D158" s="5">
        <v>1</v>
      </c>
      <c r="E158" s="5">
        <v>216</v>
      </c>
      <c r="F158" s="5">
        <f>ROUND(Source!AP149,O158)</f>
        <v>0</v>
      </c>
      <c r="G158" s="5" t="s">
        <v>90</v>
      </c>
      <c r="H158" s="5" t="s">
        <v>91</v>
      </c>
      <c r="I158" s="5"/>
      <c r="J158" s="5"/>
      <c r="K158" s="5">
        <v>216</v>
      </c>
      <c r="L158" s="5">
        <v>8</v>
      </c>
      <c r="M158" s="5">
        <v>3</v>
      </c>
      <c r="N158" s="5" t="s">
        <v>3</v>
      </c>
      <c r="O158" s="5">
        <v>2</v>
      </c>
      <c r="P158" s="5">
        <f>ROUND(Source!EH149,O158)</f>
        <v>0</v>
      </c>
      <c r="Q158" s="5"/>
      <c r="R158" s="5"/>
      <c r="S158" s="5"/>
      <c r="T158" s="5"/>
      <c r="U158" s="5"/>
      <c r="V158" s="5"/>
      <c r="W158" s="5">
        <v>0</v>
      </c>
      <c r="X158" s="5">
        <v>1</v>
      </c>
      <c r="Y158" s="5">
        <v>0</v>
      </c>
      <c r="Z158" s="5">
        <v>0</v>
      </c>
      <c r="AA158" s="5">
        <v>1</v>
      </c>
      <c r="AB158" s="5">
        <v>0</v>
      </c>
    </row>
    <row r="159" spans="1:28" ht="12.75">
      <c r="A159" s="5">
        <v>50</v>
      </c>
      <c r="B159" s="5">
        <v>0</v>
      </c>
      <c r="C159" s="5">
        <v>0</v>
      </c>
      <c r="D159" s="5">
        <v>1</v>
      </c>
      <c r="E159" s="5">
        <v>223</v>
      </c>
      <c r="F159" s="5">
        <f>ROUND(Source!AQ149,O159)</f>
        <v>0</v>
      </c>
      <c r="G159" s="5" t="s">
        <v>92</v>
      </c>
      <c r="H159" s="5" t="s">
        <v>93</v>
      </c>
      <c r="I159" s="5"/>
      <c r="J159" s="5"/>
      <c r="K159" s="5">
        <v>223</v>
      </c>
      <c r="L159" s="5">
        <v>9</v>
      </c>
      <c r="M159" s="5">
        <v>3</v>
      </c>
      <c r="N159" s="5" t="s">
        <v>3</v>
      </c>
      <c r="O159" s="5">
        <v>2</v>
      </c>
      <c r="P159" s="5">
        <f>ROUND(Source!EI149,O159)</f>
        <v>0</v>
      </c>
      <c r="Q159" s="5"/>
      <c r="R159" s="5"/>
      <c r="S159" s="5"/>
      <c r="T159" s="5"/>
      <c r="U159" s="5"/>
      <c r="V159" s="5"/>
      <c r="W159" s="5">
        <v>0</v>
      </c>
      <c r="X159" s="5">
        <v>1</v>
      </c>
      <c r="Y159" s="5">
        <v>0</v>
      </c>
      <c r="Z159" s="5">
        <v>0</v>
      </c>
      <c r="AA159" s="5">
        <v>1</v>
      </c>
      <c r="AB159" s="5">
        <v>0</v>
      </c>
    </row>
    <row r="160" spans="1:28" ht="12.75">
      <c r="A160" s="5">
        <v>50</v>
      </c>
      <c r="B160" s="5">
        <v>0</v>
      </c>
      <c r="C160" s="5">
        <v>0</v>
      </c>
      <c r="D160" s="5">
        <v>1</v>
      </c>
      <c r="E160" s="5">
        <v>229</v>
      </c>
      <c r="F160" s="5">
        <f>ROUND(Source!AZ149,O160)</f>
        <v>0</v>
      </c>
      <c r="G160" s="5" t="s">
        <v>94</v>
      </c>
      <c r="H160" s="5" t="s">
        <v>95</v>
      </c>
      <c r="I160" s="5"/>
      <c r="J160" s="5"/>
      <c r="K160" s="5">
        <v>229</v>
      </c>
      <c r="L160" s="5">
        <v>10</v>
      </c>
      <c r="M160" s="5">
        <v>3</v>
      </c>
      <c r="N160" s="5" t="s">
        <v>3</v>
      </c>
      <c r="O160" s="5">
        <v>2</v>
      </c>
      <c r="P160" s="5">
        <f>ROUND(Source!ER149,O160)</f>
        <v>0</v>
      </c>
      <c r="Q160" s="5"/>
      <c r="R160" s="5"/>
      <c r="S160" s="5"/>
      <c r="T160" s="5"/>
      <c r="U160" s="5"/>
      <c r="V160" s="5"/>
      <c r="W160" s="5">
        <v>0</v>
      </c>
      <c r="X160" s="5">
        <v>1</v>
      </c>
      <c r="Y160" s="5">
        <v>0</v>
      </c>
      <c r="Z160" s="5">
        <v>0</v>
      </c>
      <c r="AA160" s="5">
        <v>1</v>
      </c>
      <c r="AB160" s="5">
        <v>0</v>
      </c>
    </row>
    <row r="161" spans="1:28" ht="12.75">
      <c r="A161" s="5">
        <v>50</v>
      </c>
      <c r="B161" s="5">
        <v>0</v>
      </c>
      <c r="C161" s="5">
        <v>0</v>
      </c>
      <c r="D161" s="5">
        <v>1</v>
      </c>
      <c r="E161" s="5">
        <v>203</v>
      </c>
      <c r="F161" s="5">
        <f>ROUND(Source!Q149,O161)</f>
        <v>20496.23</v>
      </c>
      <c r="G161" s="5" t="s">
        <v>96</v>
      </c>
      <c r="H161" s="5" t="s">
        <v>97</v>
      </c>
      <c r="I161" s="5"/>
      <c r="J161" s="5"/>
      <c r="K161" s="5">
        <v>203</v>
      </c>
      <c r="L161" s="5">
        <v>11</v>
      </c>
      <c r="M161" s="5">
        <v>3</v>
      </c>
      <c r="N161" s="5" t="s">
        <v>3</v>
      </c>
      <c r="O161" s="5">
        <v>2</v>
      </c>
      <c r="P161" s="5">
        <f>ROUND(Source!DI149,O161)</f>
        <v>162739.68</v>
      </c>
      <c r="Q161" s="5"/>
      <c r="R161" s="5"/>
      <c r="S161" s="5"/>
      <c r="T161" s="5"/>
      <c r="U161" s="5"/>
      <c r="V161" s="5"/>
      <c r="W161" s="5">
        <v>20496.23</v>
      </c>
      <c r="X161" s="5">
        <v>1</v>
      </c>
      <c r="Y161" s="5">
        <v>20496.23</v>
      </c>
      <c r="Z161" s="5">
        <v>162739.68</v>
      </c>
      <c r="AA161" s="5">
        <v>1</v>
      </c>
      <c r="AB161" s="5">
        <v>162739.68</v>
      </c>
    </row>
    <row r="162" spans="1:28" ht="12.75">
      <c r="A162" s="5">
        <v>50</v>
      </c>
      <c r="B162" s="5">
        <v>0</v>
      </c>
      <c r="C162" s="5">
        <v>0</v>
      </c>
      <c r="D162" s="5">
        <v>1</v>
      </c>
      <c r="E162" s="5">
        <v>231</v>
      </c>
      <c r="F162" s="5">
        <f>ROUND(Source!BB149,O162)</f>
        <v>0</v>
      </c>
      <c r="G162" s="5" t="s">
        <v>98</v>
      </c>
      <c r="H162" s="5" t="s">
        <v>99</v>
      </c>
      <c r="I162" s="5"/>
      <c r="J162" s="5"/>
      <c r="K162" s="5">
        <v>231</v>
      </c>
      <c r="L162" s="5">
        <v>12</v>
      </c>
      <c r="M162" s="5">
        <v>3</v>
      </c>
      <c r="N162" s="5" t="s">
        <v>3</v>
      </c>
      <c r="O162" s="5">
        <v>2</v>
      </c>
      <c r="P162" s="5">
        <f>ROUND(Source!ET149,O162)</f>
        <v>0</v>
      </c>
      <c r="Q162" s="5"/>
      <c r="R162" s="5"/>
      <c r="S162" s="5"/>
      <c r="T162" s="5"/>
      <c r="U162" s="5"/>
      <c r="V162" s="5"/>
      <c r="W162" s="5">
        <v>0</v>
      </c>
      <c r="X162" s="5">
        <v>1</v>
      </c>
      <c r="Y162" s="5">
        <v>0</v>
      </c>
      <c r="Z162" s="5">
        <v>0</v>
      </c>
      <c r="AA162" s="5">
        <v>1</v>
      </c>
      <c r="AB162" s="5">
        <v>0</v>
      </c>
    </row>
    <row r="163" spans="1:28" ht="12.75">
      <c r="A163" s="5">
        <v>50</v>
      </c>
      <c r="B163" s="5">
        <v>0</v>
      </c>
      <c r="C163" s="5">
        <v>0</v>
      </c>
      <c r="D163" s="5">
        <v>1</v>
      </c>
      <c r="E163" s="5">
        <v>204</v>
      </c>
      <c r="F163" s="5">
        <f>ROUND(Source!R149,O163)</f>
        <v>1141.61</v>
      </c>
      <c r="G163" s="5" t="s">
        <v>100</v>
      </c>
      <c r="H163" s="5" t="s">
        <v>101</v>
      </c>
      <c r="I163" s="5"/>
      <c r="J163" s="5"/>
      <c r="K163" s="5">
        <v>204</v>
      </c>
      <c r="L163" s="5">
        <v>13</v>
      </c>
      <c r="M163" s="5">
        <v>3</v>
      </c>
      <c r="N163" s="5" t="s">
        <v>3</v>
      </c>
      <c r="O163" s="5">
        <v>2</v>
      </c>
      <c r="P163" s="5">
        <f>ROUND(Source!DJ149,O163)</f>
        <v>43792.35</v>
      </c>
      <c r="Q163" s="5"/>
      <c r="R163" s="5"/>
      <c r="S163" s="5"/>
      <c r="T163" s="5"/>
      <c r="U163" s="5"/>
      <c r="V163" s="5"/>
      <c r="W163" s="5">
        <v>1141.61</v>
      </c>
      <c r="X163" s="5">
        <v>1</v>
      </c>
      <c r="Y163" s="5">
        <v>1141.61</v>
      </c>
      <c r="Z163" s="5">
        <v>43792.34999999999</v>
      </c>
      <c r="AA163" s="5">
        <v>1</v>
      </c>
      <c r="AB163" s="5">
        <v>43792.34999999999</v>
      </c>
    </row>
    <row r="164" spans="1:28" ht="12.75">
      <c r="A164" s="5">
        <v>50</v>
      </c>
      <c r="B164" s="5">
        <v>0</v>
      </c>
      <c r="C164" s="5">
        <v>0</v>
      </c>
      <c r="D164" s="5">
        <v>1</v>
      </c>
      <c r="E164" s="5">
        <v>205</v>
      </c>
      <c r="F164" s="5">
        <f>ROUND(Source!S149,O164)</f>
        <v>1663.76</v>
      </c>
      <c r="G164" s="5" t="s">
        <v>102</v>
      </c>
      <c r="H164" s="5" t="s">
        <v>103</v>
      </c>
      <c r="I164" s="5"/>
      <c r="J164" s="5"/>
      <c r="K164" s="5">
        <v>205</v>
      </c>
      <c r="L164" s="5">
        <v>14</v>
      </c>
      <c r="M164" s="5">
        <v>3</v>
      </c>
      <c r="N164" s="5" t="s">
        <v>3</v>
      </c>
      <c r="O164" s="5">
        <v>2</v>
      </c>
      <c r="P164" s="5">
        <f>ROUND(Source!DK149,O164)</f>
        <v>63822.17</v>
      </c>
      <c r="Q164" s="5"/>
      <c r="R164" s="5"/>
      <c r="S164" s="5"/>
      <c r="T164" s="5"/>
      <c r="U164" s="5"/>
      <c r="V164" s="5"/>
      <c r="W164" s="5">
        <v>1663.76</v>
      </c>
      <c r="X164" s="5">
        <v>1</v>
      </c>
      <c r="Y164" s="5">
        <v>1663.76</v>
      </c>
      <c r="Z164" s="5">
        <v>63822.17</v>
      </c>
      <c r="AA164" s="5">
        <v>1</v>
      </c>
      <c r="AB164" s="5">
        <v>63822.17</v>
      </c>
    </row>
    <row r="165" spans="1:28" ht="12.75">
      <c r="A165" s="5">
        <v>50</v>
      </c>
      <c r="B165" s="5">
        <v>0</v>
      </c>
      <c r="C165" s="5">
        <v>0</v>
      </c>
      <c r="D165" s="5">
        <v>1</v>
      </c>
      <c r="E165" s="5">
        <v>232</v>
      </c>
      <c r="F165" s="5">
        <f>ROUND(Source!BC149,O165)</f>
        <v>0</v>
      </c>
      <c r="G165" s="5" t="s">
        <v>104</v>
      </c>
      <c r="H165" s="5" t="s">
        <v>105</v>
      </c>
      <c r="I165" s="5"/>
      <c r="J165" s="5"/>
      <c r="K165" s="5">
        <v>232</v>
      </c>
      <c r="L165" s="5">
        <v>15</v>
      </c>
      <c r="M165" s="5">
        <v>3</v>
      </c>
      <c r="N165" s="5" t="s">
        <v>3</v>
      </c>
      <c r="O165" s="5">
        <v>2</v>
      </c>
      <c r="P165" s="5">
        <f>ROUND(Source!EU149,O165)</f>
        <v>0</v>
      </c>
      <c r="Q165" s="5"/>
      <c r="R165" s="5"/>
      <c r="S165" s="5"/>
      <c r="T165" s="5"/>
      <c r="U165" s="5"/>
      <c r="V165" s="5"/>
      <c r="W165" s="5">
        <v>0</v>
      </c>
      <c r="X165" s="5">
        <v>1</v>
      </c>
      <c r="Y165" s="5">
        <v>0</v>
      </c>
      <c r="Z165" s="5">
        <v>0</v>
      </c>
      <c r="AA165" s="5">
        <v>1</v>
      </c>
      <c r="AB165" s="5">
        <v>0</v>
      </c>
    </row>
    <row r="166" spans="1:28" ht="12.75">
      <c r="A166" s="5">
        <v>50</v>
      </c>
      <c r="B166" s="5">
        <v>0</v>
      </c>
      <c r="C166" s="5">
        <v>0</v>
      </c>
      <c r="D166" s="5">
        <v>1</v>
      </c>
      <c r="E166" s="5">
        <v>214</v>
      </c>
      <c r="F166" s="5">
        <f>ROUND(Source!AS149,O166)</f>
        <v>517954.76</v>
      </c>
      <c r="G166" s="5" t="s">
        <v>106</v>
      </c>
      <c r="H166" s="5" t="s">
        <v>107</v>
      </c>
      <c r="I166" s="5"/>
      <c r="J166" s="5"/>
      <c r="K166" s="5">
        <v>214</v>
      </c>
      <c r="L166" s="5">
        <v>16</v>
      </c>
      <c r="M166" s="5">
        <v>3</v>
      </c>
      <c r="N166" s="5" t="s">
        <v>3</v>
      </c>
      <c r="O166" s="5">
        <v>2</v>
      </c>
      <c r="P166" s="5">
        <f>ROUND(Source!EK149,O166)</f>
        <v>924799.96</v>
      </c>
      <c r="Q166" s="5"/>
      <c r="R166" s="5"/>
      <c r="S166" s="5"/>
      <c r="T166" s="5"/>
      <c r="U166" s="5"/>
      <c r="V166" s="5"/>
      <c r="W166" s="5">
        <v>517954.76</v>
      </c>
      <c r="X166" s="5">
        <v>1</v>
      </c>
      <c r="Y166" s="5">
        <v>517954.76</v>
      </c>
      <c r="Z166" s="5">
        <v>924799.96</v>
      </c>
      <c r="AA166" s="5">
        <v>1</v>
      </c>
      <c r="AB166" s="5">
        <v>924799.96</v>
      </c>
    </row>
    <row r="167" spans="1:28" ht="12.75">
      <c r="A167" s="5">
        <v>50</v>
      </c>
      <c r="B167" s="5">
        <v>0</v>
      </c>
      <c r="C167" s="5">
        <v>0</v>
      </c>
      <c r="D167" s="5">
        <v>1</v>
      </c>
      <c r="E167" s="5">
        <v>215</v>
      </c>
      <c r="F167" s="5">
        <f>ROUND(Source!AT149,O167)</f>
        <v>0</v>
      </c>
      <c r="G167" s="5" t="s">
        <v>108</v>
      </c>
      <c r="H167" s="5" t="s">
        <v>109</v>
      </c>
      <c r="I167" s="5"/>
      <c r="J167" s="5"/>
      <c r="K167" s="5">
        <v>215</v>
      </c>
      <c r="L167" s="5">
        <v>17</v>
      </c>
      <c r="M167" s="5">
        <v>3</v>
      </c>
      <c r="N167" s="5" t="s">
        <v>3</v>
      </c>
      <c r="O167" s="5">
        <v>2</v>
      </c>
      <c r="P167" s="5">
        <f>ROUND(Source!EL149,O167)</f>
        <v>0</v>
      </c>
      <c r="Q167" s="5"/>
      <c r="R167" s="5"/>
      <c r="S167" s="5"/>
      <c r="T167" s="5"/>
      <c r="U167" s="5"/>
      <c r="V167" s="5"/>
      <c r="W167" s="5">
        <v>0</v>
      </c>
      <c r="X167" s="5">
        <v>1</v>
      </c>
      <c r="Y167" s="5">
        <v>0</v>
      </c>
      <c r="Z167" s="5">
        <v>0</v>
      </c>
      <c r="AA167" s="5">
        <v>1</v>
      </c>
      <c r="AB167" s="5">
        <v>0</v>
      </c>
    </row>
    <row r="168" spans="1:28" ht="12.75">
      <c r="A168" s="5">
        <v>50</v>
      </c>
      <c r="B168" s="5">
        <v>0</v>
      </c>
      <c r="C168" s="5">
        <v>0</v>
      </c>
      <c r="D168" s="5">
        <v>1</v>
      </c>
      <c r="E168" s="5">
        <v>217</v>
      </c>
      <c r="F168" s="5">
        <f>ROUND(Source!AU149,O168)</f>
        <v>0</v>
      </c>
      <c r="G168" s="5" t="s">
        <v>110</v>
      </c>
      <c r="H168" s="5" t="s">
        <v>111</v>
      </c>
      <c r="I168" s="5"/>
      <c r="J168" s="5"/>
      <c r="K168" s="5">
        <v>217</v>
      </c>
      <c r="L168" s="5">
        <v>18</v>
      </c>
      <c r="M168" s="5">
        <v>3</v>
      </c>
      <c r="N168" s="5" t="s">
        <v>3</v>
      </c>
      <c r="O168" s="5">
        <v>2</v>
      </c>
      <c r="P168" s="5">
        <f>ROUND(Source!EM149,O168)</f>
        <v>0</v>
      </c>
      <c r="Q168" s="5"/>
      <c r="R168" s="5"/>
      <c r="S168" s="5"/>
      <c r="T168" s="5"/>
      <c r="U168" s="5"/>
      <c r="V168" s="5"/>
      <c r="W168" s="5">
        <v>0</v>
      </c>
      <c r="X168" s="5">
        <v>1</v>
      </c>
      <c r="Y168" s="5">
        <v>0</v>
      </c>
      <c r="Z168" s="5">
        <v>0</v>
      </c>
      <c r="AA168" s="5">
        <v>1</v>
      </c>
      <c r="AB168" s="5">
        <v>0</v>
      </c>
    </row>
    <row r="169" spans="1:28" ht="12.75">
      <c r="A169" s="5">
        <v>50</v>
      </c>
      <c r="B169" s="5">
        <v>0</v>
      </c>
      <c r="C169" s="5">
        <v>0</v>
      </c>
      <c r="D169" s="5">
        <v>1</v>
      </c>
      <c r="E169" s="5">
        <v>230</v>
      </c>
      <c r="F169" s="5">
        <f>ROUND(Source!BA149,O169)</f>
        <v>0</v>
      </c>
      <c r="G169" s="5" t="s">
        <v>112</v>
      </c>
      <c r="H169" s="5" t="s">
        <v>113</v>
      </c>
      <c r="I169" s="5"/>
      <c r="J169" s="5"/>
      <c r="K169" s="5">
        <v>230</v>
      </c>
      <c r="L169" s="5">
        <v>19</v>
      </c>
      <c r="M169" s="5">
        <v>3</v>
      </c>
      <c r="N169" s="5" t="s">
        <v>3</v>
      </c>
      <c r="O169" s="5">
        <v>2</v>
      </c>
      <c r="P169" s="5">
        <f>ROUND(Source!ES149,O169)</f>
        <v>0</v>
      </c>
      <c r="Q169" s="5"/>
      <c r="R169" s="5"/>
      <c r="S169" s="5"/>
      <c r="T169" s="5"/>
      <c r="U169" s="5"/>
      <c r="V169" s="5"/>
      <c r="W169" s="5">
        <v>0</v>
      </c>
      <c r="X169" s="5">
        <v>1</v>
      </c>
      <c r="Y169" s="5">
        <v>0</v>
      </c>
      <c r="Z169" s="5">
        <v>0</v>
      </c>
      <c r="AA169" s="5">
        <v>1</v>
      </c>
      <c r="AB169" s="5">
        <v>0</v>
      </c>
    </row>
    <row r="170" spans="1:28" ht="12.75">
      <c r="A170" s="5">
        <v>50</v>
      </c>
      <c r="B170" s="5">
        <v>0</v>
      </c>
      <c r="C170" s="5">
        <v>0</v>
      </c>
      <c r="D170" s="5">
        <v>1</v>
      </c>
      <c r="E170" s="5">
        <v>206</v>
      </c>
      <c r="F170" s="5">
        <f>ROUND(Source!T149,O170)</f>
        <v>0</v>
      </c>
      <c r="G170" s="5" t="s">
        <v>114</v>
      </c>
      <c r="H170" s="5" t="s">
        <v>115</v>
      </c>
      <c r="I170" s="5"/>
      <c r="J170" s="5"/>
      <c r="K170" s="5">
        <v>206</v>
      </c>
      <c r="L170" s="5">
        <v>20</v>
      </c>
      <c r="M170" s="5">
        <v>3</v>
      </c>
      <c r="N170" s="5" t="s">
        <v>3</v>
      </c>
      <c r="O170" s="5">
        <v>2</v>
      </c>
      <c r="P170" s="5">
        <f>ROUND(Source!DL149,O170)</f>
        <v>0</v>
      </c>
      <c r="Q170" s="5"/>
      <c r="R170" s="5"/>
      <c r="S170" s="5"/>
      <c r="T170" s="5"/>
      <c r="U170" s="5"/>
      <c r="V170" s="5"/>
      <c r="W170" s="5">
        <v>0</v>
      </c>
      <c r="X170" s="5">
        <v>1</v>
      </c>
      <c r="Y170" s="5">
        <v>0</v>
      </c>
      <c r="Z170" s="5">
        <v>0</v>
      </c>
      <c r="AA170" s="5">
        <v>1</v>
      </c>
      <c r="AB170" s="5">
        <v>0</v>
      </c>
    </row>
    <row r="171" spans="1:28" ht="12.75">
      <c r="A171" s="5">
        <v>50</v>
      </c>
      <c r="B171" s="5">
        <v>0</v>
      </c>
      <c r="C171" s="5">
        <v>0</v>
      </c>
      <c r="D171" s="5">
        <v>1</v>
      </c>
      <c r="E171" s="5">
        <v>207</v>
      </c>
      <c r="F171" s="5">
        <f>Source!U149</f>
        <v>190.081897</v>
      </c>
      <c r="G171" s="5" t="s">
        <v>116</v>
      </c>
      <c r="H171" s="5" t="s">
        <v>117</v>
      </c>
      <c r="I171" s="5"/>
      <c r="J171" s="5"/>
      <c r="K171" s="5">
        <v>207</v>
      </c>
      <c r="L171" s="5">
        <v>21</v>
      </c>
      <c r="M171" s="5">
        <v>3</v>
      </c>
      <c r="N171" s="5" t="s">
        <v>3</v>
      </c>
      <c r="O171" s="5">
        <v>-1</v>
      </c>
      <c r="P171" s="5">
        <f>Source!DM149</f>
        <v>190.081897</v>
      </c>
      <c r="Q171" s="5"/>
      <c r="R171" s="5"/>
      <c r="S171" s="5"/>
      <c r="T171" s="5"/>
      <c r="U171" s="5"/>
      <c r="V171" s="5"/>
      <c r="W171" s="5">
        <v>190.081897</v>
      </c>
      <c r="X171" s="5">
        <v>1</v>
      </c>
      <c r="Y171" s="5">
        <v>190.081897</v>
      </c>
      <c r="Z171" s="5">
        <v>190.081897</v>
      </c>
      <c r="AA171" s="5">
        <v>1</v>
      </c>
      <c r="AB171" s="5">
        <v>190.081897</v>
      </c>
    </row>
    <row r="172" spans="1:28" ht="12.75">
      <c r="A172" s="5">
        <v>50</v>
      </c>
      <c r="B172" s="5">
        <v>0</v>
      </c>
      <c r="C172" s="5">
        <v>0</v>
      </c>
      <c r="D172" s="5">
        <v>1</v>
      </c>
      <c r="E172" s="5">
        <v>208</v>
      </c>
      <c r="F172" s="5">
        <f>Source!V149</f>
        <v>0.896625</v>
      </c>
      <c r="G172" s="5" t="s">
        <v>118</v>
      </c>
      <c r="H172" s="5" t="s">
        <v>119</v>
      </c>
      <c r="I172" s="5"/>
      <c r="J172" s="5"/>
      <c r="K172" s="5">
        <v>208</v>
      </c>
      <c r="L172" s="5">
        <v>22</v>
      </c>
      <c r="M172" s="5">
        <v>3</v>
      </c>
      <c r="N172" s="5" t="s">
        <v>3</v>
      </c>
      <c r="O172" s="5">
        <v>-1</v>
      </c>
      <c r="P172" s="5">
        <f>Source!DN149</f>
        <v>0.896625</v>
      </c>
      <c r="Q172" s="5"/>
      <c r="R172" s="5"/>
      <c r="S172" s="5"/>
      <c r="T172" s="5"/>
      <c r="U172" s="5"/>
      <c r="V172" s="5"/>
      <c r="W172" s="5">
        <v>0.896625</v>
      </c>
      <c r="X172" s="5">
        <v>1</v>
      </c>
      <c r="Y172" s="5">
        <v>0.896625</v>
      </c>
      <c r="Z172" s="5">
        <v>0.896625</v>
      </c>
      <c r="AA172" s="5">
        <v>1</v>
      </c>
      <c r="AB172" s="5">
        <v>0.896625</v>
      </c>
    </row>
    <row r="173" spans="1:28" ht="12.75">
      <c r="A173" s="5">
        <v>50</v>
      </c>
      <c r="B173" s="5">
        <v>0</v>
      </c>
      <c r="C173" s="5">
        <v>0</v>
      </c>
      <c r="D173" s="5">
        <v>1</v>
      </c>
      <c r="E173" s="5">
        <v>209</v>
      </c>
      <c r="F173" s="5">
        <f>ROUND(Source!W149,O173)</f>
        <v>0</v>
      </c>
      <c r="G173" s="5" t="s">
        <v>120</v>
      </c>
      <c r="H173" s="5" t="s">
        <v>121</v>
      </c>
      <c r="I173" s="5"/>
      <c r="J173" s="5"/>
      <c r="K173" s="5">
        <v>209</v>
      </c>
      <c r="L173" s="5">
        <v>23</v>
      </c>
      <c r="M173" s="5">
        <v>3</v>
      </c>
      <c r="N173" s="5" t="s">
        <v>3</v>
      </c>
      <c r="O173" s="5">
        <v>2</v>
      </c>
      <c r="P173" s="5">
        <f>ROUND(Source!DO149,O173)</f>
        <v>0</v>
      </c>
      <c r="Q173" s="5"/>
      <c r="R173" s="5"/>
      <c r="S173" s="5"/>
      <c r="T173" s="5"/>
      <c r="U173" s="5"/>
      <c r="V173" s="5"/>
      <c r="W173" s="5">
        <v>0</v>
      </c>
      <c r="X173" s="5">
        <v>1</v>
      </c>
      <c r="Y173" s="5">
        <v>0</v>
      </c>
      <c r="Z173" s="5">
        <v>0</v>
      </c>
      <c r="AA173" s="5">
        <v>1</v>
      </c>
      <c r="AB173" s="5">
        <v>0</v>
      </c>
    </row>
    <row r="174" spans="1:28" ht="12.75">
      <c r="A174" s="5">
        <v>50</v>
      </c>
      <c r="B174" s="5">
        <v>0</v>
      </c>
      <c r="C174" s="5">
        <v>0</v>
      </c>
      <c r="D174" s="5">
        <v>1</v>
      </c>
      <c r="E174" s="5">
        <v>233</v>
      </c>
      <c r="F174" s="5">
        <f>ROUND(Source!BD149,O174)</f>
        <v>211.53</v>
      </c>
      <c r="G174" s="5" t="s">
        <v>122</v>
      </c>
      <c r="H174" s="5" t="s">
        <v>123</v>
      </c>
      <c r="I174" s="5"/>
      <c r="J174" s="5"/>
      <c r="K174" s="5">
        <v>233</v>
      </c>
      <c r="L174" s="5">
        <v>24</v>
      </c>
      <c r="M174" s="5">
        <v>3</v>
      </c>
      <c r="N174" s="5" t="s">
        <v>3</v>
      </c>
      <c r="O174" s="5">
        <v>2</v>
      </c>
      <c r="P174" s="5">
        <f>ROUND(Source!EV149,O174)</f>
        <v>2588.27</v>
      </c>
      <c r="Q174" s="5"/>
      <c r="R174" s="5"/>
      <c r="S174" s="5"/>
      <c r="T174" s="5"/>
      <c r="U174" s="5"/>
      <c r="V174" s="5"/>
      <c r="W174" s="5">
        <v>211.53</v>
      </c>
      <c r="X174" s="5">
        <v>1</v>
      </c>
      <c r="Y174" s="5">
        <v>211.53</v>
      </c>
      <c r="Z174" s="5">
        <v>2588.27</v>
      </c>
      <c r="AA174" s="5">
        <v>1</v>
      </c>
      <c r="AB174" s="5">
        <v>2588.27</v>
      </c>
    </row>
    <row r="175" spans="1:28" ht="12.75">
      <c r="A175" s="5">
        <v>50</v>
      </c>
      <c r="B175" s="5">
        <v>0</v>
      </c>
      <c r="C175" s="5">
        <v>0</v>
      </c>
      <c r="D175" s="5">
        <v>1</v>
      </c>
      <c r="E175" s="5">
        <v>210</v>
      </c>
      <c r="F175" s="5">
        <f>ROUND(Source!X149,O175)</f>
        <v>2845.35</v>
      </c>
      <c r="G175" s="5" t="s">
        <v>124</v>
      </c>
      <c r="H175" s="5" t="s">
        <v>125</v>
      </c>
      <c r="I175" s="5"/>
      <c r="J175" s="5"/>
      <c r="K175" s="5">
        <v>210</v>
      </c>
      <c r="L175" s="5">
        <v>25</v>
      </c>
      <c r="M175" s="5">
        <v>3</v>
      </c>
      <c r="N175" s="5" t="s">
        <v>3</v>
      </c>
      <c r="O175" s="5">
        <v>2</v>
      </c>
      <c r="P175" s="5">
        <f>ROUND(Source!DP149,O175)</f>
        <v>109147.89</v>
      </c>
      <c r="Q175" s="5"/>
      <c r="R175" s="5"/>
      <c r="S175" s="5"/>
      <c r="T175" s="5"/>
      <c r="U175" s="5"/>
      <c r="V175" s="5"/>
      <c r="W175" s="5">
        <v>2845.35</v>
      </c>
      <c r="X175" s="5">
        <v>1</v>
      </c>
      <c r="Y175" s="5">
        <v>2845.35</v>
      </c>
      <c r="Z175" s="5">
        <v>109147.89</v>
      </c>
      <c r="AA175" s="5">
        <v>1</v>
      </c>
      <c r="AB175" s="5">
        <v>109147.89</v>
      </c>
    </row>
    <row r="176" spans="1:28" ht="12.75">
      <c r="A176" s="5">
        <v>50</v>
      </c>
      <c r="B176" s="5">
        <v>0</v>
      </c>
      <c r="C176" s="5">
        <v>0</v>
      </c>
      <c r="D176" s="5">
        <v>1</v>
      </c>
      <c r="E176" s="5">
        <v>211</v>
      </c>
      <c r="F176" s="5">
        <f>ROUND(Source!Y149,O176)</f>
        <v>1699.58</v>
      </c>
      <c r="G176" s="5" t="s">
        <v>126</v>
      </c>
      <c r="H176" s="5" t="s">
        <v>127</v>
      </c>
      <c r="I176" s="5"/>
      <c r="J176" s="5"/>
      <c r="K176" s="5">
        <v>211</v>
      </c>
      <c r="L176" s="5">
        <v>26</v>
      </c>
      <c r="M176" s="5">
        <v>3</v>
      </c>
      <c r="N176" s="5" t="s">
        <v>3</v>
      </c>
      <c r="O176" s="5">
        <v>2</v>
      </c>
      <c r="P176" s="5">
        <f>ROUND(Source!DQ149,O176)</f>
        <v>65196.26</v>
      </c>
      <c r="Q176" s="5"/>
      <c r="R176" s="5"/>
      <c r="S176" s="5"/>
      <c r="T176" s="5"/>
      <c r="U176" s="5"/>
      <c r="V176" s="5"/>
      <c r="W176" s="5">
        <v>1699.58</v>
      </c>
      <c r="X176" s="5">
        <v>1</v>
      </c>
      <c r="Y176" s="5">
        <v>1699.58</v>
      </c>
      <c r="Z176" s="5">
        <v>65196.26</v>
      </c>
      <c r="AA176" s="5">
        <v>1</v>
      </c>
      <c r="AB176" s="5">
        <v>65196.26</v>
      </c>
    </row>
    <row r="177" spans="1:28" ht="12.75">
      <c r="A177" s="5">
        <v>50</v>
      </c>
      <c r="B177" s="5">
        <v>0</v>
      </c>
      <c r="C177" s="5">
        <v>0</v>
      </c>
      <c r="D177" s="5">
        <v>1</v>
      </c>
      <c r="E177" s="5">
        <v>0</v>
      </c>
      <c r="F177" s="5">
        <f>ROUND(Source!AR149,O177)</f>
        <v>517954.76</v>
      </c>
      <c r="G177" s="5" t="s">
        <v>128</v>
      </c>
      <c r="H177" s="5" t="s">
        <v>129</v>
      </c>
      <c r="I177" s="5"/>
      <c r="J177" s="5"/>
      <c r="K177" s="5">
        <v>224</v>
      </c>
      <c r="L177" s="5">
        <v>27</v>
      </c>
      <c r="M177" s="5">
        <v>3</v>
      </c>
      <c r="N177" s="5" t="s">
        <v>3</v>
      </c>
      <c r="O177" s="5">
        <v>2</v>
      </c>
      <c r="P177" s="5">
        <f>ROUND(Source!EJ149,O177)</f>
        <v>924799.96</v>
      </c>
      <c r="Q177" s="5"/>
      <c r="R177" s="5"/>
      <c r="S177" s="5"/>
      <c r="T177" s="5"/>
      <c r="U177" s="5"/>
      <c r="V177" s="5"/>
      <c r="W177" s="5">
        <v>517954.76</v>
      </c>
      <c r="X177" s="5">
        <v>1</v>
      </c>
      <c r="Y177" s="5">
        <v>517954.76</v>
      </c>
      <c r="Z177" s="5">
        <v>924799.96</v>
      </c>
      <c r="AA177" s="5">
        <v>1</v>
      </c>
      <c r="AB177" s="5">
        <v>924799.96</v>
      </c>
    </row>
    <row r="178" spans="1:28" ht="12.75">
      <c r="A178" s="5">
        <v>50</v>
      </c>
      <c r="B178" s="5">
        <v>1</v>
      </c>
      <c r="C178" s="5">
        <v>0</v>
      </c>
      <c r="D178" s="5">
        <v>2</v>
      </c>
      <c r="E178" s="5">
        <v>224</v>
      </c>
      <c r="F178" s="5">
        <f>ROUND(F177,O178)</f>
        <v>517954.76</v>
      </c>
      <c r="G178" s="5" t="s">
        <v>159</v>
      </c>
      <c r="H178" s="5" t="s">
        <v>128</v>
      </c>
      <c r="I178" s="5"/>
      <c r="J178" s="5"/>
      <c r="K178" s="5">
        <v>212</v>
      </c>
      <c r="L178" s="5">
        <v>28</v>
      </c>
      <c r="M178" s="5">
        <v>0</v>
      </c>
      <c r="N178" s="5" t="s">
        <v>3</v>
      </c>
      <c r="O178" s="5">
        <v>2</v>
      </c>
      <c r="P178" s="5">
        <f>ROUND(P177,O178)</f>
        <v>924799.96</v>
      </c>
      <c r="Q178" s="5"/>
      <c r="R178" s="5"/>
      <c r="S178" s="5"/>
      <c r="T178" s="5"/>
      <c r="U178" s="5"/>
      <c r="V178" s="5"/>
      <c r="W178" s="5">
        <v>517954.76</v>
      </c>
      <c r="X178" s="5">
        <v>1</v>
      </c>
      <c r="Y178" s="5">
        <v>517954.76</v>
      </c>
      <c r="Z178" s="5">
        <v>924799.96</v>
      </c>
      <c r="AA178" s="5">
        <v>1</v>
      </c>
      <c r="AB178" s="5">
        <v>924799.96</v>
      </c>
    </row>
    <row r="179" spans="1:28" ht="12.75">
      <c r="A179" s="5">
        <v>50</v>
      </c>
      <c r="B179" s="5">
        <v>1</v>
      </c>
      <c r="C179" s="5">
        <v>0</v>
      </c>
      <c r="D179" s="5">
        <v>2</v>
      </c>
      <c r="E179" s="5">
        <v>0</v>
      </c>
      <c r="F179" s="5">
        <f>ROUND(F178*0.02,O179)</f>
        <v>10359.1</v>
      </c>
      <c r="G179" s="5" t="s">
        <v>164</v>
      </c>
      <c r="H179" s="5" t="s">
        <v>157</v>
      </c>
      <c r="I179" s="5"/>
      <c r="J179" s="5"/>
      <c r="K179" s="5">
        <v>212</v>
      </c>
      <c r="L179" s="5">
        <v>29</v>
      </c>
      <c r="M179" s="5">
        <v>0</v>
      </c>
      <c r="N179" s="5" t="s">
        <v>3</v>
      </c>
      <c r="O179" s="5">
        <v>2</v>
      </c>
      <c r="P179" s="5">
        <f>ROUND(P178*0.02,O179)</f>
        <v>18496</v>
      </c>
      <c r="Q179" s="5"/>
      <c r="R179" s="5"/>
      <c r="S179" s="5"/>
      <c r="T179" s="5"/>
      <c r="U179" s="5"/>
      <c r="V179" s="5"/>
      <c r="W179" s="5">
        <v>10359.1</v>
      </c>
      <c r="X179" s="5">
        <v>1</v>
      </c>
      <c r="Y179" s="5">
        <v>10359.1</v>
      </c>
      <c r="Z179" s="5">
        <v>18496</v>
      </c>
      <c r="AA179" s="5">
        <v>1</v>
      </c>
      <c r="AB179" s="5">
        <v>18496</v>
      </c>
    </row>
    <row r="180" spans="1:28" ht="12.75">
      <c r="A180" s="5">
        <v>50</v>
      </c>
      <c r="B180" s="5">
        <v>1</v>
      </c>
      <c r="C180" s="5">
        <v>0</v>
      </c>
      <c r="D180" s="5">
        <v>2</v>
      </c>
      <c r="E180" s="5">
        <v>0</v>
      </c>
      <c r="F180" s="5">
        <f>ROUND(F178+F179,O180)</f>
        <v>528313.86</v>
      </c>
      <c r="G180" s="5" t="s">
        <v>165</v>
      </c>
      <c r="H180" s="5" t="s">
        <v>159</v>
      </c>
      <c r="I180" s="5"/>
      <c r="J180" s="5"/>
      <c r="K180" s="5">
        <v>212</v>
      </c>
      <c r="L180" s="5">
        <v>30</v>
      </c>
      <c r="M180" s="5">
        <v>0</v>
      </c>
      <c r="N180" s="5" t="s">
        <v>3</v>
      </c>
      <c r="O180" s="5">
        <v>2</v>
      </c>
      <c r="P180" s="5">
        <f>ROUND(P178+P179,O180)</f>
        <v>943295.96</v>
      </c>
      <c r="Q180" s="5"/>
      <c r="R180" s="5"/>
      <c r="S180" s="5"/>
      <c r="T180" s="5"/>
      <c r="U180" s="5"/>
      <c r="V180" s="5"/>
      <c r="W180" s="5">
        <v>528313.86</v>
      </c>
      <c r="X180" s="5">
        <v>1</v>
      </c>
      <c r="Y180" s="5">
        <v>528313.86</v>
      </c>
      <c r="Z180" s="5">
        <v>943295.96</v>
      </c>
      <c r="AA180" s="5">
        <v>1</v>
      </c>
      <c r="AB180" s="5">
        <v>943295.96</v>
      </c>
    </row>
    <row r="181" spans="1:28" ht="12.75">
      <c r="A181" s="5">
        <v>50</v>
      </c>
      <c r="B181" s="5">
        <v>1</v>
      </c>
      <c r="C181" s="5">
        <v>0</v>
      </c>
      <c r="D181" s="5">
        <v>2</v>
      </c>
      <c r="E181" s="5">
        <v>0</v>
      </c>
      <c r="F181" s="5">
        <f>ROUND(F180*0.2,O181)</f>
        <v>105662.77</v>
      </c>
      <c r="G181" s="5" t="s">
        <v>160</v>
      </c>
      <c r="H181" s="5" t="s">
        <v>166</v>
      </c>
      <c r="I181" s="5"/>
      <c r="J181" s="5"/>
      <c r="K181" s="5">
        <v>212</v>
      </c>
      <c r="L181" s="5">
        <v>31</v>
      </c>
      <c r="M181" s="5">
        <v>0</v>
      </c>
      <c r="N181" s="5" t="s">
        <v>3</v>
      </c>
      <c r="O181" s="5">
        <v>2</v>
      </c>
      <c r="P181" s="5">
        <f>ROUND(P180*0.2,O181)</f>
        <v>188659.19</v>
      </c>
      <c r="Q181" s="5"/>
      <c r="R181" s="5"/>
      <c r="S181" s="5"/>
      <c r="T181" s="5"/>
      <c r="U181" s="5"/>
      <c r="V181" s="5"/>
      <c r="W181" s="5">
        <v>105662.77</v>
      </c>
      <c r="X181" s="5">
        <v>1</v>
      </c>
      <c r="Y181" s="5">
        <v>105662.77</v>
      </c>
      <c r="Z181" s="5">
        <v>188659.19</v>
      </c>
      <c r="AA181" s="5">
        <v>1</v>
      </c>
      <c r="AB181" s="5">
        <v>188659.19</v>
      </c>
    </row>
    <row r="182" spans="1:28" ht="12.75">
      <c r="A182" s="5">
        <v>50</v>
      </c>
      <c r="B182" s="5">
        <v>1</v>
      </c>
      <c r="C182" s="5">
        <v>0</v>
      </c>
      <c r="D182" s="5">
        <v>2</v>
      </c>
      <c r="E182" s="5">
        <v>213</v>
      </c>
      <c r="F182" s="5">
        <f>ROUND(F180+F181,O182)</f>
        <v>633976.63</v>
      </c>
      <c r="G182" s="5" t="s">
        <v>167</v>
      </c>
      <c r="H182" s="5" t="s">
        <v>168</v>
      </c>
      <c r="I182" s="5"/>
      <c r="J182" s="5"/>
      <c r="K182" s="5">
        <v>212</v>
      </c>
      <c r="L182" s="5">
        <v>32</v>
      </c>
      <c r="M182" s="5">
        <v>0</v>
      </c>
      <c r="N182" s="5" t="s">
        <v>3</v>
      </c>
      <c r="O182" s="5">
        <v>2</v>
      </c>
      <c r="P182" s="5">
        <f>ROUND(P180+P181,O182)</f>
        <v>1131955.15</v>
      </c>
      <c r="Q182" s="5"/>
      <c r="R182" s="5"/>
      <c r="S182" s="5"/>
      <c r="T182" s="5"/>
      <c r="U182" s="5"/>
      <c r="V182" s="5"/>
      <c r="W182" s="5">
        <v>633976.63</v>
      </c>
      <c r="X182" s="5">
        <v>1</v>
      </c>
      <c r="Y182" s="5">
        <v>633976.63</v>
      </c>
      <c r="Z182" s="5">
        <v>1131955.15</v>
      </c>
      <c r="AA182" s="5">
        <v>1</v>
      </c>
      <c r="AB182" s="5">
        <v>1131955.15</v>
      </c>
    </row>
    <row r="184" spans="1:8" ht="12.75">
      <c r="A184" s="6">
        <v>61</v>
      </c>
      <c r="B184" s="6"/>
      <c r="C184" s="6"/>
      <c r="D184" s="6"/>
      <c r="E184" s="6"/>
      <c r="F184" s="6">
        <v>3</v>
      </c>
      <c r="G184" s="6" t="s">
        <v>169</v>
      </c>
      <c r="H184" s="6" t="s">
        <v>170</v>
      </c>
    </row>
    <row r="185" spans="1:8" ht="12.75">
      <c r="A185" s="6">
        <v>61</v>
      </c>
      <c r="B185" s="6"/>
      <c r="C185" s="6"/>
      <c r="D185" s="6"/>
      <c r="E185" s="6"/>
      <c r="F185" s="6">
        <v>2</v>
      </c>
      <c r="G185" s="6" t="s">
        <v>171</v>
      </c>
      <c r="H185" s="6" t="s">
        <v>170</v>
      </c>
    </row>
    <row r="186" spans="1:8" ht="12.75">
      <c r="A186" s="6">
        <v>61</v>
      </c>
      <c r="B186" s="6"/>
      <c r="C186" s="6"/>
      <c r="D186" s="6"/>
      <c r="E186" s="6"/>
      <c r="F186" s="6">
        <v>1</v>
      </c>
      <c r="G186" s="6" t="s">
        <v>172</v>
      </c>
      <c r="H186" s="6" t="s">
        <v>170</v>
      </c>
    </row>
    <row r="189" spans="1:16" ht="12.75">
      <c r="A189">
        <v>70</v>
      </c>
      <c r="B189">
        <v>1</v>
      </c>
      <c r="D189">
        <v>1</v>
      </c>
      <c r="E189" t="s">
        <v>173</v>
      </c>
      <c r="F189" t="s">
        <v>174</v>
      </c>
      <c r="G189">
        <v>0</v>
      </c>
      <c r="H189">
        <v>0</v>
      </c>
      <c r="J189">
        <v>1</v>
      </c>
      <c r="K189">
        <v>0</v>
      </c>
      <c r="N189">
        <v>0</v>
      </c>
      <c r="O189">
        <v>0</v>
      </c>
      <c r="P189" t="s">
        <v>175</v>
      </c>
    </row>
    <row r="190" spans="1:16" ht="12.75">
      <c r="A190">
        <v>70</v>
      </c>
      <c r="B190">
        <v>1</v>
      </c>
      <c r="D190">
        <v>2</v>
      </c>
      <c r="E190" t="s">
        <v>176</v>
      </c>
      <c r="F190" t="s">
        <v>177</v>
      </c>
      <c r="G190">
        <v>1</v>
      </c>
      <c r="H190">
        <v>0</v>
      </c>
      <c r="J190">
        <v>1</v>
      </c>
      <c r="K190">
        <v>0</v>
      </c>
      <c r="N190">
        <v>0</v>
      </c>
      <c r="O190">
        <v>1</v>
      </c>
      <c r="P190" t="s">
        <v>178</v>
      </c>
    </row>
    <row r="191" spans="1:16" ht="12.75">
      <c r="A191">
        <v>70</v>
      </c>
      <c r="B191">
        <v>1</v>
      </c>
      <c r="D191">
        <v>3</v>
      </c>
      <c r="E191" t="s">
        <v>179</v>
      </c>
      <c r="F191" t="s">
        <v>180</v>
      </c>
      <c r="G191">
        <v>0</v>
      </c>
      <c r="H191">
        <v>0</v>
      </c>
      <c r="J191">
        <v>1</v>
      </c>
      <c r="K191">
        <v>0</v>
      </c>
      <c r="N191">
        <v>0</v>
      </c>
      <c r="O191">
        <v>0</v>
      </c>
      <c r="P191" t="s">
        <v>181</v>
      </c>
    </row>
    <row r="192" spans="1:16" ht="12.75">
      <c r="A192">
        <v>70</v>
      </c>
      <c r="B192">
        <v>1</v>
      </c>
      <c r="D192">
        <v>4</v>
      </c>
      <c r="E192" t="s">
        <v>182</v>
      </c>
      <c r="F192" t="s">
        <v>183</v>
      </c>
      <c r="G192">
        <v>1</v>
      </c>
      <c r="H192">
        <v>0</v>
      </c>
      <c r="J192">
        <v>2</v>
      </c>
      <c r="K192">
        <v>0</v>
      </c>
      <c r="N192">
        <v>0</v>
      </c>
      <c r="O192">
        <v>1</v>
      </c>
    </row>
    <row r="193" spans="1:16" ht="12.75">
      <c r="A193">
        <v>70</v>
      </c>
      <c r="B193">
        <v>1</v>
      </c>
      <c r="D193">
        <v>5</v>
      </c>
      <c r="E193" t="s">
        <v>184</v>
      </c>
      <c r="F193" t="s">
        <v>185</v>
      </c>
      <c r="G193">
        <v>0</v>
      </c>
      <c r="H193">
        <v>0</v>
      </c>
      <c r="J193">
        <v>2</v>
      </c>
      <c r="K193">
        <v>0</v>
      </c>
      <c r="N193">
        <v>0</v>
      </c>
      <c r="O193">
        <v>0</v>
      </c>
    </row>
    <row r="194" spans="1:16" ht="12.75">
      <c r="A194">
        <v>70</v>
      </c>
      <c r="B194">
        <v>1</v>
      </c>
      <c r="D194">
        <v>6</v>
      </c>
      <c r="E194" t="s">
        <v>186</v>
      </c>
      <c r="F194" t="s">
        <v>187</v>
      </c>
      <c r="G194">
        <v>0</v>
      </c>
      <c r="H194">
        <v>0</v>
      </c>
      <c r="J194">
        <v>2</v>
      </c>
      <c r="K194">
        <v>0</v>
      </c>
      <c r="N194">
        <v>0</v>
      </c>
      <c r="O194">
        <v>0</v>
      </c>
    </row>
    <row r="195" spans="1:16" ht="12.75">
      <c r="A195">
        <v>70</v>
      </c>
      <c r="B195">
        <v>1</v>
      </c>
      <c r="D195">
        <v>7</v>
      </c>
      <c r="E195" t="s">
        <v>188</v>
      </c>
      <c r="F195" t="s">
        <v>189</v>
      </c>
      <c r="G195">
        <v>0</v>
      </c>
      <c r="H195">
        <v>0</v>
      </c>
      <c r="I195" t="s">
        <v>190</v>
      </c>
      <c r="J195">
        <v>0</v>
      </c>
      <c r="K195">
        <v>0</v>
      </c>
      <c r="N195">
        <v>0</v>
      </c>
      <c r="O195">
        <v>0</v>
      </c>
      <c r="P195" t="s">
        <v>191</v>
      </c>
    </row>
    <row r="196" spans="1:16" ht="12.75">
      <c r="A196">
        <v>70</v>
      </c>
      <c r="B196">
        <v>1</v>
      </c>
      <c r="D196">
        <v>8</v>
      </c>
      <c r="E196" t="s">
        <v>192</v>
      </c>
      <c r="F196" t="s">
        <v>193</v>
      </c>
      <c r="G196">
        <v>0</v>
      </c>
      <c r="H196">
        <v>0</v>
      </c>
      <c r="I196" t="s">
        <v>194</v>
      </c>
      <c r="J196">
        <v>0</v>
      </c>
      <c r="K196">
        <v>0</v>
      </c>
      <c r="N196">
        <v>0</v>
      </c>
      <c r="O196">
        <v>0</v>
      </c>
      <c r="P196" t="s">
        <v>192</v>
      </c>
    </row>
    <row r="197" spans="1:16" ht="12.75">
      <c r="A197">
        <v>70</v>
      </c>
      <c r="B197">
        <v>1</v>
      </c>
      <c r="D197">
        <v>9</v>
      </c>
      <c r="E197" t="s">
        <v>195</v>
      </c>
      <c r="F197" t="s">
        <v>196</v>
      </c>
      <c r="G197">
        <v>0</v>
      </c>
      <c r="H197">
        <v>0</v>
      </c>
      <c r="I197" t="s">
        <v>197</v>
      </c>
      <c r="J197">
        <v>0</v>
      </c>
      <c r="K197">
        <v>0</v>
      </c>
      <c r="N197">
        <v>0</v>
      </c>
      <c r="O197">
        <v>0</v>
      </c>
      <c r="P197" t="s">
        <v>198</v>
      </c>
    </row>
    <row r="198" spans="1:16" ht="12.75">
      <c r="A198">
        <v>70</v>
      </c>
      <c r="B198">
        <v>1</v>
      </c>
      <c r="D198">
        <v>10</v>
      </c>
      <c r="E198" t="s">
        <v>199</v>
      </c>
      <c r="F198" t="s">
        <v>200</v>
      </c>
      <c r="G198">
        <v>0</v>
      </c>
      <c r="H198">
        <v>0</v>
      </c>
      <c r="I198" t="s">
        <v>201</v>
      </c>
      <c r="J198">
        <v>0</v>
      </c>
      <c r="K198">
        <v>0</v>
      </c>
      <c r="N198">
        <v>0</v>
      </c>
      <c r="O198">
        <v>0</v>
      </c>
      <c r="P198" t="s">
        <v>202</v>
      </c>
    </row>
    <row r="199" spans="1:16" ht="12.75">
      <c r="A199">
        <v>70</v>
      </c>
      <c r="B199">
        <v>1</v>
      </c>
      <c r="D199">
        <v>11</v>
      </c>
      <c r="E199" t="s">
        <v>203</v>
      </c>
      <c r="F199" t="s">
        <v>204</v>
      </c>
      <c r="G199">
        <v>0</v>
      </c>
      <c r="H199">
        <v>0</v>
      </c>
      <c r="I199" t="s">
        <v>205</v>
      </c>
      <c r="J199">
        <v>0</v>
      </c>
      <c r="K199">
        <v>0</v>
      </c>
      <c r="N199">
        <v>0</v>
      </c>
      <c r="O199">
        <v>0</v>
      </c>
      <c r="P199" t="s">
        <v>206</v>
      </c>
    </row>
    <row r="200" spans="1:16" ht="12.75">
      <c r="A200">
        <v>70</v>
      </c>
      <c r="B200">
        <v>1</v>
      </c>
      <c r="D200">
        <v>12</v>
      </c>
      <c r="E200" t="s">
        <v>207</v>
      </c>
      <c r="F200" t="s">
        <v>208</v>
      </c>
      <c r="G200">
        <v>0</v>
      </c>
      <c r="H200">
        <v>0</v>
      </c>
      <c r="J200">
        <v>0</v>
      </c>
      <c r="K200">
        <v>0</v>
      </c>
      <c r="N200">
        <v>0</v>
      </c>
      <c r="O200">
        <v>0</v>
      </c>
      <c r="P200" t="s">
        <v>209</v>
      </c>
    </row>
    <row r="201" spans="1:16" ht="12.75">
      <c r="A201">
        <v>70</v>
      </c>
      <c r="B201">
        <v>1</v>
      </c>
      <c r="D201">
        <v>1</v>
      </c>
      <c r="E201" t="s">
        <v>210</v>
      </c>
      <c r="F201" t="s">
        <v>211</v>
      </c>
      <c r="G201">
        <v>0.9</v>
      </c>
      <c r="H201">
        <v>1</v>
      </c>
      <c r="I201" t="s">
        <v>212</v>
      </c>
      <c r="J201">
        <v>0</v>
      </c>
      <c r="K201">
        <v>0</v>
      </c>
      <c r="N201">
        <v>0</v>
      </c>
      <c r="O201">
        <v>0.9</v>
      </c>
      <c r="P201" t="s">
        <v>213</v>
      </c>
    </row>
    <row r="202" spans="1:16" ht="12.75">
      <c r="A202">
        <v>70</v>
      </c>
      <c r="B202">
        <v>1</v>
      </c>
      <c r="D202">
        <v>2</v>
      </c>
      <c r="E202" t="s">
        <v>214</v>
      </c>
      <c r="F202" t="s">
        <v>215</v>
      </c>
      <c r="G202">
        <v>0.85</v>
      </c>
      <c r="H202">
        <v>1</v>
      </c>
      <c r="I202" t="s">
        <v>216</v>
      </c>
      <c r="J202">
        <v>0</v>
      </c>
      <c r="K202">
        <v>0</v>
      </c>
      <c r="N202">
        <v>0</v>
      </c>
      <c r="O202">
        <v>0.85</v>
      </c>
      <c r="P202" t="s">
        <v>217</v>
      </c>
    </row>
    <row r="203" spans="1:16" ht="12.75">
      <c r="A203">
        <v>70</v>
      </c>
      <c r="B203">
        <v>1</v>
      </c>
      <c r="D203">
        <v>3</v>
      </c>
      <c r="E203" t="s">
        <v>218</v>
      </c>
      <c r="F203" t="s">
        <v>219</v>
      </c>
      <c r="G203">
        <v>1.03</v>
      </c>
      <c r="H203">
        <v>0</v>
      </c>
      <c r="J203">
        <v>0</v>
      </c>
      <c r="K203">
        <v>0</v>
      </c>
      <c r="N203">
        <v>0</v>
      </c>
      <c r="O203">
        <v>1.03</v>
      </c>
      <c r="P203" t="s">
        <v>220</v>
      </c>
    </row>
    <row r="204" spans="1:16" ht="12.75">
      <c r="A204">
        <v>70</v>
      </c>
      <c r="B204">
        <v>1</v>
      </c>
      <c r="D204">
        <v>4</v>
      </c>
      <c r="E204" t="s">
        <v>221</v>
      </c>
      <c r="F204" t="s">
        <v>222</v>
      </c>
      <c r="G204">
        <v>1.09</v>
      </c>
      <c r="H204">
        <v>0</v>
      </c>
      <c r="J204">
        <v>0</v>
      </c>
      <c r="K204">
        <v>0</v>
      </c>
      <c r="N204">
        <v>0</v>
      </c>
      <c r="O204">
        <v>1.09</v>
      </c>
      <c r="P204" t="s">
        <v>223</v>
      </c>
    </row>
    <row r="205" spans="1:16" ht="12.75">
      <c r="A205">
        <v>70</v>
      </c>
      <c r="B205">
        <v>1</v>
      </c>
      <c r="D205">
        <v>5</v>
      </c>
      <c r="E205" t="s">
        <v>224</v>
      </c>
      <c r="F205" t="s">
        <v>225</v>
      </c>
      <c r="G205">
        <v>7</v>
      </c>
      <c r="H205">
        <v>0</v>
      </c>
      <c r="J205">
        <v>0</v>
      </c>
      <c r="K205">
        <v>0</v>
      </c>
      <c r="N205">
        <v>0</v>
      </c>
      <c r="O205">
        <v>7</v>
      </c>
    </row>
    <row r="206" spans="1:16" ht="12.75">
      <c r="A206">
        <v>70</v>
      </c>
      <c r="B206">
        <v>1</v>
      </c>
      <c r="D206">
        <v>6</v>
      </c>
      <c r="E206" t="s">
        <v>226</v>
      </c>
      <c r="G206">
        <v>2</v>
      </c>
      <c r="H206">
        <v>0</v>
      </c>
      <c r="J206">
        <v>0</v>
      </c>
      <c r="K206">
        <v>0</v>
      </c>
      <c r="N206">
        <v>0</v>
      </c>
      <c r="O206">
        <v>2</v>
      </c>
    </row>
    <row r="208" ht="12.75">
      <c r="A208">
        <v>-1</v>
      </c>
    </row>
    <row r="210" spans="1:15" ht="12.75">
      <c r="A210" s="4">
        <v>75</v>
      </c>
      <c r="B210" s="4" t="s">
        <v>227</v>
      </c>
      <c r="C210" s="4">
        <v>2000</v>
      </c>
      <c r="D210" s="4">
        <v>0</v>
      </c>
      <c r="E210" s="4">
        <v>1</v>
      </c>
      <c r="F210" s="4"/>
      <c r="G210" s="4">
        <v>0</v>
      </c>
      <c r="H210" s="4">
        <v>1</v>
      </c>
      <c r="I210" s="4">
        <v>0</v>
      </c>
      <c r="J210" s="4">
        <v>1</v>
      </c>
      <c r="K210" s="4">
        <v>0</v>
      </c>
      <c r="L210" s="4">
        <v>0</v>
      </c>
      <c r="M210" s="4">
        <v>0</v>
      </c>
      <c r="N210" s="4">
        <v>55115741</v>
      </c>
      <c r="O210" s="4">
        <v>1</v>
      </c>
    </row>
    <row r="211" spans="1:15" ht="12.75">
      <c r="A211" s="4">
        <v>75</v>
      </c>
      <c r="B211" s="4" t="s">
        <v>228</v>
      </c>
      <c r="C211" s="4">
        <v>2022</v>
      </c>
      <c r="D211" s="4">
        <v>0</v>
      </c>
      <c r="E211" s="4">
        <v>6</v>
      </c>
      <c r="F211" s="4"/>
      <c r="G211" s="4">
        <v>0</v>
      </c>
      <c r="H211" s="4">
        <v>1</v>
      </c>
      <c r="I211" s="4">
        <v>0</v>
      </c>
      <c r="J211" s="4">
        <v>1</v>
      </c>
      <c r="K211" s="4">
        <v>0</v>
      </c>
      <c r="L211" s="4">
        <v>0</v>
      </c>
      <c r="M211" s="4">
        <v>1</v>
      </c>
      <c r="N211" s="4">
        <v>55115742</v>
      </c>
      <c r="O211" s="4">
        <v>2</v>
      </c>
    </row>
    <row r="212" spans="1:40" ht="12.75">
      <c r="A212" s="7">
        <v>1</v>
      </c>
      <c r="B212" s="7" t="s">
        <v>229</v>
      </c>
      <c r="C212" s="7" t="s">
        <v>230</v>
      </c>
      <c r="D212" s="7">
        <v>2022</v>
      </c>
      <c r="E212" s="7">
        <v>6</v>
      </c>
      <c r="F212" s="7">
        <v>1</v>
      </c>
      <c r="G212" s="7">
        <v>1</v>
      </c>
      <c r="H212" s="7">
        <v>0</v>
      </c>
      <c r="I212" s="7">
        <v>2</v>
      </c>
      <c r="J212" s="7">
        <v>1</v>
      </c>
      <c r="K212" s="7">
        <v>1</v>
      </c>
      <c r="L212" s="7">
        <v>1</v>
      </c>
      <c r="M212" s="7">
        <v>1</v>
      </c>
      <c r="N212" s="7">
        <v>1</v>
      </c>
      <c r="O212" s="7">
        <v>1</v>
      </c>
      <c r="P212" s="7">
        <v>1</v>
      </c>
      <c r="Q212" s="7">
        <v>1</v>
      </c>
      <c r="R212" s="7" t="s">
        <v>3</v>
      </c>
      <c r="S212" s="7" t="s">
        <v>3</v>
      </c>
      <c r="T212" s="7" t="s">
        <v>3</v>
      </c>
      <c r="U212" s="7" t="s">
        <v>3</v>
      </c>
      <c r="V212" s="7" t="s">
        <v>3</v>
      </c>
      <c r="W212" s="7" t="s">
        <v>3</v>
      </c>
      <c r="X212" s="7" t="s">
        <v>3</v>
      </c>
      <c r="Y212" s="7" t="s">
        <v>3</v>
      </c>
      <c r="Z212" s="7" t="s">
        <v>3</v>
      </c>
      <c r="AA212" s="7" t="s">
        <v>3</v>
      </c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>
        <v>55115743</v>
      </c>
    </row>
    <row r="216" spans="1:5" ht="12.75">
      <c r="A216">
        <v>65</v>
      </c>
      <c r="C216">
        <v>1</v>
      </c>
      <c r="D216">
        <v>0</v>
      </c>
      <c r="E216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C5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231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56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3</v>
      </c>
      <c r="AG12" s="1" t="s">
        <v>3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405274632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280</v>
      </c>
      <c r="CR12" s="1" t="s">
        <v>18</v>
      </c>
      <c r="CS12" s="1">
        <v>44484</v>
      </c>
      <c r="CT12" s="1">
        <v>389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55115741</v>
      </c>
      <c r="E14" s="1">
        <v>55115742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0</v>
      </c>
      <c r="C16" s="8" t="s">
        <v>3</v>
      </c>
      <c r="D16" s="8" t="s">
        <v>19</v>
      </c>
      <c r="E16" s="9">
        <f>ROUND((Source!F131)/1000,2)</f>
        <v>517.95</v>
      </c>
      <c r="F16" s="9">
        <f>ROUND((Source!F132)/1000,2)</f>
        <v>0</v>
      </c>
      <c r="G16" s="9">
        <f>ROUND((Source!F123)/1000,2)</f>
        <v>0</v>
      </c>
      <c r="H16" s="9">
        <f>ROUND((Source!F133)/1000+(Source!F134)/1000,2)</f>
        <v>0</v>
      </c>
      <c r="I16" s="9">
        <f>E16+F16+G16+H16</f>
        <v>517.95</v>
      </c>
      <c r="J16" s="9">
        <f>ROUND((Source!F129)/1000,2)</f>
        <v>1.66</v>
      </c>
      <c r="T16" s="10">
        <f>ROUND((Source!P131)/1000,2)</f>
        <v>924.8</v>
      </c>
      <c r="U16" s="10">
        <f>ROUND((Source!P132)/1000,2)</f>
        <v>0</v>
      </c>
      <c r="V16" s="10">
        <f>ROUND((Source!P123)/1000,2)</f>
        <v>0</v>
      </c>
      <c r="W16" s="10">
        <f>ROUND((Source!P133)/1000+(Source!P134)/1000,2)</f>
        <v>0</v>
      </c>
      <c r="X16" s="10">
        <f>T16+U16+V16+W16</f>
        <v>924.8</v>
      </c>
      <c r="Y16" s="10">
        <f>ROUND((Source!P129)/1000,2)</f>
        <v>63.82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513409.83</v>
      </c>
      <c r="AU16" s="9">
        <v>491038.31</v>
      </c>
      <c r="AV16" s="9">
        <v>0</v>
      </c>
      <c r="AW16" s="9">
        <v>0</v>
      </c>
      <c r="AX16" s="9">
        <v>0</v>
      </c>
      <c r="AY16" s="9">
        <v>20496.23</v>
      </c>
      <c r="AZ16" s="9">
        <v>1141.61</v>
      </c>
      <c r="BA16" s="9">
        <v>1663.76</v>
      </c>
      <c r="BB16" s="9">
        <v>517954.76</v>
      </c>
      <c r="BC16" s="9">
        <v>0</v>
      </c>
      <c r="BD16" s="9">
        <v>0</v>
      </c>
      <c r="BE16" s="9">
        <v>0</v>
      </c>
      <c r="BF16" s="9">
        <v>190.081897</v>
      </c>
      <c r="BG16" s="9">
        <v>0.896625</v>
      </c>
      <c r="BH16" s="9">
        <v>0</v>
      </c>
      <c r="BI16" s="9">
        <v>2845.35</v>
      </c>
      <c r="BJ16" s="9">
        <v>1699.58</v>
      </c>
      <c r="BK16" s="9">
        <v>517954.76</v>
      </c>
      <c r="BR16" s="10">
        <v>750455.8099999999</v>
      </c>
      <c r="BS16" s="10">
        <v>521305.69</v>
      </c>
      <c r="BT16" s="10">
        <v>0</v>
      </c>
      <c r="BU16" s="10">
        <v>0</v>
      </c>
      <c r="BV16" s="10">
        <v>0</v>
      </c>
      <c r="BW16" s="10">
        <v>162739.68</v>
      </c>
      <c r="BX16" s="10">
        <v>43792.34999999999</v>
      </c>
      <c r="BY16" s="10">
        <v>63822.17</v>
      </c>
      <c r="BZ16" s="10">
        <v>924799.96</v>
      </c>
      <c r="CA16" s="10">
        <v>0</v>
      </c>
      <c r="CB16" s="10">
        <v>0</v>
      </c>
      <c r="CC16" s="10">
        <v>0</v>
      </c>
      <c r="CD16" s="10">
        <v>190.081897</v>
      </c>
      <c r="CE16" s="10">
        <v>0.896625</v>
      </c>
      <c r="CF16" s="10">
        <v>0</v>
      </c>
      <c r="CG16" s="10">
        <v>109147.89</v>
      </c>
      <c r="CH16" s="10">
        <v>65196.26</v>
      </c>
      <c r="CI16" s="10">
        <v>924799.96</v>
      </c>
    </row>
    <row r="18" spans="1:40" ht="12.75">
      <c r="A18">
        <v>51</v>
      </c>
      <c r="E18" s="6">
        <f>SUMIF(A16:A17,3,E16:E17)</f>
        <v>517.95</v>
      </c>
      <c r="F18" s="6">
        <f>SUMIF(A16:A17,3,F16:F17)</f>
        <v>0</v>
      </c>
      <c r="G18" s="6">
        <f>SUMIF(A16:A17,3,G16:G17)</f>
        <v>0</v>
      </c>
      <c r="H18" s="6">
        <f>SUMIF(A16:A17,3,H16:H17)</f>
        <v>0</v>
      </c>
      <c r="I18" s="6">
        <f>SUMIF(A16:A17,3,I16:I17)</f>
        <v>517.95</v>
      </c>
      <c r="J18" s="6">
        <f>SUMIF(A16:A17,3,J16:J17)</f>
        <v>1.66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924.8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924.8</v>
      </c>
      <c r="Y18" s="3">
        <f>SUMIF(A16:A17,3,Y16:Y17)</f>
        <v>63.82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513409.83</v>
      </c>
      <c r="G20" s="5" t="s">
        <v>76</v>
      </c>
      <c r="H20" s="5" t="s">
        <v>77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750455.8099999999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491038.31</v>
      </c>
      <c r="G21" s="5" t="s">
        <v>78</v>
      </c>
      <c r="H21" s="5" t="s">
        <v>79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521305.69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80</v>
      </c>
      <c r="H22" s="5" t="s">
        <v>81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491038.31</v>
      </c>
      <c r="G23" s="5" t="s">
        <v>82</v>
      </c>
      <c r="H23" s="5" t="s">
        <v>83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521305.69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491038.31</v>
      </c>
      <c r="G24" s="5" t="s">
        <v>84</v>
      </c>
      <c r="H24" s="5" t="s">
        <v>85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521305.69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86</v>
      </c>
      <c r="H25" s="5" t="s">
        <v>87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491038.31</v>
      </c>
      <c r="G26" s="5" t="s">
        <v>88</v>
      </c>
      <c r="H26" s="5" t="s">
        <v>89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521305.69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90</v>
      </c>
      <c r="H27" s="5" t="s">
        <v>91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92</v>
      </c>
      <c r="H28" s="5" t="s">
        <v>93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94</v>
      </c>
      <c r="H29" s="5" t="s">
        <v>95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20496.23</v>
      </c>
      <c r="G30" s="5" t="s">
        <v>96</v>
      </c>
      <c r="H30" s="5" t="s">
        <v>97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162739.68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98</v>
      </c>
      <c r="H31" s="5" t="s">
        <v>99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1141.61</v>
      </c>
      <c r="G32" s="5" t="s">
        <v>100</v>
      </c>
      <c r="H32" s="5" t="s">
        <v>101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43792.34999999999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1663.76</v>
      </c>
      <c r="G33" s="5" t="s">
        <v>102</v>
      </c>
      <c r="H33" s="5" t="s">
        <v>103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63822.17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104</v>
      </c>
      <c r="H34" s="5" t="s">
        <v>105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517954.76</v>
      </c>
      <c r="G35" s="5" t="s">
        <v>106</v>
      </c>
      <c r="H35" s="5" t="s">
        <v>107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924799.96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108</v>
      </c>
      <c r="H36" s="5" t="s">
        <v>109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110</v>
      </c>
      <c r="H37" s="5" t="s">
        <v>111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112</v>
      </c>
      <c r="H38" s="5" t="s">
        <v>113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114</v>
      </c>
      <c r="H39" s="5" t="s">
        <v>115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190.081897</v>
      </c>
      <c r="G40" s="5" t="s">
        <v>116</v>
      </c>
      <c r="H40" s="5" t="s">
        <v>117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190.081897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0.896625</v>
      </c>
      <c r="G41" s="5" t="s">
        <v>118</v>
      </c>
      <c r="H41" s="5" t="s">
        <v>119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0.896625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120</v>
      </c>
      <c r="H42" s="5" t="s">
        <v>121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211.53</v>
      </c>
      <c r="G43" s="5" t="s">
        <v>122</v>
      </c>
      <c r="H43" s="5" t="s">
        <v>123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2588.27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2845.35</v>
      </c>
      <c r="G44" s="5" t="s">
        <v>124</v>
      </c>
      <c r="H44" s="5" t="s">
        <v>125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109147.89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1699.58</v>
      </c>
      <c r="G45" s="5" t="s">
        <v>126</v>
      </c>
      <c r="H45" s="5" t="s">
        <v>127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65196.26</v>
      </c>
    </row>
    <row r="46" spans="1:16" ht="12.75">
      <c r="A46" s="5">
        <v>50</v>
      </c>
      <c r="B46" s="5">
        <v>0</v>
      </c>
      <c r="C46" s="5">
        <v>0</v>
      </c>
      <c r="D46" s="5">
        <v>1</v>
      </c>
      <c r="E46" s="5">
        <v>0</v>
      </c>
      <c r="F46" s="5">
        <v>517954.76</v>
      </c>
      <c r="G46" s="5" t="s">
        <v>128</v>
      </c>
      <c r="H46" s="5" t="s">
        <v>129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924799.96</v>
      </c>
    </row>
    <row r="47" spans="1:16" ht="12.75">
      <c r="A47" s="5">
        <v>50</v>
      </c>
      <c r="B47" s="5">
        <v>1</v>
      </c>
      <c r="C47" s="5">
        <v>0</v>
      </c>
      <c r="D47" s="5">
        <v>2</v>
      </c>
      <c r="E47" s="5">
        <v>224</v>
      </c>
      <c r="F47" s="5">
        <v>517954.76</v>
      </c>
      <c r="G47" s="5" t="s">
        <v>159</v>
      </c>
      <c r="H47" s="5" t="s">
        <v>128</v>
      </c>
      <c r="I47" s="5"/>
      <c r="J47" s="5"/>
      <c r="K47" s="5">
        <v>212</v>
      </c>
      <c r="L47" s="5">
        <v>28</v>
      </c>
      <c r="M47" s="5">
        <v>0</v>
      </c>
      <c r="N47" s="5" t="s">
        <v>3</v>
      </c>
      <c r="O47" s="5">
        <v>2</v>
      </c>
      <c r="P47" s="5">
        <v>924799.96</v>
      </c>
    </row>
    <row r="48" spans="1:16" ht="12.75">
      <c r="A48" s="5">
        <v>50</v>
      </c>
      <c r="B48" s="5">
        <v>1</v>
      </c>
      <c r="C48" s="5">
        <v>0</v>
      </c>
      <c r="D48" s="5">
        <v>2</v>
      </c>
      <c r="E48" s="5">
        <v>0</v>
      </c>
      <c r="F48" s="5">
        <v>10359.1</v>
      </c>
      <c r="G48" s="5" t="s">
        <v>164</v>
      </c>
      <c r="H48" s="5" t="s">
        <v>157</v>
      </c>
      <c r="I48" s="5"/>
      <c r="J48" s="5"/>
      <c r="K48" s="5">
        <v>212</v>
      </c>
      <c r="L48" s="5">
        <v>29</v>
      </c>
      <c r="M48" s="5">
        <v>0</v>
      </c>
      <c r="N48" s="5" t="s">
        <v>3</v>
      </c>
      <c r="O48" s="5">
        <v>2</v>
      </c>
      <c r="P48" s="5">
        <v>18496</v>
      </c>
    </row>
    <row r="49" spans="1:16" ht="12.75">
      <c r="A49" s="5">
        <v>50</v>
      </c>
      <c r="B49" s="5">
        <v>1</v>
      </c>
      <c r="C49" s="5">
        <v>0</v>
      </c>
      <c r="D49" s="5">
        <v>2</v>
      </c>
      <c r="E49" s="5">
        <v>0</v>
      </c>
      <c r="F49" s="5">
        <v>528313.86</v>
      </c>
      <c r="G49" s="5" t="s">
        <v>165</v>
      </c>
      <c r="H49" s="5" t="s">
        <v>159</v>
      </c>
      <c r="I49" s="5"/>
      <c r="J49" s="5"/>
      <c r="K49" s="5">
        <v>212</v>
      </c>
      <c r="L49" s="5">
        <v>30</v>
      </c>
      <c r="M49" s="5">
        <v>0</v>
      </c>
      <c r="N49" s="5" t="s">
        <v>3</v>
      </c>
      <c r="O49" s="5">
        <v>2</v>
      </c>
      <c r="P49" s="5">
        <v>943295.96</v>
      </c>
    </row>
    <row r="50" spans="1:16" ht="12.75">
      <c r="A50" s="5">
        <v>50</v>
      </c>
      <c r="B50" s="5">
        <v>1</v>
      </c>
      <c r="C50" s="5">
        <v>0</v>
      </c>
      <c r="D50" s="5">
        <v>2</v>
      </c>
      <c r="E50" s="5">
        <v>0</v>
      </c>
      <c r="F50" s="5">
        <v>105662.77</v>
      </c>
      <c r="G50" s="5" t="s">
        <v>160</v>
      </c>
      <c r="H50" s="5" t="s">
        <v>166</v>
      </c>
      <c r="I50" s="5"/>
      <c r="J50" s="5"/>
      <c r="K50" s="5">
        <v>212</v>
      </c>
      <c r="L50" s="5">
        <v>31</v>
      </c>
      <c r="M50" s="5">
        <v>0</v>
      </c>
      <c r="N50" s="5" t="s">
        <v>3</v>
      </c>
      <c r="O50" s="5">
        <v>2</v>
      </c>
      <c r="P50" s="5">
        <v>188659.19</v>
      </c>
    </row>
    <row r="51" spans="1:16" ht="12.75">
      <c r="A51" s="5">
        <v>50</v>
      </c>
      <c r="B51" s="5">
        <v>1</v>
      </c>
      <c r="C51" s="5">
        <v>0</v>
      </c>
      <c r="D51" s="5">
        <v>2</v>
      </c>
      <c r="E51" s="5">
        <v>213</v>
      </c>
      <c r="F51" s="5">
        <v>633976.63</v>
      </c>
      <c r="G51" s="5" t="s">
        <v>167</v>
      </c>
      <c r="H51" s="5" t="s">
        <v>168</v>
      </c>
      <c r="I51" s="5"/>
      <c r="J51" s="5"/>
      <c r="K51" s="5">
        <v>212</v>
      </c>
      <c r="L51" s="5">
        <v>32</v>
      </c>
      <c r="M51" s="5">
        <v>0</v>
      </c>
      <c r="N51" s="5" t="s">
        <v>3</v>
      </c>
      <c r="O51" s="5">
        <v>2</v>
      </c>
      <c r="P51" s="5">
        <v>1131955.15</v>
      </c>
    </row>
    <row r="53" ht="12.75">
      <c r="A53">
        <v>-1</v>
      </c>
    </row>
    <row r="56" spans="1:15" ht="12.75">
      <c r="A56" s="4">
        <v>75</v>
      </c>
      <c r="B56" s="4" t="s">
        <v>227</v>
      </c>
      <c r="C56" s="4">
        <v>2000</v>
      </c>
      <c r="D56" s="4">
        <v>0</v>
      </c>
      <c r="E56" s="4">
        <v>1</v>
      </c>
      <c r="F56" s="4"/>
      <c r="G56" s="4">
        <v>0</v>
      </c>
      <c r="H56" s="4">
        <v>1</v>
      </c>
      <c r="I56" s="4">
        <v>0</v>
      </c>
      <c r="J56" s="4">
        <v>1</v>
      </c>
      <c r="K56" s="4">
        <v>0</v>
      </c>
      <c r="L56" s="4">
        <v>0</v>
      </c>
      <c r="M56" s="4">
        <v>0</v>
      </c>
      <c r="N56" s="4">
        <v>55115741</v>
      </c>
      <c r="O56" s="4">
        <v>1</v>
      </c>
    </row>
    <row r="57" spans="1:15" ht="12.75">
      <c r="A57" s="4">
        <v>75</v>
      </c>
      <c r="B57" s="4" t="s">
        <v>228</v>
      </c>
      <c r="C57" s="4">
        <v>2022</v>
      </c>
      <c r="D57" s="4">
        <v>0</v>
      </c>
      <c r="E57" s="4">
        <v>6</v>
      </c>
      <c r="F57" s="4"/>
      <c r="G57" s="4">
        <v>0</v>
      </c>
      <c r="H57" s="4">
        <v>1</v>
      </c>
      <c r="I57" s="4">
        <v>0</v>
      </c>
      <c r="J57" s="4">
        <v>1</v>
      </c>
      <c r="K57" s="4">
        <v>0</v>
      </c>
      <c r="L57" s="4">
        <v>0</v>
      </c>
      <c r="M57" s="4">
        <v>1</v>
      </c>
      <c r="N57" s="4">
        <v>55115742</v>
      </c>
      <c r="O57" s="4">
        <v>2</v>
      </c>
    </row>
    <row r="58" spans="1:40" ht="12.75">
      <c r="A58" s="7">
        <v>1</v>
      </c>
      <c r="B58" s="7" t="s">
        <v>229</v>
      </c>
      <c r="C58" s="7" t="s">
        <v>230</v>
      </c>
      <c r="D58" s="7">
        <v>2022</v>
      </c>
      <c r="E58" s="7">
        <v>6</v>
      </c>
      <c r="F58" s="7">
        <v>1</v>
      </c>
      <c r="G58" s="7">
        <v>1</v>
      </c>
      <c r="H58" s="7">
        <v>0</v>
      </c>
      <c r="I58" s="7">
        <v>2</v>
      </c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1</v>
      </c>
      <c r="P58" s="7">
        <v>1</v>
      </c>
      <c r="Q58" s="7">
        <v>1</v>
      </c>
      <c r="R58" s="7" t="s">
        <v>3</v>
      </c>
      <c r="S58" s="7" t="s">
        <v>3</v>
      </c>
      <c r="T58" s="7" t="s">
        <v>3</v>
      </c>
      <c r="U58" s="7" t="s">
        <v>3</v>
      </c>
      <c r="V58" s="7" t="s">
        <v>3</v>
      </c>
      <c r="W58" s="7" t="s">
        <v>3</v>
      </c>
      <c r="X58" s="7" t="s">
        <v>3</v>
      </c>
      <c r="Y58" s="7" t="s">
        <v>3</v>
      </c>
      <c r="Z58" s="7" t="s">
        <v>3</v>
      </c>
      <c r="AA58" s="7" t="s">
        <v>3</v>
      </c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>
        <v>55115743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C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55115741</v>
      </c>
      <c r="C1">
        <v>55116549</v>
      </c>
      <c r="D1">
        <v>53630071</v>
      </c>
      <c r="E1">
        <v>70</v>
      </c>
      <c r="F1">
        <v>1</v>
      </c>
      <c r="G1">
        <v>1</v>
      </c>
      <c r="H1">
        <v>1</v>
      </c>
      <c r="I1" t="s">
        <v>232</v>
      </c>
      <c r="K1" t="s">
        <v>233</v>
      </c>
      <c r="L1">
        <v>1191</v>
      </c>
      <c r="N1">
        <v>1013</v>
      </c>
      <c r="O1" t="s">
        <v>234</v>
      </c>
      <c r="P1" t="s">
        <v>234</v>
      </c>
      <c r="Q1">
        <v>1</v>
      </c>
      <c r="W1">
        <v>0</v>
      </c>
      <c r="X1">
        <v>784619160</v>
      </c>
      <c r="Y1">
        <v>175</v>
      </c>
      <c r="AA1">
        <v>0</v>
      </c>
      <c r="AB1">
        <v>0</v>
      </c>
      <c r="AC1">
        <v>0</v>
      </c>
      <c r="AD1">
        <v>8.74</v>
      </c>
      <c r="AE1">
        <v>0</v>
      </c>
      <c r="AF1">
        <v>0</v>
      </c>
      <c r="AG1">
        <v>0</v>
      </c>
      <c r="AH1">
        <v>8.74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175</v>
      </c>
      <c r="AV1">
        <v>1</v>
      </c>
      <c r="AW1">
        <v>2</v>
      </c>
      <c r="AX1">
        <v>55116550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168.7875</v>
      </c>
      <c r="CY1">
        <f>AD1</f>
        <v>8.74</v>
      </c>
      <c r="CZ1">
        <f>AH1</f>
        <v>8.74</v>
      </c>
      <c r="DA1">
        <f>AL1</f>
        <v>1</v>
      </c>
      <c r="DB1">
        <f aca="true" t="shared" si="0" ref="DB1:DB20">ROUND(ROUND(AT1*CZ1,2),6)</f>
        <v>1529.5</v>
      </c>
      <c r="DC1">
        <f aca="true" t="shared" si="1" ref="DC1:DC20">ROUND(ROUND(AT1*AG1,2),6)</f>
        <v>0</v>
      </c>
    </row>
    <row r="2" spans="1:107" ht="12.75">
      <c r="A2">
        <f>ROW(Source!A28)</f>
        <v>28</v>
      </c>
      <c r="B2">
        <v>55115741</v>
      </c>
      <c r="C2">
        <v>55116549</v>
      </c>
      <c r="D2">
        <v>53630257</v>
      </c>
      <c r="E2">
        <v>70</v>
      </c>
      <c r="F2">
        <v>1</v>
      </c>
      <c r="G2">
        <v>1</v>
      </c>
      <c r="H2">
        <v>1</v>
      </c>
      <c r="I2" t="s">
        <v>235</v>
      </c>
      <c r="K2" t="s">
        <v>236</v>
      </c>
      <c r="L2">
        <v>1191</v>
      </c>
      <c r="N2">
        <v>1013</v>
      </c>
      <c r="O2" t="s">
        <v>234</v>
      </c>
      <c r="P2" t="s">
        <v>234</v>
      </c>
      <c r="Q2">
        <v>1</v>
      </c>
      <c r="W2">
        <v>0</v>
      </c>
      <c r="X2">
        <v>-1417349443</v>
      </c>
      <c r="Y2">
        <v>0.5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0.5</v>
      </c>
      <c r="AV2">
        <v>2</v>
      </c>
      <c r="AW2">
        <v>2</v>
      </c>
      <c r="AX2">
        <v>55116551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0.48225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</row>
    <row r="3" spans="1:107" ht="12.75">
      <c r="A3">
        <f>ROW(Source!A28)</f>
        <v>28</v>
      </c>
      <c r="B3">
        <v>55115741</v>
      </c>
      <c r="C3">
        <v>55116549</v>
      </c>
      <c r="D3">
        <v>53792180</v>
      </c>
      <c r="E3">
        <v>1</v>
      </c>
      <c r="F3">
        <v>1</v>
      </c>
      <c r="G3">
        <v>1</v>
      </c>
      <c r="H3">
        <v>2</v>
      </c>
      <c r="I3" t="s">
        <v>53</v>
      </c>
      <c r="J3" t="s">
        <v>56</v>
      </c>
      <c r="K3" t="s">
        <v>54</v>
      </c>
      <c r="L3">
        <v>1367</v>
      </c>
      <c r="N3">
        <v>1011</v>
      </c>
      <c r="O3" t="s">
        <v>55</v>
      </c>
      <c r="P3" t="s">
        <v>55</v>
      </c>
      <c r="Q3">
        <v>1</v>
      </c>
      <c r="W3">
        <v>0</v>
      </c>
      <c r="X3">
        <v>-877734606</v>
      </c>
      <c r="Y3">
        <v>87.091757</v>
      </c>
      <c r="AA3">
        <v>0</v>
      </c>
      <c r="AB3">
        <v>243.49</v>
      </c>
      <c r="AC3">
        <v>13.5</v>
      </c>
      <c r="AD3">
        <v>0</v>
      </c>
      <c r="AE3">
        <v>0</v>
      </c>
      <c r="AF3">
        <v>243.49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0</v>
      </c>
      <c r="AP3">
        <v>0</v>
      </c>
      <c r="AQ3">
        <v>0</v>
      </c>
      <c r="AR3">
        <v>0</v>
      </c>
      <c r="AT3">
        <v>87.091757</v>
      </c>
      <c r="AV3">
        <v>0</v>
      </c>
      <c r="AW3">
        <v>1</v>
      </c>
      <c r="AX3">
        <v>-1</v>
      </c>
      <c r="AY3">
        <v>0</v>
      </c>
      <c r="AZ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83.9999996265</v>
      </c>
      <c r="CY3">
        <f>AB3</f>
        <v>243.49</v>
      </c>
      <c r="CZ3">
        <f>AF3</f>
        <v>243.49</v>
      </c>
      <c r="DA3">
        <f>AJ3</f>
        <v>1</v>
      </c>
      <c r="DB3">
        <f t="shared" si="0"/>
        <v>21205.97</v>
      </c>
      <c r="DC3">
        <f t="shared" si="1"/>
        <v>1175.74</v>
      </c>
    </row>
    <row r="4" spans="1:107" ht="12.75">
      <c r="A4">
        <f>ROW(Source!A28)</f>
        <v>28</v>
      </c>
      <c r="B4">
        <v>55115741</v>
      </c>
      <c r="C4">
        <v>55116549</v>
      </c>
      <c r="D4">
        <v>53792191</v>
      </c>
      <c r="E4">
        <v>1</v>
      </c>
      <c r="F4">
        <v>1</v>
      </c>
      <c r="G4">
        <v>1</v>
      </c>
      <c r="H4">
        <v>2</v>
      </c>
      <c r="I4" t="s">
        <v>63</v>
      </c>
      <c r="J4" t="s">
        <v>65</v>
      </c>
      <c r="K4" t="s">
        <v>64</v>
      </c>
      <c r="L4">
        <v>1367</v>
      </c>
      <c r="N4">
        <v>1011</v>
      </c>
      <c r="O4" t="s">
        <v>55</v>
      </c>
      <c r="P4" t="s">
        <v>55</v>
      </c>
      <c r="Q4">
        <v>1</v>
      </c>
      <c r="W4">
        <v>1</v>
      </c>
      <c r="X4">
        <v>1232162608</v>
      </c>
      <c r="Y4">
        <v>-0.25</v>
      </c>
      <c r="AA4">
        <v>0</v>
      </c>
      <c r="AB4">
        <v>31.26</v>
      </c>
      <c r="AC4">
        <v>13.5</v>
      </c>
      <c r="AD4">
        <v>0</v>
      </c>
      <c r="AE4">
        <v>0</v>
      </c>
      <c r="AF4">
        <v>31.26</v>
      </c>
      <c r="AG4">
        <v>13.5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-0.25</v>
      </c>
      <c r="AV4">
        <v>0</v>
      </c>
      <c r="AW4">
        <v>2</v>
      </c>
      <c r="AX4">
        <v>55116552</v>
      </c>
      <c r="AY4">
        <v>1</v>
      </c>
      <c r="AZ4">
        <v>6144</v>
      </c>
      <c r="BA4">
        <v>3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-0.241125</v>
      </c>
      <c r="CY4">
        <f>AB4</f>
        <v>31.26</v>
      </c>
      <c r="CZ4">
        <f>AF4</f>
        <v>31.26</v>
      </c>
      <c r="DA4">
        <f>AJ4</f>
        <v>1</v>
      </c>
      <c r="DB4">
        <f t="shared" si="0"/>
        <v>-7.82</v>
      </c>
      <c r="DC4">
        <f t="shared" si="1"/>
        <v>-3.38</v>
      </c>
    </row>
    <row r="5" spans="1:107" ht="12.75">
      <c r="A5">
        <f>ROW(Source!A28)</f>
        <v>28</v>
      </c>
      <c r="B5">
        <v>55115741</v>
      </c>
      <c r="C5">
        <v>55116549</v>
      </c>
      <c r="D5">
        <v>53792927</v>
      </c>
      <c r="E5">
        <v>1</v>
      </c>
      <c r="F5">
        <v>1</v>
      </c>
      <c r="G5">
        <v>1</v>
      </c>
      <c r="H5">
        <v>2</v>
      </c>
      <c r="I5" t="s">
        <v>237</v>
      </c>
      <c r="J5" t="s">
        <v>238</v>
      </c>
      <c r="K5" t="s">
        <v>239</v>
      </c>
      <c r="L5">
        <v>1367</v>
      </c>
      <c r="N5">
        <v>1011</v>
      </c>
      <c r="O5" t="s">
        <v>55</v>
      </c>
      <c r="P5" t="s">
        <v>55</v>
      </c>
      <c r="Q5">
        <v>1</v>
      </c>
      <c r="W5">
        <v>0</v>
      </c>
      <c r="X5">
        <v>509054691</v>
      </c>
      <c r="Y5">
        <v>0.25</v>
      </c>
      <c r="AA5">
        <v>0</v>
      </c>
      <c r="AB5">
        <v>65.71</v>
      </c>
      <c r="AC5">
        <v>11.6</v>
      </c>
      <c r="AD5">
        <v>0</v>
      </c>
      <c r="AE5">
        <v>0</v>
      </c>
      <c r="AF5">
        <v>65.71</v>
      </c>
      <c r="AG5">
        <v>11.6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0.25</v>
      </c>
      <c r="AV5">
        <v>0</v>
      </c>
      <c r="AW5">
        <v>2</v>
      </c>
      <c r="AX5">
        <v>55116553</v>
      </c>
      <c r="AY5">
        <v>1</v>
      </c>
      <c r="AZ5">
        <v>0</v>
      </c>
      <c r="BA5">
        <v>4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0.241125</v>
      </c>
      <c r="CY5">
        <f>AB5</f>
        <v>65.71</v>
      </c>
      <c r="CZ5">
        <f>AF5</f>
        <v>65.71</v>
      </c>
      <c r="DA5">
        <f>AJ5</f>
        <v>1</v>
      </c>
      <c r="DB5">
        <f t="shared" si="0"/>
        <v>16.43</v>
      </c>
      <c r="DC5">
        <f t="shared" si="1"/>
        <v>2.9</v>
      </c>
    </row>
    <row r="6" spans="1:107" ht="12.75">
      <c r="A6">
        <f>ROW(Source!A28)</f>
        <v>28</v>
      </c>
      <c r="B6">
        <v>55115741</v>
      </c>
      <c r="C6">
        <v>55116549</v>
      </c>
      <c r="D6">
        <v>53644920</v>
      </c>
      <c r="E6">
        <v>1</v>
      </c>
      <c r="F6">
        <v>1</v>
      </c>
      <c r="G6">
        <v>1</v>
      </c>
      <c r="H6">
        <v>3</v>
      </c>
      <c r="I6" t="s">
        <v>240</v>
      </c>
      <c r="J6" t="s">
        <v>241</v>
      </c>
      <c r="K6" t="s">
        <v>242</v>
      </c>
      <c r="L6">
        <v>1348</v>
      </c>
      <c r="N6">
        <v>1009</v>
      </c>
      <c r="O6" t="s">
        <v>51</v>
      </c>
      <c r="P6" t="s">
        <v>51</v>
      </c>
      <c r="Q6">
        <v>1000</v>
      </c>
      <c r="W6">
        <v>0</v>
      </c>
      <c r="X6">
        <v>-2115405243</v>
      </c>
      <c r="Y6">
        <v>0.0004</v>
      </c>
      <c r="AA6">
        <v>9713.4</v>
      </c>
      <c r="AB6">
        <v>0</v>
      </c>
      <c r="AC6">
        <v>0</v>
      </c>
      <c r="AD6">
        <v>0</v>
      </c>
      <c r="AE6">
        <v>9713.4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0.0004</v>
      </c>
      <c r="AV6">
        <v>0</v>
      </c>
      <c r="AW6">
        <v>2</v>
      </c>
      <c r="AX6">
        <v>55116555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0.00038580000000000005</v>
      </c>
      <c r="CY6">
        <f>AA6</f>
        <v>9713.4</v>
      </c>
      <c r="CZ6">
        <f>AE6</f>
        <v>9713.4</v>
      </c>
      <c r="DA6">
        <f>AI6</f>
        <v>1</v>
      </c>
      <c r="DB6">
        <f t="shared" si="0"/>
        <v>3.89</v>
      </c>
      <c r="DC6">
        <f t="shared" si="1"/>
        <v>0</v>
      </c>
    </row>
    <row r="7" spans="1:107" ht="12.75">
      <c r="A7">
        <f>ROW(Source!A28)</f>
        <v>28</v>
      </c>
      <c r="B7">
        <v>55115741</v>
      </c>
      <c r="C7">
        <v>55116549</v>
      </c>
      <c r="D7">
        <v>53646032</v>
      </c>
      <c r="E7">
        <v>1</v>
      </c>
      <c r="F7">
        <v>1</v>
      </c>
      <c r="G7">
        <v>1</v>
      </c>
      <c r="H7">
        <v>3</v>
      </c>
      <c r="I7" t="s">
        <v>243</v>
      </c>
      <c r="J7" t="s">
        <v>244</v>
      </c>
      <c r="K7" t="s">
        <v>245</v>
      </c>
      <c r="L7">
        <v>1346</v>
      </c>
      <c r="N7">
        <v>1009</v>
      </c>
      <c r="O7" t="s">
        <v>246</v>
      </c>
      <c r="P7" t="s">
        <v>246</v>
      </c>
      <c r="Q7">
        <v>1</v>
      </c>
      <c r="W7">
        <v>0</v>
      </c>
      <c r="X7">
        <v>1052716416</v>
      </c>
      <c r="Y7">
        <v>0.2</v>
      </c>
      <c r="AA7">
        <v>1.82</v>
      </c>
      <c r="AB7">
        <v>0</v>
      </c>
      <c r="AC7">
        <v>0</v>
      </c>
      <c r="AD7">
        <v>0</v>
      </c>
      <c r="AE7">
        <v>1.82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0.2</v>
      </c>
      <c r="AV7">
        <v>0</v>
      </c>
      <c r="AW7">
        <v>2</v>
      </c>
      <c r="AX7">
        <v>55116556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0.19290000000000002</v>
      </c>
      <c r="CY7">
        <f>AA7</f>
        <v>1.82</v>
      </c>
      <c r="CZ7">
        <f>AE7</f>
        <v>1.82</v>
      </c>
      <c r="DA7">
        <f>AI7</f>
        <v>1</v>
      </c>
      <c r="DB7">
        <f t="shared" si="0"/>
        <v>0.36</v>
      </c>
      <c r="DC7">
        <f t="shared" si="1"/>
        <v>0</v>
      </c>
    </row>
    <row r="8" spans="1:107" ht="12.75">
      <c r="A8">
        <f>ROW(Source!A28)</f>
        <v>28</v>
      </c>
      <c r="B8">
        <v>55115741</v>
      </c>
      <c r="C8">
        <v>55116549</v>
      </c>
      <c r="D8">
        <v>53674525</v>
      </c>
      <c r="E8">
        <v>1</v>
      </c>
      <c r="F8">
        <v>1</v>
      </c>
      <c r="G8">
        <v>1</v>
      </c>
      <c r="H8">
        <v>3</v>
      </c>
      <c r="I8" t="s">
        <v>247</v>
      </c>
      <c r="J8" t="s">
        <v>248</v>
      </c>
      <c r="K8" t="s">
        <v>249</v>
      </c>
      <c r="L8">
        <v>1346</v>
      </c>
      <c r="N8">
        <v>1009</v>
      </c>
      <c r="O8" t="s">
        <v>246</v>
      </c>
      <c r="P8" t="s">
        <v>246</v>
      </c>
      <c r="Q8">
        <v>1</v>
      </c>
      <c r="W8">
        <v>0</v>
      </c>
      <c r="X8">
        <v>991942845</v>
      </c>
      <c r="Y8">
        <v>56</v>
      </c>
      <c r="AA8">
        <v>19.61</v>
      </c>
      <c r="AB8">
        <v>0</v>
      </c>
      <c r="AC8">
        <v>0</v>
      </c>
      <c r="AD8">
        <v>0</v>
      </c>
      <c r="AE8">
        <v>19.61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T8">
        <v>56</v>
      </c>
      <c r="AV8">
        <v>0</v>
      </c>
      <c r="AW8">
        <v>2</v>
      </c>
      <c r="AX8">
        <v>55116559</v>
      </c>
      <c r="AY8">
        <v>1</v>
      </c>
      <c r="AZ8">
        <v>0</v>
      </c>
      <c r="BA8">
        <v>10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54.012</v>
      </c>
      <c r="CY8">
        <f>AA8</f>
        <v>19.61</v>
      </c>
      <c r="CZ8">
        <f>AE8</f>
        <v>19.61</v>
      </c>
      <c r="DA8">
        <f>AI8</f>
        <v>1</v>
      </c>
      <c r="DB8">
        <f t="shared" si="0"/>
        <v>1098.16</v>
      </c>
      <c r="DC8">
        <f t="shared" si="1"/>
        <v>0</v>
      </c>
    </row>
    <row r="9" spans="1:107" ht="12.75">
      <c r="A9">
        <f>ROW(Source!A28)</f>
        <v>28</v>
      </c>
      <c r="B9">
        <v>55115741</v>
      </c>
      <c r="C9">
        <v>55116549</v>
      </c>
      <c r="D9">
        <v>53634988</v>
      </c>
      <c r="E9">
        <v>70</v>
      </c>
      <c r="F9">
        <v>1</v>
      </c>
      <c r="G9">
        <v>1</v>
      </c>
      <c r="H9">
        <v>3</v>
      </c>
      <c r="I9" t="s">
        <v>49</v>
      </c>
      <c r="K9" t="s">
        <v>50</v>
      </c>
      <c r="L9">
        <v>1348</v>
      </c>
      <c r="N9">
        <v>1009</v>
      </c>
      <c r="O9" t="s">
        <v>51</v>
      </c>
      <c r="P9" t="s">
        <v>51</v>
      </c>
      <c r="Q9">
        <v>1000</v>
      </c>
      <c r="W9">
        <v>0</v>
      </c>
      <c r="X9">
        <v>2102561428</v>
      </c>
      <c r="Y9">
        <v>1.2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0</v>
      </c>
      <c r="AQ9">
        <v>0</v>
      </c>
      <c r="AR9">
        <v>0</v>
      </c>
      <c r="AT9">
        <v>1.2</v>
      </c>
      <c r="AV9">
        <v>0</v>
      </c>
      <c r="AW9">
        <v>2</v>
      </c>
      <c r="AX9">
        <v>55116560</v>
      </c>
      <c r="AY9">
        <v>1</v>
      </c>
      <c r="AZ9">
        <v>0</v>
      </c>
      <c r="BA9">
        <v>11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1.1574</v>
      </c>
      <c r="CY9">
        <f>AA9</f>
        <v>0</v>
      </c>
      <c r="CZ9">
        <f>AE9</f>
        <v>0</v>
      </c>
      <c r="DA9">
        <f>AI9</f>
        <v>1</v>
      </c>
      <c r="DB9">
        <f t="shared" si="0"/>
        <v>0</v>
      </c>
      <c r="DC9">
        <f t="shared" si="1"/>
        <v>0</v>
      </c>
    </row>
    <row r="10" spans="1:107" ht="12.75">
      <c r="A10">
        <f>ROW(Source!A28)</f>
        <v>28</v>
      </c>
      <c r="B10">
        <v>55115741</v>
      </c>
      <c r="C10">
        <v>55116549</v>
      </c>
      <c r="D10">
        <v>0</v>
      </c>
      <c r="E10">
        <v>1</v>
      </c>
      <c r="F10">
        <v>1</v>
      </c>
      <c r="G10">
        <v>1</v>
      </c>
      <c r="H10">
        <v>3</v>
      </c>
      <c r="I10" t="s">
        <v>39</v>
      </c>
      <c r="K10" t="s">
        <v>40</v>
      </c>
      <c r="L10">
        <v>3417</v>
      </c>
      <c r="N10">
        <v>1013</v>
      </c>
      <c r="O10" t="s">
        <v>41</v>
      </c>
      <c r="P10" t="s">
        <v>41</v>
      </c>
      <c r="Q10">
        <v>1</v>
      </c>
      <c r="W10">
        <v>0</v>
      </c>
      <c r="X10">
        <v>280787102</v>
      </c>
      <c r="Y10">
        <v>100</v>
      </c>
      <c r="AA10">
        <v>5002.5</v>
      </c>
      <c r="AB10">
        <v>0</v>
      </c>
      <c r="AC10">
        <v>0</v>
      </c>
      <c r="AD10">
        <v>0</v>
      </c>
      <c r="AE10">
        <v>5002.5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100</v>
      </c>
      <c r="AV10">
        <v>0</v>
      </c>
      <c r="AW10">
        <v>1</v>
      </c>
      <c r="AX10">
        <v>-1</v>
      </c>
      <c r="AY10">
        <v>0</v>
      </c>
      <c r="AZ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96.45</v>
      </c>
      <c r="CY10">
        <f>AA10</f>
        <v>5002.5</v>
      </c>
      <c r="CZ10">
        <f>AE10</f>
        <v>5002.5</v>
      </c>
      <c r="DA10">
        <f>AI10</f>
        <v>1</v>
      </c>
      <c r="DB10">
        <f t="shared" si="0"/>
        <v>500250</v>
      </c>
      <c r="DC10">
        <f t="shared" si="1"/>
        <v>0</v>
      </c>
    </row>
    <row r="11" spans="1:107" ht="12.75">
      <c r="A11">
        <f>ROW(Source!A29)</f>
        <v>29</v>
      </c>
      <c r="B11">
        <v>55115742</v>
      </c>
      <c r="C11">
        <v>55116549</v>
      </c>
      <c r="D11">
        <v>53630071</v>
      </c>
      <c r="E11">
        <v>70</v>
      </c>
      <c r="F11">
        <v>1</v>
      </c>
      <c r="G11">
        <v>1</v>
      </c>
      <c r="H11">
        <v>1</v>
      </c>
      <c r="I11" t="s">
        <v>232</v>
      </c>
      <c r="K11" t="s">
        <v>233</v>
      </c>
      <c r="L11">
        <v>1191</v>
      </c>
      <c r="N11">
        <v>1013</v>
      </c>
      <c r="O11" t="s">
        <v>234</v>
      </c>
      <c r="P11" t="s">
        <v>234</v>
      </c>
      <c r="Q11">
        <v>1</v>
      </c>
      <c r="W11">
        <v>0</v>
      </c>
      <c r="X11">
        <v>784619160</v>
      </c>
      <c r="Y11">
        <v>175</v>
      </c>
      <c r="AA11">
        <v>0</v>
      </c>
      <c r="AB11">
        <v>0</v>
      </c>
      <c r="AC11">
        <v>0</v>
      </c>
      <c r="AD11">
        <v>8.74</v>
      </c>
      <c r="AE11">
        <v>0</v>
      </c>
      <c r="AF11">
        <v>0</v>
      </c>
      <c r="AG11">
        <v>0</v>
      </c>
      <c r="AH11">
        <v>8.74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175</v>
      </c>
      <c r="AV11">
        <v>1</v>
      </c>
      <c r="AW11">
        <v>2</v>
      </c>
      <c r="AX11">
        <v>55116550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168.7875</v>
      </c>
      <c r="CY11">
        <f>AD11</f>
        <v>8.74</v>
      </c>
      <c r="CZ11">
        <f>AH11</f>
        <v>8.74</v>
      </c>
      <c r="DA11">
        <f>AL11</f>
        <v>1</v>
      </c>
      <c r="DB11">
        <f t="shared" si="0"/>
        <v>1529.5</v>
      </c>
      <c r="DC11">
        <f t="shared" si="1"/>
        <v>0</v>
      </c>
    </row>
    <row r="12" spans="1:107" ht="12.75">
      <c r="A12">
        <f>ROW(Source!A29)</f>
        <v>29</v>
      </c>
      <c r="B12">
        <v>55115742</v>
      </c>
      <c r="C12">
        <v>55116549</v>
      </c>
      <c r="D12">
        <v>53630257</v>
      </c>
      <c r="E12">
        <v>70</v>
      </c>
      <c r="F12">
        <v>1</v>
      </c>
      <c r="G12">
        <v>1</v>
      </c>
      <c r="H12">
        <v>1</v>
      </c>
      <c r="I12" t="s">
        <v>235</v>
      </c>
      <c r="K12" t="s">
        <v>236</v>
      </c>
      <c r="L12">
        <v>1191</v>
      </c>
      <c r="N12">
        <v>1013</v>
      </c>
      <c r="O12" t="s">
        <v>234</v>
      </c>
      <c r="P12" t="s">
        <v>234</v>
      </c>
      <c r="Q12">
        <v>1</v>
      </c>
      <c r="W12">
        <v>0</v>
      </c>
      <c r="X12">
        <v>-1417349443</v>
      </c>
      <c r="Y12">
        <v>0.5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0.5</v>
      </c>
      <c r="AV12">
        <v>2</v>
      </c>
      <c r="AW12">
        <v>2</v>
      </c>
      <c r="AX12">
        <v>55116551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0.48225</v>
      </c>
      <c r="CY12">
        <f>AD12</f>
        <v>0</v>
      </c>
      <c r="CZ12">
        <f>AH12</f>
        <v>0</v>
      </c>
      <c r="DA12">
        <f>AL12</f>
        <v>1</v>
      </c>
      <c r="DB12">
        <f t="shared" si="0"/>
        <v>0</v>
      </c>
      <c r="DC12">
        <f t="shared" si="1"/>
        <v>0</v>
      </c>
    </row>
    <row r="13" spans="1:107" ht="12.75">
      <c r="A13">
        <f>ROW(Source!A29)</f>
        <v>29</v>
      </c>
      <c r="B13">
        <v>55115742</v>
      </c>
      <c r="C13">
        <v>55116549</v>
      </c>
      <c r="D13">
        <v>53792180</v>
      </c>
      <c r="E13">
        <v>1</v>
      </c>
      <c r="F13">
        <v>1</v>
      </c>
      <c r="G13">
        <v>1</v>
      </c>
      <c r="H13">
        <v>2</v>
      </c>
      <c r="I13" t="s">
        <v>53</v>
      </c>
      <c r="J13" t="s">
        <v>56</v>
      </c>
      <c r="K13" t="s">
        <v>54</v>
      </c>
      <c r="L13">
        <v>1367</v>
      </c>
      <c r="N13">
        <v>1011</v>
      </c>
      <c r="O13" t="s">
        <v>55</v>
      </c>
      <c r="P13" t="s">
        <v>55</v>
      </c>
      <c r="Q13">
        <v>1</v>
      </c>
      <c r="W13">
        <v>0</v>
      </c>
      <c r="X13">
        <v>-877734606</v>
      </c>
      <c r="Y13">
        <v>87.091757</v>
      </c>
      <c r="AA13">
        <v>0</v>
      </c>
      <c r="AB13">
        <v>1930.88</v>
      </c>
      <c r="AC13">
        <v>517.86</v>
      </c>
      <c r="AD13">
        <v>0</v>
      </c>
      <c r="AE13">
        <v>0</v>
      </c>
      <c r="AF13">
        <v>243.49</v>
      </c>
      <c r="AG13">
        <v>13.5</v>
      </c>
      <c r="AH13">
        <v>0</v>
      </c>
      <c r="AI13">
        <v>1</v>
      </c>
      <c r="AJ13">
        <v>7.93</v>
      </c>
      <c r="AK13">
        <v>38.36</v>
      </c>
      <c r="AL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T13">
        <v>87.091757</v>
      </c>
      <c r="AV13">
        <v>0</v>
      </c>
      <c r="AW13">
        <v>1</v>
      </c>
      <c r="AX13">
        <v>-1</v>
      </c>
      <c r="AY13">
        <v>0</v>
      </c>
      <c r="AZ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83.9999996265</v>
      </c>
      <c r="CY13">
        <f>AB13</f>
        <v>1930.88</v>
      </c>
      <c r="CZ13">
        <f>AF13</f>
        <v>243.49</v>
      </c>
      <c r="DA13">
        <f>AJ13</f>
        <v>7.93</v>
      </c>
      <c r="DB13">
        <f t="shared" si="0"/>
        <v>21205.97</v>
      </c>
      <c r="DC13">
        <f t="shared" si="1"/>
        <v>1175.74</v>
      </c>
    </row>
    <row r="14" spans="1:107" ht="12.75">
      <c r="A14">
        <f>ROW(Source!A29)</f>
        <v>29</v>
      </c>
      <c r="B14">
        <v>55115742</v>
      </c>
      <c r="C14">
        <v>55116549</v>
      </c>
      <c r="D14">
        <v>53792191</v>
      </c>
      <c r="E14">
        <v>1</v>
      </c>
      <c r="F14">
        <v>1</v>
      </c>
      <c r="G14">
        <v>1</v>
      </c>
      <c r="H14">
        <v>2</v>
      </c>
      <c r="I14" t="s">
        <v>63</v>
      </c>
      <c r="J14" t="s">
        <v>65</v>
      </c>
      <c r="K14" t="s">
        <v>64</v>
      </c>
      <c r="L14">
        <v>1367</v>
      </c>
      <c r="N14">
        <v>1011</v>
      </c>
      <c r="O14" t="s">
        <v>55</v>
      </c>
      <c r="P14" t="s">
        <v>55</v>
      </c>
      <c r="Q14">
        <v>1</v>
      </c>
      <c r="W14">
        <v>1</v>
      </c>
      <c r="X14">
        <v>1232162608</v>
      </c>
      <c r="Y14">
        <v>-0.25</v>
      </c>
      <c r="AA14">
        <v>0</v>
      </c>
      <c r="AB14">
        <v>578.94</v>
      </c>
      <c r="AC14">
        <v>517.86</v>
      </c>
      <c r="AD14">
        <v>0</v>
      </c>
      <c r="AE14">
        <v>0</v>
      </c>
      <c r="AF14">
        <v>31.26</v>
      </c>
      <c r="AG14">
        <v>13.5</v>
      </c>
      <c r="AH14">
        <v>0</v>
      </c>
      <c r="AI14">
        <v>1</v>
      </c>
      <c r="AJ14">
        <v>18.52</v>
      </c>
      <c r="AK14">
        <v>38.36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-0.25</v>
      </c>
      <c r="AV14">
        <v>0</v>
      </c>
      <c r="AW14">
        <v>2</v>
      </c>
      <c r="AX14">
        <v>55116552</v>
      </c>
      <c r="AY14">
        <v>1</v>
      </c>
      <c r="AZ14">
        <v>6144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-0.241125</v>
      </c>
      <c r="CY14">
        <f>AB14</f>
        <v>578.94</v>
      </c>
      <c r="CZ14">
        <f>AF14</f>
        <v>31.26</v>
      </c>
      <c r="DA14">
        <f>AJ14</f>
        <v>18.52</v>
      </c>
      <c r="DB14">
        <f t="shared" si="0"/>
        <v>-7.82</v>
      </c>
      <c r="DC14">
        <f t="shared" si="1"/>
        <v>-3.38</v>
      </c>
    </row>
    <row r="15" spans="1:107" ht="12.75">
      <c r="A15">
        <f>ROW(Source!A29)</f>
        <v>29</v>
      </c>
      <c r="B15">
        <v>55115742</v>
      </c>
      <c r="C15">
        <v>55116549</v>
      </c>
      <c r="D15">
        <v>53792927</v>
      </c>
      <c r="E15">
        <v>1</v>
      </c>
      <c r="F15">
        <v>1</v>
      </c>
      <c r="G15">
        <v>1</v>
      </c>
      <c r="H15">
        <v>2</v>
      </c>
      <c r="I15" t="s">
        <v>237</v>
      </c>
      <c r="J15" t="s">
        <v>238</v>
      </c>
      <c r="K15" t="s">
        <v>239</v>
      </c>
      <c r="L15">
        <v>1367</v>
      </c>
      <c r="N15">
        <v>1011</v>
      </c>
      <c r="O15" t="s">
        <v>55</v>
      </c>
      <c r="P15" t="s">
        <v>55</v>
      </c>
      <c r="Q15">
        <v>1</v>
      </c>
      <c r="W15">
        <v>0</v>
      </c>
      <c r="X15">
        <v>509054691</v>
      </c>
      <c r="Y15">
        <v>0.25</v>
      </c>
      <c r="AA15">
        <v>0</v>
      </c>
      <c r="AB15">
        <v>833.2</v>
      </c>
      <c r="AC15">
        <v>444.98</v>
      </c>
      <c r="AD15">
        <v>0</v>
      </c>
      <c r="AE15">
        <v>0</v>
      </c>
      <c r="AF15">
        <v>65.71</v>
      </c>
      <c r="AG15">
        <v>11.6</v>
      </c>
      <c r="AH15">
        <v>0</v>
      </c>
      <c r="AI15">
        <v>1</v>
      </c>
      <c r="AJ15">
        <v>12.68</v>
      </c>
      <c r="AK15">
        <v>38.36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0.25</v>
      </c>
      <c r="AV15">
        <v>0</v>
      </c>
      <c r="AW15">
        <v>2</v>
      </c>
      <c r="AX15">
        <v>55116553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0.241125</v>
      </c>
      <c r="CY15">
        <f>AB15</f>
        <v>833.2</v>
      </c>
      <c r="CZ15">
        <f>AF15</f>
        <v>65.71</v>
      </c>
      <c r="DA15">
        <f>AJ15</f>
        <v>12.68</v>
      </c>
      <c r="DB15">
        <f t="shared" si="0"/>
        <v>16.43</v>
      </c>
      <c r="DC15">
        <f t="shared" si="1"/>
        <v>2.9</v>
      </c>
    </row>
    <row r="16" spans="1:107" ht="12.75">
      <c r="A16">
        <f>ROW(Source!A29)</f>
        <v>29</v>
      </c>
      <c r="B16">
        <v>55115742</v>
      </c>
      <c r="C16">
        <v>55116549</v>
      </c>
      <c r="D16">
        <v>53644920</v>
      </c>
      <c r="E16">
        <v>1</v>
      </c>
      <c r="F16">
        <v>1</v>
      </c>
      <c r="G16">
        <v>1</v>
      </c>
      <c r="H16">
        <v>3</v>
      </c>
      <c r="I16" t="s">
        <v>240</v>
      </c>
      <c r="J16" t="s">
        <v>241</v>
      </c>
      <c r="K16" t="s">
        <v>242</v>
      </c>
      <c r="L16">
        <v>1348</v>
      </c>
      <c r="N16">
        <v>1009</v>
      </c>
      <c r="O16" t="s">
        <v>51</v>
      </c>
      <c r="P16" t="s">
        <v>51</v>
      </c>
      <c r="Q16">
        <v>1000</v>
      </c>
      <c r="W16">
        <v>0</v>
      </c>
      <c r="X16">
        <v>-2115405243</v>
      </c>
      <c r="Y16">
        <v>0.0004</v>
      </c>
      <c r="AA16">
        <v>121514.63</v>
      </c>
      <c r="AB16">
        <v>0</v>
      </c>
      <c r="AC16">
        <v>0</v>
      </c>
      <c r="AD16">
        <v>0</v>
      </c>
      <c r="AE16">
        <v>9713.4</v>
      </c>
      <c r="AF16">
        <v>0</v>
      </c>
      <c r="AG16">
        <v>0</v>
      </c>
      <c r="AH16">
        <v>0</v>
      </c>
      <c r="AI16">
        <v>12.51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0.0004</v>
      </c>
      <c r="AV16">
        <v>0</v>
      </c>
      <c r="AW16">
        <v>2</v>
      </c>
      <c r="AX16">
        <v>55116555</v>
      </c>
      <c r="AY16">
        <v>1</v>
      </c>
      <c r="AZ16">
        <v>0</v>
      </c>
      <c r="BA16">
        <v>17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0.00038580000000000005</v>
      </c>
      <c r="CY16">
        <f>AA16</f>
        <v>121514.63</v>
      </c>
      <c r="CZ16">
        <f>AE16</f>
        <v>9713.4</v>
      </c>
      <c r="DA16">
        <f>AI16</f>
        <v>12.51</v>
      </c>
      <c r="DB16">
        <f t="shared" si="0"/>
        <v>3.89</v>
      </c>
      <c r="DC16">
        <f t="shared" si="1"/>
        <v>0</v>
      </c>
    </row>
    <row r="17" spans="1:107" ht="12.75">
      <c r="A17">
        <f>ROW(Source!A29)</f>
        <v>29</v>
      </c>
      <c r="B17">
        <v>55115742</v>
      </c>
      <c r="C17">
        <v>55116549</v>
      </c>
      <c r="D17">
        <v>53646032</v>
      </c>
      <c r="E17">
        <v>1</v>
      </c>
      <c r="F17">
        <v>1</v>
      </c>
      <c r="G17">
        <v>1</v>
      </c>
      <c r="H17">
        <v>3</v>
      </c>
      <c r="I17" t="s">
        <v>243</v>
      </c>
      <c r="J17" t="s">
        <v>244</v>
      </c>
      <c r="K17" t="s">
        <v>245</v>
      </c>
      <c r="L17">
        <v>1346</v>
      </c>
      <c r="N17">
        <v>1009</v>
      </c>
      <c r="O17" t="s">
        <v>246</v>
      </c>
      <c r="P17" t="s">
        <v>246</v>
      </c>
      <c r="Q17">
        <v>1</v>
      </c>
      <c r="W17">
        <v>0</v>
      </c>
      <c r="X17">
        <v>1052716416</v>
      </c>
      <c r="Y17">
        <v>0.2</v>
      </c>
      <c r="AA17">
        <v>60.46</v>
      </c>
      <c r="AB17">
        <v>0</v>
      </c>
      <c r="AC17">
        <v>0</v>
      </c>
      <c r="AD17">
        <v>0</v>
      </c>
      <c r="AE17">
        <v>1.82</v>
      </c>
      <c r="AF17">
        <v>0</v>
      </c>
      <c r="AG17">
        <v>0</v>
      </c>
      <c r="AH17">
        <v>0</v>
      </c>
      <c r="AI17">
        <v>33.22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0.2</v>
      </c>
      <c r="AV17">
        <v>0</v>
      </c>
      <c r="AW17">
        <v>2</v>
      </c>
      <c r="AX17">
        <v>55116556</v>
      </c>
      <c r="AY17">
        <v>1</v>
      </c>
      <c r="AZ17">
        <v>0</v>
      </c>
      <c r="BA17">
        <v>18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Y17*Source!I29</f>
        <v>0.19290000000000002</v>
      </c>
      <c r="CY17">
        <f>AA17</f>
        <v>60.46</v>
      </c>
      <c r="CZ17">
        <f>AE17</f>
        <v>1.82</v>
      </c>
      <c r="DA17">
        <f>AI17</f>
        <v>33.22</v>
      </c>
      <c r="DB17">
        <f t="shared" si="0"/>
        <v>0.36</v>
      </c>
      <c r="DC17">
        <f t="shared" si="1"/>
        <v>0</v>
      </c>
    </row>
    <row r="18" spans="1:107" ht="12.75">
      <c r="A18">
        <f>ROW(Source!A29)</f>
        <v>29</v>
      </c>
      <c r="B18">
        <v>55115742</v>
      </c>
      <c r="C18">
        <v>55116549</v>
      </c>
      <c r="D18">
        <v>53674525</v>
      </c>
      <c r="E18">
        <v>1</v>
      </c>
      <c r="F18">
        <v>1</v>
      </c>
      <c r="G18">
        <v>1</v>
      </c>
      <c r="H18">
        <v>3</v>
      </c>
      <c r="I18" t="s">
        <v>247</v>
      </c>
      <c r="J18" t="s">
        <v>248</v>
      </c>
      <c r="K18" t="s">
        <v>249</v>
      </c>
      <c r="L18">
        <v>1346</v>
      </c>
      <c r="N18">
        <v>1009</v>
      </c>
      <c r="O18" t="s">
        <v>246</v>
      </c>
      <c r="P18" t="s">
        <v>246</v>
      </c>
      <c r="Q18">
        <v>1</v>
      </c>
      <c r="W18">
        <v>0</v>
      </c>
      <c r="X18">
        <v>991942845</v>
      </c>
      <c r="Y18">
        <v>56</v>
      </c>
      <c r="AA18">
        <v>82.36</v>
      </c>
      <c r="AB18">
        <v>0</v>
      </c>
      <c r="AC18">
        <v>0</v>
      </c>
      <c r="AD18">
        <v>0</v>
      </c>
      <c r="AE18">
        <v>19.61</v>
      </c>
      <c r="AF18">
        <v>0</v>
      </c>
      <c r="AG18">
        <v>0</v>
      </c>
      <c r="AH18">
        <v>0</v>
      </c>
      <c r="AI18">
        <v>4.2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56</v>
      </c>
      <c r="AV18">
        <v>0</v>
      </c>
      <c r="AW18">
        <v>2</v>
      </c>
      <c r="AX18">
        <v>55116559</v>
      </c>
      <c r="AY18">
        <v>1</v>
      </c>
      <c r="AZ18">
        <v>0</v>
      </c>
      <c r="BA18">
        <v>21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Y18*Source!I29</f>
        <v>54.012</v>
      </c>
      <c r="CY18">
        <f>AA18</f>
        <v>82.36</v>
      </c>
      <c r="CZ18">
        <f>AE18</f>
        <v>19.61</v>
      </c>
      <c r="DA18">
        <f>AI18</f>
        <v>4.2</v>
      </c>
      <c r="DB18">
        <f t="shared" si="0"/>
        <v>1098.16</v>
      </c>
      <c r="DC18">
        <f t="shared" si="1"/>
        <v>0</v>
      </c>
    </row>
    <row r="19" spans="1:107" ht="12.75">
      <c r="A19">
        <f>ROW(Source!A29)</f>
        <v>29</v>
      </c>
      <c r="B19">
        <v>55115742</v>
      </c>
      <c r="C19">
        <v>55116549</v>
      </c>
      <c r="D19">
        <v>53634988</v>
      </c>
      <c r="E19">
        <v>70</v>
      </c>
      <c r="F19">
        <v>1</v>
      </c>
      <c r="G19">
        <v>1</v>
      </c>
      <c r="H19">
        <v>3</v>
      </c>
      <c r="I19" t="s">
        <v>49</v>
      </c>
      <c r="K19" t="s">
        <v>50</v>
      </c>
      <c r="L19">
        <v>1348</v>
      </c>
      <c r="N19">
        <v>1009</v>
      </c>
      <c r="O19" t="s">
        <v>51</v>
      </c>
      <c r="P19" t="s">
        <v>51</v>
      </c>
      <c r="Q19">
        <v>1000</v>
      </c>
      <c r="W19">
        <v>0</v>
      </c>
      <c r="X19">
        <v>2102561428</v>
      </c>
      <c r="Y19">
        <v>1.2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1.2</v>
      </c>
      <c r="AV19">
        <v>0</v>
      </c>
      <c r="AW19">
        <v>2</v>
      </c>
      <c r="AX19">
        <v>55116560</v>
      </c>
      <c r="AY19">
        <v>1</v>
      </c>
      <c r="AZ19">
        <v>0</v>
      </c>
      <c r="BA19">
        <v>22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Y19*Source!I29</f>
        <v>1.1574</v>
      </c>
      <c r="CY19">
        <f>AA19</f>
        <v>0</v>
      </c>
      <c r="CZ19">
        <f>AE19</f>
        <v>0</v>
      </c>
      <c r="DA19">
        <f>AI19</f>
        <v>1</v>
      </c>
      <c r="DB19">
        <f t="shared" si="0"/>
        <v>0</v>
      </c>
      <c r="DC19">
        <f t="shared" si="1"/>
        <v>0</v>
      </c>
    </row>
    <row r="20" spans="1:107" ht="12.75">
      <c r="A20">
        <f>ROW(Source!A29)</f>
        <v>29</v>
      </c>
      <c r="B20">
        <v>55115742</v>
      </c>
      <c r="C20">
        <v>55116549</v>
      </c>
      <c r="D20">
        <v>0</v>
      </c>
      <c r="E20">
        <v>1</v>
      </c>
      <c r="F20">
        <v>1</v>
      </c>
      <c r="G20">
        <v>1</v>
      </c>
      <c r="H20">
        <v>3</v>
      </c>
      <c r="I20" t="s">
        <v>39</v>
      </c>
      <c r="K20" t="s">
        <v>40</v>
      </c>
      <c r="L20">
        <v>3417</v>
      </c>
      <c r="N20">
        <v>1013</v>
      </c>
      <c r="O20" t="s">
        <v>41</v>
      </c>
      <c r="P20" t="s">
        <v>41</v>
      </c>
      <c r="Q20">
        <v>1</v>
      </c>
      <c r="W20">
        <v>0</v>
      </c>
      <c r="X20">
        <v>280787102</v>
      </c>
      <c r="Y20">
        <v>100</v>
      </c>
      <c r="AA20">
        <v>5002.5</v>
      </c>
      <c r="AB20">
        <v>0</v>
      </c>
      <c r="AC20">
        <v>0</v>
      </c>
      <c r="AD20">
        <v>0</v>
      </c>
      <c r="AE20">
        <v>5002.5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T20">
        <v>100</v>
      </c>
      <c r="AV20">
        <v>0</v>
      </c>
      <c r="AW20">
        <v>1</v>
      </c>
      <c r="AX20">
        <v>-1</v>
      </c>
      <c r="AY20">
        <v>0</v>
      </c>
      <c r="AZ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96.45</v>
      </c>
      <c r="CY20">
        <f>AA20</f>
        <v>5002.5</v>
      </c>
      <c r="CZ20">
        <f>AE20</f>
        <v>5002.5</v>
      </c>
      <c r="DA20">
        <f>AI20</f>
        <v>1</v>
      </c>
      <c r="DB20">
        <f t="shared" si="0"/>
        <v>500250</v>
      </c>
      <c r="DC20">
        <f t="shared" si="1"/>
        <v>0</v>
      </c>
    </row>
    <row r="21" spans="1:107" ht="12.75">
      <c r="A21">
        <f>ROW(Source!A38)</f>
        <v>38</v>
      </c>
      <c r="B21">
        <v>55115741</v>
      </c>
      <c r="C21">
        <v>55240623</v>
      </c>
      <c r="D21">
        <v>53630083</v>
      </c>
      <c r="E21">
        <v>70</v>
      </c>
      <c r="F21">
        <v>1</v>
      </c>
      <c r="G21">
        <v>1</v>
      </c>
      <c r="H21">
        <v>1</v>
      </c>
      <c r="I21" t="s">
        <v>250</v>
      </c>
      <c r="K21" t="s">
        <v>251</v>
      </c>
      <c r="L21">
        <v>1191</v>
      </c>
      <c r="N21">
        <v>1013</v>
      </c>
      <c r="O21" t="s">
        <v>234</v>
      </c>
      <c r="P21" t="s">
        <v>234</v>
      </c>
      <c r="Q21">
        <v>1</v>
      </c>
      <c r="W21">
        <v>0</v>
      </c>
      <c r="X21">
        <v>1893946532</v>
      </c>
      <c r="Y21">
        <v>7.394499999999999</v>
      </c>
      <c r="AA21">
        <v>0</v>
      </c>
      <c r="AB21">
        <v>0</v>
      </c>
      <c r="AC21">
        <v>0</v>
      </c>
      <c r="AD21">
        <v>9.07</v>
      </c>
      <c r="AE21">
        <v>0</v>
      </c>
      <c r="AF21">
        <v>0</v>
      </c>
      <c r="AG21">
        <v>0</v>
      </c>
      <c r="AH21">
        <v>9.07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6.43</v>
      </c>
      <c r="AU21" t="s">
        <v>72</v>
      </c>
      <c r="AV21">
        <v>1</v>
      </c>
      <c r="AW21">
        <v>2</v>
      </c>
      <c r="AX21">
        <v>55240624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Y21*Source!I38</f>
        <v>18.855974999999997</v>
      </c>
      <c r="CY21">
        <f>AD21</f>
        <v>9.07</v>
      </c>
      <c r="CZ21">
        <f>AH21</f>
        <v>9.07</v>
      </c>
      <c r="DA21">
        <f>AL21</f>
        <v>1</v>
      </c>
      <c r="DB21">
        <f>ROUND((ROUND(AT21*CZ21,2)*ROUND(1.15,7)),6)</f>
        <v>67.068</v>
      </c>
      <c r="DC21">
        <f>ROUND((ROUND(AT21*AG21,2)*ROUND(1.15,7)),6)</f>
        <v>0</v>
      </c>
    </row>
    <row r="22" spans="1:107" ht="12.75">
      <c r="A22">
        <f>ROW(Source!A38)</f>
        <v>38</v>
      </c>
      <c r="B22">
        <v>55115741</v>
      </c>
      <c r="C22">
        <v>55240623</v>
      </c>
      <c r="D22">
        <v>53630257</v>
      </c>
      <c r="E22">
        <v>70</v>
      </c>
      <c r="F22">
        <v>1</v>
      </c>
      <c r="G22">
        <v>1</v>
      </c>
      <c r="H22">
        <v>1</v>
      </c>
      <c r="I22" t="s">
        <v>235</v>
      </c>
      <c r="K22" t="s">
        <v>236</v>
      </c>
      <c r="L22">
        <v>1191</v>
      </c>
      <c r="N22">
        <v>1013</v>
      </c>
      <c r="O22" t="s">
        <v>234</v>
      </c>
      <c r="P22" t="s">
        <v>234</v>
      </c>
      <c r="Q22">
        <v>1</v>
      </c>
      <c r="W22">
        <v>0</v>
      </c>
      <c r="X22">
        <v>-1417349443</v>
      </c>
      <c r="Y22">
        <v>0.1625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0.13</v>
      </c>
      <c r="AU22" t="s">
        <v>71</v>
      </c>
      <c r="AV22">
        <v>2</v>
      </c>
      <c r="AW22">
        <v>2</v>
      </c>
      <c r="AX22">
        <v>55240625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Y22*Source!I38</f>
        <v>0.414375</v>
      </c>
      <c r="CY22">
        <f>AD22</f>
        <v>0</v>
      </c>
      <c r="CZ22">
        <f>AH22</f>
        <v>0</v>
      </c>
      <c r="DA22">
        <f>AL22</f>
        <v>1</v>
      </c>
      <c r="DB22">
        <f>ROUND((ROUND(AT22*CZ22,2)*ROUND(1.25,7)),6)</f>
        <v>0</v>
      </c>
      <c r="DC22">
        <f>ROUND((ROUND(AT22*AG22,2)*ROUND(1.25,7)),6)</f>
        <v>0</v>
      </c>
    </row>
    <row r="23" spans="1:107" ht="12.75">
      <c r="A23">
        <f>ROW(Source!A38)</f>
        <v>38</v>
      </c>
      <c r="B23">
        <v>55115741</v>
      </c>
      <c r="C23">
        <v>55240623</v>
      </c>
      <c r="D23">
        <v>53792927</v>
      </c>
      <c r="E23">
        <v>1</v>
      </c>
      <c r="F23">
        <v>1</v>
      </c>
      <c r="G23">
        <v>1</v>
      </c>
      <c r="H23">
        <v>2</v>
      </c>
      <c r="I23" t="s">
        <v>237</v>
      </c>
      <c r="J23" t="s">
        <v>238</v>
      </c>
      <c r="K23" t="s">
        <v>239</v>
      </c>
      <c r="L23">
        <v>1367</v>
      </c>
      <c r="N23">
        <v>1011</v>
      </c>
      <c r="O23" t="s">
        <v>55</v>
      </c>
      <c r="P23" t="s">
        <v>55</v>
      </c>
      <c r="Q23">
        <v>1</v>
      </c>
      <c r="W23">
        <v>0</v>
      </c>
      <c r="X23">
        <v>509054691</v>
      </c>
      <c r="Y23">
        <v>0.1625</v>
      </c>
      <c r="AA23">
        <v>0</v>
      </c>
      <c r="AB23">
        <v>65.71</v>
      </c>
      <c r="AC23">
        <v>11.6</v>
      </c>
      <c r="AD23">
        <v>0</v>
      </c>
      <c r="AE23">
        <v>0</v>
      </c>
      <c r="AF23">
        <v>65.71</v>
      </c>
      <c r="AG23">
        <v>11.6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0.13</v>
      </c>
      <c r="AU23" t="s">
        <v>71</v>
      </c>
      <c r="AV23">
        <v>0</v>
      </c>
      <c r="AW23">
        <v>2</v>
      </c>
      <c r="AX23">
        <v>55240626</v>
      </c>
      <c r="AY23">
        <v>1</v>
      </c>
      <c r="AZ23">
        <v>0</v>
      </c>
      <c r="BA23">
        <v>25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Y23*Source!I38</f>
        <v>0.414375</v>
      </c>
      <c r="CY23">
        <f>AB23</f>
        <v>65.71</v>
      </c>
      <c r="CZ23">
        <f>AF23</f>
        <v>65.71</v>
      </c>
      <c r="DA23">
        <f>AJ23</f>
        <v>1</v>
      </c>
      <c r="DB23">
        <f>ROUND((ROUND(AT23*CZ23,2)*ROUND(1.25,7)),6)</f>
        <v>10.675</v>
      </c>
      <c r="DC23">
        <f>ROUND((ROUND(AT23*AG23,2)*ROUND(1.25,7)),6)</f>
        <v>1.8875</v>
      </c>
    </row>
    <row r="24" spans="1:107" ht="12.75">
      <c r="A24">
        <f>ROW(Source!A38)</f>
        <v>38</v>
      </c>
      <c r="B24">
        <v>55115741</v>
      </c>
      <c r="C24">
        <v>55240623</v>
      </c>
      <c r="D24">
        <v>53643063</v>
      </c>
      <c r="E24">
        <v>1</v>
      </c>
      <c r="F24">
        <v>1</v>
      </c>
      <c r="G24">
        <v>1</v>
      </c>
      <c r="H24">
        <v>3</v>
      </c>
      <c r="I24" t="s">
        <v>252</v>
      </c>
      <c r="J24" t="s">
        <v>253</v>
      </c>
      <c r="K24" t="s">
        <v>254</v>
      </c>
      <c r="L24">
        <v>1308</v>
      </c>
      <c r="N24">
        <v>1003</v>
      </c>
      <c r="O24" t="s">
        <v>69</v>
      </c>
      <c r="P24" t="s">
        <v>69</v>
      </c>
      <c r="Q24">
        <v>100</v>
      </c>
      <c r="W24">
        <v>0</v>
      </c>
      <c r="X24">
        <v>-1956247989</v>
      </c>
      <c r="Y24">
        <v>1.05</v>
      </c>
      <c r="AA24">
        <v>2500</v>
      </c>
      <c r="AB24">
        <v>0</v>
      </c>
      <c r="AC24">
        <v>0</v>
      </c>
      <c r="AD24">
        <v>0</v>
      </c>
      <c r="AE24">
        <v>2500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1.05</v>
      </c>
      <c r="AV24">
        <v>0</v>
      </c>
      <c r="AW24">
        <v>2</v>
      </c>
      <c r="AX24">
        <v>55240627</v>
      </c>
      <c r="AY24">
        <v>1</v>
      </c>
      <c r="AZ24">
        <v>0</v>
      </c>
      <c r="BA24">
        <v>26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Y24*Source!I38</f>
        <v>2.6774999999999998</v>
      </c>
      <c r="CY24">
        <f>AA24</f>
        <v>2500</v>
      </c>
      <c r="CZ24">
        <f>AE24</f>
        <v>2500</v>
      </c>
      <c r="DA24">
        <f>AI24</f>
        <v>1</v>
      </c>
      <c r="DB24">
        <f>ROUND(ROUND(AT24*CZ24,2),6)</f>
        <v>2625</v>
      </c>
      <c r="DC24">
        <f>ROUND(ROUND(AT24*AG24,2),6)</f>
        <v>0</v>
      </c>
    </row>
    <row r="25" spans="1:107" ht="12.75">
      <c r="A25">
        <f>ROW(Source!A38)</f>
        <v>38</v>
      </c>
      <c r="B25">
        <v>55115741</v>
      </c>
      <c r="C25">
        <v>55240623</v>
      </c>
      <c r="D25">
        <v>53674553</v>
      </c>
      <c r="E25">
        <v>1</v>
      </c>
      <c r="F25">
        <v>1</v>
      </c>
      <c r="G25">
        <v>1</v>
      </c>
      <c r="H25">
        <v>3</v>
      </c>
      <c r="I25" t="s">
        <v>255</v>
      </c>
      <c r="J25" t="s">
        <v>256</v>
      </c>
      <c r="K25" t="s">
        <v>257</v>
      </c>
      <c r="L25">
        <v>1348</v>
      </c>
      <c r="N25">
        <v>1009</v>
      </c>
      <c r="O25" t="s">
        <v>51</v>
      </c>
      <c r="P25" t="s">
        <v>51</v>
      </c>
      <c r="Q25">
        <v>1000</v>
      </c>
      <c r="W25">
        <v>0</v>
      </c>
      <c r="X25">
        <v>729243072</v>
      </c>
      <c r="Y25">
        <v>0.012</v>
      </c>
      <c r="AA25">
        <v>24553</v>
      </c>
      <c r="AB25">
        <v>0</v>
      </c>
      <c r="AC25">
        <v>0</v>
      </c>
      <c r="AD25">
        <v>0</v>
      </c>
      <c r="AE25">
        <v>24553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0.012</v>
      </c>
      <c r="AV25">
        <v>0</v>
      </c>
      <c r="AW25">
        <v>2</v>
      </c>
      <c r="AX25">
        <v>55240628</v>
      </c>
      <c r="AY25">
        <v>1</v>
      </c>
      <c r="AZ25">
        <v>0</v>
      </c>
      <c r="BA25">
        <v>27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Y25*Source!I38</f>
        <v>0.0306</v>
      </c>
      <c r="CY25">
        <f>AA25</f>
        <v>24553</v>
      </c>
      <c r="CZ25">
        <f>AE25</f>
        <v>24553</v>
      </c>
      <c r="DA25">
        <f>AI25</f>
        <v>1</v>
      </c>
      <c r="DB25">
        <f>ROUND(ROUND(AT25*CZ25,2),6)</f>
        <v>294.64</v>
      </c>
      <c r="DC25">
        <f>ROUND(ROUND(AT25*AG25,2),6)</f>
        <v>0</v>
      </c>
    </row>
    <row r="26" spans="1:107" ht="12.75">
      <c r="A26">
        <f>ROW(Source!A39)</f>
        <v>39</v>
      </c>
      <c r="B26">
        <v>55115742</v>
      </c>
      <c r="C26">
        <v>55240623</v>
      </c>
      <c r="D26">
        <v>53630083</v>
      </c>
      <c r="E26">
        <v>70</v>
      </c>
      <c r="F26">
        <v>1</v>
      </c>
      <c r="G26">
        <v>1</v>
      </c>
      <c r="H26">
        <v>1</v>
      </c>
      <c r="I26" t="s">
        <v>250</v>
      </c>
      <c r="K26" t="s">
        <v>251</v>
      </c>
      <c r="L26">
        <v>1191</v>
      </c>
      <c r="N26">
        <v>1013</v>
      </c>
      <c r="O26" t="s">
        <v>234</v>
      </c>
      <c r="P26" t="s">
        <v>234</v>
      </c>
      <c r="Q26">
        <v>1</v>
      </c>
      <c r="W26">
        <v>0</v>
      </c>
      <c r="X26">
        <v>1893946532</v>
      </c>
      <c r="Y26">
        <v>7.394499999999999</v>
      </c>
      <c r="AA26">
        <v>0</v>
      </c>
      <c r="AB26">
        <v>0</v>
      </c>
      <c r="AC26">
        <v>0</v>
      </c>
      <c r="AD26">
        <v>9.07</v>
      </c>
      <c r="AE26">
        <v>0</v>
      </c>
      <c r="AF26">
        <v>0</v>
      </c>
      <c r="AG26">
        <v>0</v>
      </c>
      <c r="AH26">
        <v>9.07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6.43</v>
      </c>
      <c r="AU26" t="s">
        <v>72</v>
      </c>
      <c r="AV26">
        <v>1</v>
      </c>
      <c r="AW26">
        <v>2</v>
      </c>
      <c r="AX26">
        <v>55240624</v>
      </c>
      <c r="AY26">
        <v>1</v>
      </c>
      <c r="AZ26">
        <v>0</v>
      </c>
      <c r="BA26">
        <v>28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Y26*Source!I39</f>
        <v>18.855974999999997</v>
      </c>
      <c r="CY26">
        <f>AD26</f>
        <v>9.07</v>
      </c>
      <c r="CZ26">
        <f>AH26</f>
        <v>9.07</v>
      </c>
      <c r="DA26">
        <f>AL26</f>
        <v>1</v>
      </c>
      <c r="DB26">
        <f>ROUND((ROUND(AT26*CZ26,2)*ROUND(1.15,7)),6)</f>
        <v>67.068</v>
      </c>
      <c r="DC26">
        <f>ROUND((ROUND(AT26*AG26,2)*ROUND(1.15,7)),6)</f>
        <v>0</v>
      </c>
    </row>
    <row r="27" spans="1:107" ht="12.75">
      <c r="A27">
        <f>ROW(Source!A39)</f>
        <v>39</v>
      </c>
      <c r="B27">
        <v>55115742</v>
      </c>
      <c r="C27">
        <v>55240623</v>
      </c>
      <c r="D27">
        <v>53630257</v>
      </c>
      <c r="E27">
        <v>70</v>
      </c>
      <c r="F27">
        <v>1</v>
      </c>
      <c r="G27">
        <v>1</v>
      </c>
      <c r="H27">
        <v>1</v>
      </c>
      <c r="I27" t="s">
        <v>235</v>
      </c>
      <c r="K27" t="s">
        <v>236</v>
      </c>
      <c r="L27">
        <v>1191</v>
      </c>
      <c r="N27">
        <v>1013</v>
      </c>
      <c r="O27" t="s">
        <v>234</v>
      </c>
      <c r="P27" t="s">
        <v>234</v>
      </c>
      <c r="Q27">
        <v>1</v>
      </c>
      <c r="W27">
        <v>0</v>
      </c>
      <c r="X27">
        <v>-1417349443</v>
      </c>
      <c r="Y27">
        <v>0.1625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0.13</v>
      </c>
      <c r="AU27" t="s">
        <v>71</v>
      </c>
      <c r="AV27">
        <v>2</v>
      </c>
      <c r="AW27">
        <v>2</v>
      </c>
      <c r="AX27">
        <v>55240625</v>
      </c>
      <c r="AY27">
        <v>1</v>
      </c>
      <c r="AZ27">
        <v>0</v>
      </c>
      <c r="BA27">
        <v>29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Y27*Source!I39</f>
        <v>0.414375</v>
      </c>
      <c r="CY27">
        <f>AD27</f>
        <v>0</v>
      </c>
      <c r="CZ27">
        <f>AH27</f>
        <v>0</v>
      </c>
      <c r="DA27">
        <f>AL27</f>
        <v>1</v>
      </c>
      <c r="DB27">
        <f>ROUND((ROUND(AT27*CZ27,2)*ROUND(1.25,7)),6)</f>
        <v>0</v>
      </c>
      <c r="DC27">
        <f>ROUND((ROUND(AT27*AG27,2)*ROUND(1.25,7)),6)</f>
        <v>0</v>
      </c>
    </row>
    <row r="28" spans="1:107" ht="12.75">
      <c r="A28">
        <f>ROW(Source!A39)</f>
        <v>39</v>
      </c>
      <c r="B28">
        <v>55115742</v>
      </c>
      <c r="C28">
        <v>55240623</v>
      </c>
      <c r="D28">
        <v>53792927</v>
      </c>
      <c r="E28">
        <v>1</v>
      </c>
      <c r="F28">
        <v>1</v>
      </c>
      <c r="G28">
        <v>1</v>
      </c>
      <c r="H28">
        <v>2</v>
      </c>
      <c r="I28" t="s">
        <v>237</v>
      </c>
      <c r="J28" t="s">
        <v>238</v>
      </c>
      <c r="K28" t="s">
        <v>239</v>
      </c>
      <c r="L28">
        <v>1367</v>
      </c>
      <c r="N28">
        <v>1011</v>
      </c>
      <c r="O28" t="s">
        <v>55</v>
      </c>
      <c r="P28" t="s">
        <v>55</v>
      </c>
      <c r="Q28">
        <v>1</v>
      </c>
      <c r="W28">
        <v>0</v>
      </c>
      <c r="X28">
        <v>509054691</v>
      </c>
      <c r="Y28">
        <v>0.1625</v>
      </c>
      <c r="AA28">
        <v>0</v>
      </c>
      <c r="AB28">
        <v>833.2</v>
      </c>
      <c r="AC28">
        <v>444.98</v>
      </c>
      <c r="AD28">
        <v>0</v>
      </c>
      <c r="AE28">
        <v>0</v>
      </c>
      <c r="AF28">
        <v>65.71</v>
      </c>
      <c r="AG28">
        <v>11.6</v>
      </c>
      <c r="AH28">
        <v>0</v>
      </c>
      <c r="AI28">
        <v>1</v>
      </c>
      <c r="AJ28">
        <v>12.68</v>
      </c>
      <c r="AK28">
        <v>38.36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0.13</v>
      </c>
      <c r="AU28" t="s">
        <v>71</v>
      </c>
      <c r="AV28">
        <v>0</v>
      </c>
      <c r="AW28">
        <v>2</v>
      </c>
      <c r="AX28">
        <v>55240626</v>
      </c>
      <c r="AY28">
        <v>1</v>
      </c>
      <c r="AZ28">
        <v>0</v>
      </c>
      <c r="BA28">
        <v>30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Y28*Source!I39</f>
        <v>0.414375</v>
      </c>
      <c r="CY28">
        <f>AB28</f>
        <v>833.2</v>
      </c>
      <c r="CZ28">
        <f>AF28</f>
        <v>65.71</v>
      </c>
      <c r="DA28">
        <f>AJ28</f>
        <v>12.68</v>
      </c>
      <c r="DB28">
        <f>ROUND((ROUND(AT28*CZ28,2)*ROUND(1.25,7)),6)</f>
        <v>10.675</v>
      </c>
      <c r="DC28">
        <f>ROUND((ROUND(AT28*AG28,2)*ROUND(1.25,7)),6)</f>
        <v>1.8875</v>
      </c>
    </row>
    <row r="29" spans="1:107" ht="12.75">
      <c r="A29">
        <f>ROW(Source!A39)</f>
        <v>39</v>
      </c>
      <c r="B29">
        <v>55115742</v>
      </c>
      <c r="C29">
        <v>55240623</v>
      </c>
      <c r="D29">
        <v>53643063</v>
      </c>
      <c r="E29">
        <v>1</v>
      </c>
      <c r="F29">
        <v>1</v>
      </c>
      <c r="G29">
        <v>1</v>
      </c>
      <c r="H29">
        <v>3</v>
      </c>
      <c r="I29" t="s">
        <v>252</v>
      </c>
      <c r="J29" t="s">
        <v>253</v>
      </c>
      <c r="K29" t="s">
        <v>254</v>
      </c>
      <c r="L29">
        <v>1308</v>
      </c>
      <c r="N29">
        <v>1003</v>
      </c>
      <c r="O29" t="s">
        <v>69</v>
      </c>
      <c r="P29" t="s">
        <v>69</v>
      </c>
      <c r="Q29">
        <v>100</v>
      </c>
      <c r="W29">
        <v>0</v>
      </c>
      <c r="X29">
        <v>-1956247989</v>
      </c>
      <c r="Y29">
        <v>1.05</v>
      </c>
      <c r="AA29">
        <v>11250</v>
      </c>
      <c r="AB29">
        <v>0</v>
      </c>
      <c r="AC29">
        <v>0</v>
      </c>
      <c r="AD29">
        <v>0</v>
      </c>
      <c r="AE29">
        <v>2500</v>
      </c>
      <c r="AF29">
        <v>0</v>
      </c>
      <c r="AG29">
        <v>0</v>
      </c>
      <c r="AH29">
        <v>0</v>
      </c>
      <c r="AI29">
        <v>4.5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1.05</v>
      </c>
      <c r="AV29">
        <v>0</v>
      </c>
      <c r="AW29">
        <v>2</v>
      </c>
      <c r="AX29">
        <v>55240627</v>
      </c>
      <c r="AY29">
        <v>1</v>
      </c>
      <c r="AZ29">
        <v>0</v>
      </c>
      <c r="BA29">
        <v>31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Y29*Source!I39</f>
        <v>2.6774999999999998</v>
      </c>
      <c r="CY29">
        <f>AA29</f>
        <v>11250</v>
      </c>
      <c r="CZ29">
        <f>AE29</f>
        <v>2500</v>
      </c>
      <c r="DA29">
        <f>AI29</f>
        <v>4.5</v>
      </c>
      <c r="DB29">
        <f aca="true" t="shared" si="2" ref="DB29:DB38">ROUND(ROUND(AT29*CZ29,2),6)</f>
        <v>2625</v>
      </c>
      <c r="DC29">
        <f aca="true" t="shared" si="3" ref="DC29:DC38">ROUND(ROUND(AT29*AG29,2),6)</f>
        <v>0</v>
      </c>
    </row>
    <row r="30" spans="1:107" ht="12.75">
      <c r="A30">
        <f>ROW(Source!A39)</f>
        <v>39</v>
      </c>
      <c r="B30">
        <v>55115742</v>
      </c>
      <c r="C30">
        <v>55240623</v>
      </c>
      <c r="D30">
        <v>53674553</v>
      </c>
      <c r="E30">
        <v>1</v>
      </c>
      <c r="F30">
        <v>1</v>
      </c>
      <c r="G30">
        <v>1</v>
      </c>
      <c r="H30">
        <v>3</v>
      </c>
      <c r="I30" t="s">
        <v>255</v>
      </c>
      <c r="J30" t="s">
        <v>256</v>
      </c>
      <c r="K30" t="s">
        <v>257</v>
      </c>
      <c r="L30">
        <v>1348</v>
      </c>
      <c r="N30">
        <v>1009</v>
      </c>
      <c r="O30" t="s">
        <v>51</v>
      </c>
      <c r="P30" t="s">
        <v>51</v>
      </c>
      <c r="Q30">
        <v>1000</v>
      </c>
      <c r="W30">
        <v>0</v>
      </c>
      <c r="X30">
        <v>729243072</v>
      </c>
      <c r="Y30">
        <v>0.012</v>
      </c>
      <c r="AA30">
        <v>127921.13</v>
      </c>
      <c r="AB30">
        <v>0</v>
      </c>
      <c r="AC30">
        <v>0</v>
      </c>
      <c r="AD30">
        <v>0</v>
      </c>
      <c r="AE30">
        <v>24553</v>
      </c>
      <c r="AF30">
        <v>0</v>
      </c>
      <c r="AG30">
        <v>0</v>
      </c>
      <c r="AH30">
        <v>0</v>
      </c>
      <c r="AI30">
        <v>5.21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0.012</v>
      </c>
      <c r="AV30">
        <v>0</v>
      </c>
      <c r="AW30">
        <v>2</v>
      </c>
      <c r="AX30">
        <v>55240628</v>
      </c>
      <c r="AY30">
        <v>1</v>
      </c>
      <c r="AZ30">
        <v>0</v>
      </c>
      <c r="BA30">
        <v>32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Y30*Source!I39</f>
        <v>0.0306</v>
      </c>
      <c r="CY30">
        <f>AA30</f>
        <v>127921.13</v>
      </c>
      <c r="CZ30">
        <f>AE30</f>
        <v>24553</v>
      </c>
      <c r="DA30">
        <f>AI30</f>
        <v>5.21</v>
      </c>
      <c r="DB30">
        <f t="shared" si="2"/>
        <v>294.64</v>
      </c>
      <c r="DC30">
        <f t="shared" si="3"/>
        <v>0</v>
      </c>
    </row>
    <row r="31" spans="1:107" ht="12.75">
      <c r="A31">
        <f>ROW(Source!A76)</f>
        <v>76</v>
      </c>
      <c r="B31">
        <v>55115741</v>
      </c>
      <c r="C31">
        <v>55116012</v>
      </c>
      <c r="D31">
        <v>9670109</v>
      </c>
      <c r="E31">
        <v>1</v>
      </c>
      <c r="F31">
        <v>1</v>
      </c>
      <c r="G31">
        <v>1</v>
      </c>
      <c r="H31">
        <v>1</v>
      </c>
      <c r="I31" t="s">
        <v>258</v>
      </c>
      <c r="K31" t="s">
        <v>259</v>
      </c>
      <c r="L31">
        <v>1369</v>
      </c>
      <c r="N31">
        <v>1013</v>
      </c>
      <c r="O31" t="s">
        <v>260</v>
      </c>
      <c r="P31" t="s">
        <v>260</v>
      </c>
      <c r="Q31">
        <v>1</v>
      </c>
      <c r="W31">
        <v>0</v>
      </c>
      <c r="X31">
        <v>317644410</v>
      </c>
      <c r="Y31">
        <v>1.03</v>
      </c>
      <c r="AA31">
        <v>0</v>
      </c>
      <c r="AB31">
        <v>0</v>
      </c>
      <c r="AC31">
        <v>0</v>
      </c>
      <c r="AD31">
        <v>7.19</v>
      </c>
      <c r="AE31">
        <v>0</v>
      </c>
      <c r="AF31">
        <v>0</v>
      </c>
      <c r="AG31">
        <v>0</v>
      </c>
      <c r="AH31">
        <v>7.19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1.03</v>
      </c>
      <c r="AV31">
        <v>1</v>
      </c>
      <c r="AW31">
        <v>1</v>
      </c>
      <c r="AX31">
        <v>-1</v>
      </c>
      <c r="AY31">
        <v>0</v>
      </c>
      <c r="AZ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Y31*Source!I76</f>
        <v>2.438422</v>
      </c>
      <c r="CY31">
        <f>AD31</f>
        <v>7.19</v>
      </c>
      <c r="CZ31">
        <f>AH31</f>
        <v>7.19</v>
      </c>
      <c r="DA31">
        <f>AL31</f>
        <v>1</v>
      </c>
      <c r="DB31">
        <f t="shared" si="2"/>
        <v>7.41</v>
      </c>
      <c r="DC31">
        <f t="shared" si="3"/>
        <v>0</v>
      </c>
    </row>
    <row r="32" spans="1:107" ht="12.75">
      <c r="A32">
        <f>ROW(Source!A76)</f>
        <v>76</v>
      </c>
      <c r="B32">
        <v>55115741</v>
      </c>
      <c r="C32">
        <v>55116012</v>
      </c>
      <c r="D32">
        <v>0</v>
      </c>
      <c r="E32">
        <v>1</v>
      </c>
      <c r="F32">
        <v>1</v>
      </c>
      <c r="G32">
        <v>1</v>
      </c>
      <c r="H32">
        <v>3</v>
      </c>
      <c r="I32" t="s">
        <v>261</v>
      </c>
      <c r="J32" t="s">
        <v>262</v>
      </c>
      <c r="K32" t="s">
        <v>263</v>
      </c>
      <c r="L32">
        <v>1354</v>
      </c>
      <c r="N32">
        <v>1010</v>
      </c>
      <c r="O32" t="s">
        <v>264</v>
      </c>
      <c r="P32" t="s">
        <v>264</v>
      </c>
      <c r="Q32">
        <v>1</v>
      </c>
      <c r="W32">
        <v>0</v>
      </c>
      <c r="X32">
        <v>1704471361</v>
      </c>
      <c r="Y32">
        <v>20</v>
      </c>
      <c r="AA32">
        <v>0.82</v>
      </c>
      <c r="AB32">
        <v>0</v>
      </c>
      <c r="AC32">
        <v>0</v>
      </c>
      <c r="AD32">
        <v>0</v>
      </c>
      <c r="AE32">
        <v>0.82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20</v>
      </c>
      <c r="AV32">
        <v>0</v>
      </c>
      <c r="AW32">
        <v>1</v>
      </c>
      <c r="AX32">
        <v>-1</v>
      </c>
      <c r="AY32">
        <v>0</v>
      </c>
      <c r="AZ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Y32*Source!I76</f>
        <v>47.348</v>
      </c>
      <c r="CY32">
        <f>AA32</f>
        <v>0.82</v>
      </c>
      <c r="CZ32">
        <f>AE32</f>
        <v>0.82</v>
      </c>
      <c r="DA32">
        <f>AI32</f>
        <v>1</v>
      </c>
      <c r="DB32">
        <f t="shared" si="2"/>
        <v>16.4</v>
      </c>
      <c r="DC32">
        <f t="shared" si="3"/>
        <v>0</v>
      </c>
    </row>
    <row r="33" spans="1:107" ht="12.75">
      <c r="A33">
        <f>ROW(Source!A77)</f>
        <v>77</v>
      </c>
      <c r="B33">
        <v>55115742</v>
      </c>
      <c r="C33">
        <v>55116012</v>
      </c>
      <c r="D33">
        <v>9670109</v>
      </c>
      <c r="E33">
        <v>1</v>
      </c>
      <c r="F33">
        <v>1</v>
      </c>
      <c r="G33">
        <v>1</v>
      </c>
      <c r="H33">
        <v>1</v>
      </c>
      <c r="I33" t="s">
        <v>258</v>
      </c>
      <c r="K33" t="s">
        <v>259</v>
      </c>
      <c r="L33">
        <v>1369</v>
      </c>
      <c r="N33">
        <v>1013</v>
      </c>
      <c r="O33" t="s">
        <v>260</v>
      </c>
      <c r="P33" t="s">
        <v>260</v>
      </c>
      <c r="Q33">
        <v>1</v>
      </c>
      <c r="W33">
        <v>0</v>
      </c>
      <c r="X33">
        <v>317644410</v>
      </c>
      <c r="Y33">
        <v>1.03</v>
      </c>
      <c r="AA33">
        <v>0</v>
      </c>
      <c r="AB33">
        <v>0</v>
      </c>
      <c r="AC33">
        <v>0</v>
      </c>
      <c r="AD33">
        <v>7.19</v>
      </c>
      <c r="AE33">
        <v>0</v>
      </c>
      <c r="AF33">
        <v>0</v>
      </c>
      <c r="AG33">
        <v>0</v>
      </c>
      <c r="AH33">
        <v>7.19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1.03</v>
      </c>
      <c r="AV33">
        <v>1</v>
      </c>
      <c r="AW33">
        <v>1</v>
      </c>
      <c r="AX33">
        <v>-1</v>
      </c>
      <c r="AY33">
        <v>0</v>
      </c>
      <c r="AZ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Y33*Source!I77</f>
        <v>2.438422</v>
      </c>
      <c r="CY33">
        <f>AD33</f>
        <v>7.19</v>
      </c>
      <c r="CZ33">
        <f>AH33</f>
        <v>7.19</v>
      </c>
      <c r="DA33">
        <f>AL33</f>
        <v>1</v>
      </c>
      <c r="DB33">
        <f t="shared" si="2"/>
        <v>7.41</v>
      </c>
      <c r="DC33">
        <f t="shared" si="3"/>
        <v>0</v>
      </c>
    </row>
    <row r="34" spans="1:107" ht="12.75">
      <c r="A34">
        <f>ROW(Source!A77)</f>
        <v>77</v>
      </c>
      <c r="B34">
        <v>55115742</v>
      </c>
      <c r="C34">
        <v>55116012</v>
      </c>
      <c r="D34">
        <v>0</v>
      </c>
      <c r="E34">
        <v>1</v>
      </c>
      <c r="F34">
        <v>1</v>
      </c>
      <c r="G34">
        <v>1</v>
      </c>
      <c r="H34">
        <v>3</v>
      </c>
      <c r="I34" t="s">
        <v>261</v>
      </c>
      <c r="J34" t="s">
        <v>262</v>
      </c>
      <c r="K34" t="s">
        <v>263</v>
      </c>
      <c r="L34">
        <v>1354</v>
      </c>
      <c r="N34">
        <v>1010</v>
      </c>
      <c r="O34" t="s">
        <v>264</v>
      </c>
      <c r="P34" t="s">
        <v>264</v>
      </c>
      <c r="Q34">
        <v>1</v>
      </c>
      <c r="W34">
        <v>0</v>
      </c>
      <c r="X34">
        <v>1704471361</v>
      </c>
      <c r="Y34">
        <v>20</v>
      </c>
      <c r="AA34">
        <v>0.82</v>
      </c>
      <c r="AB34">
        <v>0</v>
      </c>
      <c r="AC34">
        <v>0</v>
      </c>
      <c r="AD34">
        <v>0</v>
      </c>
      <c r="AE34">
        <v>0.82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20</v>
      </c>
      <c r="AV34">
        <v>0</v>
      </c>
      <c r="AW34">
        <v>1</v>
      </c>
      <c r="AX34">
        <v>-1</v>
      </c>
      <c r="AY34">
        <v>0</v>
      </c>
      <c r="AZ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Y34*Source!I77</f>
        <v>47.348</v>
      </c>
      <c r="CY34">
        <f>AA34</f>
        <v>0.82</v>
      </c>
      <c r="CZ34">
        <f>AE34</f>
        <v>0.82</v>
      </c>
      <c r="DA34">
        <f>AI34</f>
        <v>1</v>
      </c>
      <c r="DB34">
        <f t="shared" si="2"/>
        <v>16.4</v>
      </c>
      <c r="DC34">
        <f t="shared" si="3"/>
        <v>0</v>
      </c>
    </row>
    <row r="35" spans="1:107" ht="12.75">
      <c r="A35">
        <f>ROW(Source!A78)</f>
        <v>78</v>
      </c>
      <c r="B35">
        <v>55115741</v>
      </c>
      <c r="C35">
        <v>55116017</v>
      </c>
      <c r="D35">
        <v>9670109</v>
      </c>
      <c r="E35">
        <v>1</v>
      </c>
      <c r="F35">
        <v>1</v>
      </c>
      <c r="G35">
        <v>1</v>
      </c>
      <c r="H35">
        <v>1</v>
      </c>
      <c r="I35" t="s">
        <v>258</v>
      </c>
      <c r="K35" t="s">
        <v>259</v>
      </c>
      <c r="L35">
        <v>1369</v>
      </c>
      <c r="N35">
        <v>1013</v>
      </c>
      <c r="O35" t="s">
        <v>260</v>
      </c>
      <c r="P35" t="s">
        <v>260</v>
      </c>
      <c r="Q35">
        <v>1</v>
      </c>
      <c r="W35">
        <v>0</v>
      </c>
      <c r="X35">
        <v>317644410</v>
      </c>
      <c r="Y35">
        <v>0.5777</v>
      </c>
      <c r="AA35">
        <v>0</v>
      </c>
      <c r="AB35">
        <v>0</v>
      </c>
      <c r="AC35">
        <v>0</v>
      </c>
      <c r="AD35">
        <v>7.19</v>
      </c>
      <c r="AE35">
        <v>0</v>
      </c>
      <c r="AF35">
        <v>0</v>
      </c>
      <c r="AG35">
        <v>0</v>
      </c>
      <c r="AH35">
        <v>7.19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0.5777</v>
      </c>
      <c r="AV35">
        <v>1</v>
      </c>
      <c r="AW35">
        <v>1</v>
      </c>
      <c r="AX35">
        <v>-1</v>
      </c>
      <c r="AY35">
        <v>0</v>
      </c>
      <c r="AZ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Y35*Source!I78</f>
        <v>1.36764698</v>
      </c>
      <c r="CY35">
        <f>AD35</f>
        <v>7.19</v>
      </c>
      <c r="CZ35">
        <f>AH35</f>
        <v>7.19</v>
      </c>
      <c r="DA35">
        <f>AL35</f>
        <v>1</v>
      </c>
      <c r="DB35">
        <f t="shared" si="2"/>
        <v>4.15</v>
      </c>
      <c r="DC35">
        <f t="shared" si="3"/>
        <v>0</v>
      </c>
    </row>
    <row r="36" spans="1:107" ht="12.75">
      <c r="A36">
        <f>ROW(Source!A78)</f>
        <v>78</v>
      </c>
      <c r="B36">
        <v>55115741</v>
      </c>
      <c r="C36">
        <v>55116017</v>
      </c>
      <c r="D36">
        <v>0</v>
      </c>
      <c r="E36">
        <v>1</v>
      </c>
      <c r="F36">
        <v>1</v>
      </c>
      <c r="G36">
        <v>1</v>
      </c>
      <c r="H36">
        <v>2</v>
      </c>
      <c r="I36" t="s">
        <v>265</v>
      </c>
      <c r="J36" t="s">
        <v>266</v>
      </c>
      <c r="K36" t="s">
        <v>267</v>
      </c>
      <c r="L36">
        <v>1368</v>
      </c>
      <c r="N36">
        <v>1011</v>
      </c>
      <c r="O36" t="s">
        <v>268</v>
      </c>
      <c r="P36" t="s">
        <v>268</v>
      </c>
      <c r="Q36">
        <v>1</v>
      </c>
      <c r="W36">
        <v>0</v>
      </c>
      <c r="X36">
        <v>1020660697</v>
      </c>
      <c r="Y36">
        <v>0.29</v>
      </c>
      <c r="AA36">
        <v>0</v>
      </c>
      <c r="AB36">
        <v>111</v>
      </c>
      <c r="AC36">
        <v>11.6</v>
      </c>
      <c r="AD36">
        <v>0</v>
      </c>
      <c r="AE36">
        <v>0</v>
      </c>
      <c r="AF36">
        <v>111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0.29</v>
      </c>
      <c r="AV36">
        <v>0</v>
      </c>
      <c r="AW36">
        <v>1</v>
      </c>
      <c r="AX36">
        <v>-1</v>
      </c>
      <c r="AY36">
        <v>0</v>
      </c>
      <c r="AZ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Y36*Source!I78</f>
        <v>0.686546</v>
      </c>
      <c r="CY36">
        <f>AB36</f>
        <v>111</v>
      </c>
      <c r="CZ36">
        <f>AF36</f>
        <v>111</v>
      </c>
      <c r="DA36">
        <f>AJ36</f>
        <v>1</v>
      </c>
      <c r="DB36">
        <f t="shared" si="2"/>
        <v>32.19</v>
      </c>
      <c r="DC36">
        <f t="shared" si="3"/>
        <v>3.36</v>
      </c>
    </row>
    <row r="37" spans="1:107" ht="12.75">
      <c r="A37">
        <f>ROW(Source!A79)</f>
        <v>79</v>
      </c>
      <c r="B37">
        <v>55115742</v>
      </c>
      <c r="C37">
        <v>55116017</v>
      </c>
      <c r="D37">
        <v>9670109</v>
      </c>
      <c r="E37">
        <v>1</v>
      </c>
      <c r="F37">
        <v>1</v>
      </c>
      <c r="G37">
        <v>1</v>
      </c>
      <c r="H37">
        <v>1</v>
      </c>
      <c r="I37" t="s">
        <v>258</v>
      </c>
      <c r="K37" t="s">
        <v>259</v>
      </c>
      <c r="L37">
        <v>1369</v>
      </c>
      <c r="N37">
        <v>1013</v>
      </c>
      <c r="O37" t="s">
        <v>260</v>
      </c>
      <c r="P37" t="s">
        <v>260</v>
      </c>
      <c r="Q37">
        <v>1</v>
      </c>
      <c r="W37">
        <v>0</v>
      </c>
      <c r="X37">
        <v>317644410</v>
      </c>
      <c r="Y37">
        <v>0.5777</v>
      </c>
      <c r="AA37">
        <v>0</v>
      </c>
      <c r="AB37">
        <v>0</v>
      </c>
      <c r="AC37">
        <v>0</v>
      </c>
      <c r="AD37">
        <v>7.19</v>
      </c>
      <c r="AE37">
        <v>0</v>
      </c>
      <c r="AF37">
        <v>0</v>
      </c>
      <c r="AG37">
        <v>0</v>
      </c>
      <c r="AH37">
        <v>7.19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0.5777</v>
      </c>
      <c r="AV37">
        <v>1</v>
      </c>
      <c r="AW37">
        <v>1</v>
      </c>
      <c r="AX37">
        <v>-1</v>
      </c>
      <c r="AY37">
        <v>0</v>
      </c>
      <c r="AZ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Y37*Source!I79</f>
        <v>1.36764698</v>
      </c>
      <c r="CY37">
        <f>AD37</f>
        <v>7.19</v>
      </c>
      <c r="CZ37">
        <f>AH37</f>
        <v>7.19</v>
      </c>
      <c r="DA37">
        <f>AL37</f>
        <v>1</v>
      </c>
      <c r="DB37">
        <f t="shared" si="2"/>
        <v>4.15</v>
      </c>
      <c r="DC37">
        <f t="shared" si="3"/>
        <v>0</v>
      </c>
    </row>
    <row r="38" spans="1:107" ht="12.75">
      <c r="A38">
        <f>ROW(Source!A79)</f>
        <v>79</v>
      </c>
      <c r="B38">
        <v>55115742</v>
      </c>
      <c r="C38">
        <v>55116017</v>
      </c>
      <c r="D38">
        <v>0</v>
      </c>
      <c r="E38">
        <v>1</v>
      </c>
      <c r="F38">
        <v>1</v>
      </c>
      <c r="G38">
        <v>1</v>
      </c>
      <c r="H38">
        <v>2</v>
      </c>
      <c r="I38" t="s">
        <v>265</v>
      </c>
      <c r="J38" t="s">
        <v>266</v>
      </c>
      <c r="K38" t="s">
        <v>267</v>
      </c>
      <c r="L38">
        <v>1368</v>
      </c>
      <c r="N38">
        <v>1011</v>
      </c>
      <c r="O38" t="s">
        <v>268</v>
      </c>
      <c r="P38" t="s">
        <v>268</v>
      </c>
      <c r="Q38">
        <v>1</v>
      </c>
      <c r="W38">
        <v>0</v>
      </c>
      <c r="X38">
        <v>1020660697</v>
      </c>
      <c r="Y38">
        <v>0.29</v>
      </c>
      <c r="AA38">
        <v>0</v>
      </c>
      <c r="AB38">
        <v>111</v>
      </c>
      <c r="AC38">
        <v>11.6</v>
      </c>
      <c r="AD38">
        <v>0</v>
      </c>
      <c r="AE38">
        <v>0</v>
      </c>
      <c r="AF38">
        <v>111</v>
      </c>
      <c r="AG38">
        <v>11.6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0.29</v>
      </c>
      <c r="AV38">
        <v>0</v>
      </c>
      <c r="AW38">
        <v>1</v>
      </c>
      <c r="AX38">
        <v>-1</v>
      </c>
      <c r="AY38">
        <v>0</v>
      </c>
      <c r="AZ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Y38*Source!I79</f>
        <v>0.686546</v>
      </c>
      <c r="CY38">
        <f>AB38</f>
        <v>111</v>
      </c>
      <c r="CZ38">
        <f>AF38</f>
        <v>111</v>
      </c>
      <c r="DA38">
        <f>AJ38</f>
        <v>1</v>
      </c>
      <c r="DB38">
        <f t="shared" si="2"/>
        <v>32.19</v>
      </c>
      <c r="DC38">
        <f t="shared" si="3"/>
        <v>3.36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55116550</v>
      </c>
      <c r="C1">
        <v>55116549</v>
      </c>
      <c r="D1">
        <v>53630071</v>
      </c>
      <c r="E1">
        <v>70</v>
      </c>
      <c r="F1">
        <v>1</v>
      </c>
      <c r="G1">
        <v>1</v>
      </c>
      <c r="H1">
        <v>1</v>
      </c>
      <c r="I1" t="s">
        <v>232</v>
      </c>
      <c r="K1" t="s">
        <v>233</v>
      </c>
      <c r="L1">
        <v>1191</v>
      </c>
      <c r="N1">
        <v>1013</v>
      </c>
      <c r="O1" t="s">
        <v>234</v>
      </c>
      <c r="P1" t="s">
        <v>234</v>
      </c>
      <c r="Q1">
        <v>1</v>
      </c>
      <c r="X1">
        <v>175</v>
      </c>
      <c r="Y1">
        <v>0</v>
      </c>
      <c r="Z1">
        <v>0</v>
      </c>
      <c r="AA1">
        <v>0</v>
      </c>
      <c r="AB1">
        <v>8.74</v>
      </c>
      <c r="AC1">
        <v>0</v>
      </c>
      <c r="AD1">
        <v>1</v>
      </c>
      <c r="AE1">
        <v>1</v>
      </c>
      <c r="AG1">
        <v>175</v>
      </c>
      <c r="AH1">
        <v>2</v>
      </c>
      <c r="AI1">
        <v>55116550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55116551</v>
      </c>
      <c r="C2">
        <v>55116549</v>
      </c>
      <c r="D2">
        <v>53630257</v>
      </c>
      <c r="E2">
        <v>70</v>
      </c>
      <c r="F2">
        <v>1</v>
      </c>
      <c r="G2">
        <v>1</v>
      </c>
      <c r="H2">
        <v>1</v>
      </c>
      <c r="I2" t="s">
        <v>235</v>
      </c>
      <c r="K2" t="s">
        <v>236</v>
      </c>
      <c r="L2">
        <v>1191</v>
      </c>
      <c r="N2">
        <v>1013</v>
      </c>
      <c r="O2" t="s">
        <v>234</v>
      </c>
      <c r="P2" t="s">
        <v>234</v>
      </c>
      <c r="Q2">
        <v>1</v>
      </c>
      <c r="X2">
        <v>0.5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0.5</v>
      </c>
      <c r="AH2">
        <v>2</v>
      </c>
      <c r="AI2">
        <v>55116551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55116552</v>
      </c>
      <c r="C3">
        <v>55116549</v>
      </c>
      <c r="D3">
        <v>53792191</v>
      </c>
      <c r="E3">
        <v>1</v>
      </c>
      <c r="F3">
        <v>1</v>
      </c>
      <c r="G3">
        <v>1</v>
      </c>
      <c r="H3">
        <v>2</v>
      </c>
      <c r="I3" t="s">
        <v>63</v>
      </c>
      <c r="J3" t="s">
        <v>65</v>
      </c>
      <c r="K3" t="s">
        <v>64</v>
      </c>
      <c r="L3">
        <v>1367</v>
      </c>
      <c r="N3">
        <v>1011</v>
      </c>
      <c r="O3" t="s">
        <v>55</v>
      </c>
      <c r="P3" t="s">
        <v>55</v>
      </c>
      <c r="Q3">
        <v>1</v>
      </c>
      <c r="X3">
        <v>0.25</v>
      </c>
      <c r="Y3">
        <v>0</v>
      </c>
      <c r="Z3">
        <v>31.26</v>
      </c>
      <c r="AA3">
        <v>13.5</v>
      </c>
      <c r="AB3">
        <v>0</v>
      </c>
      <c r="AC3">
        <v>0</v>
      </c>
      <c r="AD3">
        <v>1</v>
      </c>
      <c r="AE3">
        <v>0</v>
      </c>
      <c r="AG3">
        <v>0.25</v>
      </c>
      <c r="AH3">
        <v>2</v>
      </c>
      <c r="AI3">
        <v>55116552</v>
      </c>
      <c r="AJ3">
        <v>4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55116553</v>
      </c>
      <c r="C4">
        <v>55116549</v>
      </c>
      <c r="D4">
        <v>53792927</v>
      </c>
      <c r="E4">
        <v>1</v>
      </c>
      <c r="F4">
        <v>1</v>
      </c>
      <c r="G4">
        <v>1</v>
      </c>
      <c r="H4">
        <v>2</v>
      </c>
      <c r="I4" t="s">
        <v>237</v>
      </c>
      <c r="J4" t="s">
        <v>238</v>
      </c>
      <c r="K4" t="s">
        <v>239</v>
      </c>
      <c r="L4">
        <v>1367</v>
      </c>
      <c r="N4">
        <v>1011</v>
      </c>
      <c r="O4" t="s">
        <v>55</v>
      </c>
      <c r="P4" t="s">
        <v>55</v>
      </c>
      <c r="Q4">
        <v>1</v>
      </c>
      <c r="X4">
        <v>0.25</v>
      </c>
      <c r="Y4">
        <v>0</v>
      </c>
      <c r="Z4">
        <v>65.71</v>
      </c>
      <c r="AA4">
        <v>11.6</v>
      </c>
      <c r="AB4">
        <v>0</v>
      </c>
      <c r="AC4">
        <v>0</v>
      </c>
      <c r="AD4">
        <v>1</v>
      </c>
      <c r="AE4">
        <v>0</v>
      </c>
      <c r="AG4">
        <v>0.25</v>
      </c>
      <c r="AH4">
        <v>2</v>
      </c>
      <c r="AI4">
        <v>55116553</v>
      </c>
      <c r="AJ4">
        <v>5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55116554</v>
      </c>
      <c r="C5">
        <v>55116549</v>
      </c>
      <c r="D5">
        <v>53643063</v>
      </c>
      <c r="E5">
        <v>1</v>
      </c>
      <c r="F5">
        <v>1</v>
      </c>
      <c r="G5">
        <v>1</v>
      </c>
      <c r="H5">
        <v>3</v>
      </c>
      <c r="I5" t="s">
        <v>252</v>
      </c>
      <c r="J5" t="s">
        <v>253</v>
      </c>
      <c r="K5" t="s">
        <v>254</v>
      </c>
      <c r="L5">
        <v>1308</v>
      </c>
      <c r="N5">
        <v>1003</v>
      </c>
      <c r="O5" t="s">
        <v>69</v>
      </c>
      <c r="P5" t="s">
        <v>69</v>
      </c>
      <c r="Q5">
        <v>100</v>
      </c>
      <c r="X5">
        <v>0</v>
      </c>
      <c r="Y5">
        <v>2500</v>
      </c>
      <c r="Z5">
        <v>0</v>
      </c>
      <c r="AA5">
        <v>0</v>
      </c>
      <c r="AB5">
        <v>0</v>
      </c>
      <c r="AC5">
        <v>1</v>
      </c>
      <c r="AD5">
        <v>0</v>
      </c>
      <c r="AE5">
        <v>0</v>
      </c>
      <c r="AG5">
        <v>0</v>
      </c>
      <c r="AH5">
        <v>3</v>
      </c>
      <c r="AI5">
        <v>-1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55116555</v>
      </c>
      <c r="C6">
        <v>55116549</v>
      </c>
      <c r="D6">
        <v>53644920</v>
      </c>
      <c r="E6">
        <v>1</v>
      </c>
      <c r="F6">
        <v>1</v>
      </c>
      <c r="G6">
        <v>1</v>
      </c>
      <c r="H6">
        <v>3</v>
      </c>
      <c r="I6" t="s">
        <v>240</v>
      </c>
      <c r="J6" t="s">
        <v>241</v>
      </c>
      <c r="K6" t="s">
        <v>242</v>
      </c>
      <c r="L6">
        <v>1348</v>
      </c>
      <c r="N6">
        <v>1009</v>
      </c>
      <c r="O6" t="s">
        <v>51</v>
      </c>
      <c r="P6" t="s">
        <v>51</v>
      </c>
      <c r="Q6">
        <v>1000</v>
      </c>
      <c r="X6">
        <v>0.0004</v>
      </c>
      <c r="Y6">
        <v>9713.4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0.0004</v>
      </c>
      <c r="AH6">
        <v>2</v>
      </c>
      <c r="AI6">
        <v>55116555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ROW(Source!A28)</f>
        <v>28</v>
      </c>
      <c r="B7">
        <v>55116556</v>
      </c>
      <c r="C7">
        <v>55116549</v>
      </c>
      <c r="D7">
        <v>53646032</v>
      </c>
      <c r="E7">
        <v>1</v>
      </c>
      <c r="F7">
        <v>1</v>
      </c>
      <c r="G7">
        <v>1</v>
      </c>
      <c r="H7">
        <v>3</v>
      </c>
      <c r="I7" t="s">
        <v>243</v>
      </c>
      <c r="J7" t="s">
        <v>244</v>
      </c>
      <c r="K7" t="s">
        <v>245</v>
      </c>
      <c r="L7">
        <v>1346</v>
      </c>
      <c r="N7">
        <v>1009</v>
      </c>
      <c r="O7" t="s">
        <v>246</v>
      </c>
      <c r="P7" t="s">
        <v>246</v>
      </c>
      <c r="Q7">
        <v>1</v>
      </c>
      <c r="X7">
        <v>0.2</v>
      </c>
      <c r="Y7">
        <v>1.82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0.2</v>
      </c>
      <c r="AH7">
        <v>2</v>
      </c>
      <c r="AI7">
        <v>55116556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ROW(Source!A28)</f>
        <v>28</v>
      </c>
      <c r="B8">
        <v>55116557</v>
      </c>
      <c r="C8">
        <v>55116549</v>
      </c>
      <c r="D8">
        <v>53630840</v>
      </c>
      <c r="E8">
        <v>70</v>
      </c>
      <c r="F8">
        <v>1</v>
      </c>
      <c r="G8">
        <v>1</v>
      </c>
      <c r="H8">
        <v>3</v>
      </c>
      <c r="I8" t="s">
        <v>269</v>
      </c>
      <c r="K8" t="s">
        <v>270</v>
      </c>
      <c r="L8">
        <v>1327</v>
      </c>
      <c r="N8">
        <v>1005</v>
      </c>
      <c r="O8" t="s">
        <v>271</v>
      </c>
      <c r="P8" t="s">
        <v>271</v>
      </c>
      <c r="Q8">
        <v>1</v>
      </c>
      <c r="X8">
        <v>102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>
        <v>102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ROW(Source!A28)</f>
        <v>28</v>
      </c>
      <c r="B9">
        <v>55116558</v>
      </c>
      <c r="C9">
        <v>55116549</v>
      </c>
      <c r="D9">
        <v>53632669</v>
      </c>
      <c r="E9">
        <v>70</v>
      </c>
      <c r="F9">
        <v>1</v>
      </c>
      <c r="G9">
        <v>1</v>
      </c>
      <c r="H9">
        <v>3</v>
      </c>
      <c r="I9" t="s">
        <v>272</v>
      </c>
      <c r="K9" t="s">
        <v>273</v>
      </c>
      <c r="L9">
        <v>1301</v>
      </c>
      <c r="N9">
        <v>1003</v>
      </c>
      <c r="O9" t="s">
        <v>274</v>
      </c>
      <c r="P9" t="s">
        <v>274</v>
      </c>
      <c r="Q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0</v>
      </c>
      <c r="AE9">
        <v>0</v>
      </c>
      <c r="AG9">
        <v>0</v>
      </c>
      <c r="AH9">
        <v>3</v>
      </c>
      <c r="AI9">
        <v>-1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ROW(Source!A28)</f>
        <v>28</v>
      </c>
      <c r="B10">
        <v>55116559</v>
      </c>
      <c r="C10">
        <v>55116549</v>
      </c>
      <c r="D10">
        <v>53674525</v>
      </c>
      <c r="E10">
        <v>1</v>
      </c>
      <c r="F10">
        <v>1</v>
      </c>
      <c r="G10">
        <v>1</v>
      </c>
      <c r="H10">
        <v>3</v>
      </c>
      <c r="I10" t="s">
        <v>247</v>
      </c>
      <c r="J10" t="s">
        <v>248</v>
      </c>
      <c r="K10" t="s">
        <v>249</v>
      </c>
      <c r="L10">
        <v>1346</v>
      </c>
      <c r="N10">
        <v>1009</v>
      </c>
      <c r="O10" t="s">
        <v>246</v>
      </c>
      <c r="P10" t="s">
        <v>246</v>
      </c>
      <c r="Q10">
        <v>1</v>
      </c>
      <c r="X10">
        <v>56</v>
      </c>
      <c r="Y10">
        <v>19.61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56</v>
      </c>
      <c r="AH10">
        <v>2</v>
      </c>
      <c r="AI10">
        <v>55116559</v>
      </c>
      <c r="AJ10">
        <v>8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ROW(Source!A28)</f>
        <v>28</v>
      </c>
      <c r="B11">
        <v>55116560</v>
      </c>
      <c r="C11">
        <v>55116549</v>
      </c>
      <c r="D11">
        <v>53634988</v>
      </c>
      <c r="E11">
        <v>70</v>
      </c>
      <c r="F11">
        <v>1</v>
      </c>
      <c r="G11">
        <v>1</v>
      </c>
      <c r="H11">
        <v>3</v>
      </c>
      <c r="I11" t="s">
        <v>49</v>
      </c>
      <c r="K11" t="s">
        <v>50</v>
      </c>
      <c r="L11">
        <v>1348</v>
      </c>
      <c r="N11">
        <v>1009</v>
      </c>
      <c r="O11" t="s">
        <v>51</v>
      </c>
      <c r="P11" t="s">
        <v>51</v>
      </c>
      <c r="Q11">
        <v>1000</v>
      </c>
      <c r="X11">
        <v>1.2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G11">
        <v>1.2</v>
      </c>
      <c r="AH11">
        <v>2</v>
      </c>
      <c r="AI11">
        <v>55116560</v>
      </c>
      <c r="AJ11">
        <v>9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55116550</v>
      </c>
      <c r="C12">
        <v>55116549</v>
      </c>
      <c r="D12">
        <v>53630071</v>
      </c>
      <c r="E12">
        <v>70</v>
      </c>
      <c r="F12">
        <v>1</v>
      </c>
      <c r="G12">
        <v>1</v>
      </c>
      <c r="H12">
        <v>1</v>
      </c>
      <c r="I12" t="s">
        <v>232</v>
      </c>
      <c r="K12" t="s">
        <v>233</v>
      </c>
      <c r="L12">
        <v>1191</v>
      </c>
      <c r="N12">
        <v>1013</v>
      </c>
      <c r="O12" t="s">
        <v>234</v>
      </c>
      <c r="P12" t="s">
        <v>234</v>
      </c>
      <c r="Q12">
        <v>1</v>
      </c>
      <c r="X12">
        <v>175</v>
      </c>
      <c r="Y12">
        <v>0</v>
      </c>
      <c r="Z12">
        <v>0</v>
      </c>
      <c r="AA12">
        <v>0</v>
      </c>
      <c r="AB12">
        <v>8.74</v>
      </c>
      <c r="AC12">
        <v>0</v>
      </c>
      <c r="AD12">
        <v>1</v>
      </c>
      <c r="AE12">
        <v>1</v>
      </c>
      <c r="AG12">
        <v>175</v>
      </c>
      <c r="AH12">
        <v>2</v>
      </c>
      <c r="AI12">
        <v>55116550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ROW(Source!A29)</f>
        <v>29</v>
      </c>
      <c r="B13">
        <v>55116551</v>
      </c>
      <c r="C13">
        <v>55116549</v>
      </c>
      <c r="D13">
        <v>53630257</v>
      </c>
      <c r="E13">
        <v>70</v>
      </c>
      <c r="F13">
        <v>1</v>
      </c>
      <c r="G13">
        <v>1</v>
      </c>
      <c r="H13">
        <v>1</v>
      </c>
      <c r="I13" t="s">
        <v>235</v>
      </c>
      <c r="K13" t="s">
        <v>236</v>
      </c>
      <c r="L13">
        <v>1191</v>
      </c>
      <c r="N13">
        <v>1013</v>
      </c>
      <c r="O13" t="s">
        <v>234</v>
      </c>
      <c r="P13" t="s">
        <v>234</v>
      </c>
      <c r="Q13">
        <v>1</v>
      </c>
      <c r="X13">
        <v>0.5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G13">
        <v>0.5</v>
      </c>
      <c r="AH13">
        <v>2</v>
      </c>
      <c r="AI13">
        <v>55116551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ROW(Source!A29)</f>
        <v>29</v>
      </c>
      <c r="B14">
        <v>55116552</v>
      </c>
      <c r="C14">
        <v>55116549</v>
      </c>
      <c r="D14">
        <v>53792191</v>
      </c>
      <c r="E14">
        <v>1</v>
      </c>
      <c r="F14">
        <v>1</v>
      </c>
      <c r="G14">
        <v>1</v>
      </c>
      <c r="H14">
        <v>2</v>
      </c>
      <c r="I14" t="s">
        <v>63</v>
      </c>
      <c r="J14" t="s">
        <v>65</v>
      </c>
      <c r="K14" t="s">
        <v>64</v>
      </c>
      <c r="L14">
        <v>1367</v>
      </c>
      <c r="N14">
        <v>1011</v>
      </c>
      <c r="O14" t="s">
        <v>55</v>
      </c>
      <c r="P14" t="s">
        <v>55</v>
      </c>
      <c r="Q14">
        <v>1</v>
      </c>
      <c r="X14">
        <v>0.25</v>
      </c>
      <c r="Y14">
        <v>0</v>
      </c>
      <c r="Z14">
        <v>31.26</v>
      </c>
      <c r="AA14">
        <v>13.5</v>
      </c>
      <c r="AB14">
        <v>0</v>
      </c>
      <c r="AC14">
        <v>0</v>
      </c>
      <c r="AD14">
        <v>1</v>
      </c>
      <c r="AE14">
        <v>0</v>
      </c>
      <c r="AG14">
        <v>0.25</v>
      </c>
      <c r="AH14">
        <v>2</v>
      </c>
      <c r="AI14">
        <v>55116552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ROW(Source!A29)</f>
        <v>29</v>
      </c>
      <c r="B15">
        <v>55116553</v>
      </c>
      <c r="C15">
        <v>55116549</v>
      </c>
      <c r="D15">
        <v>53792927</v>
      </c>
      <c r="E15">
        <v>1</v>
      </c>
      <c r="F15">
        <v>1</v>
      </c>
      <c r="G15">
        <v>1</v>
      </c>
      <c r="H15">
        <v>2</v>
      </c>
      <c r="I15" t="s">
        <v>237</v>
      </c>
      <c r="J15" t="s">
        <v>238</v>
      </c>
      <c r="K15" t="s">
        <v>239</v>
      </c>
      <c r="L15">
        <v>1367</v>
      </c>
      <c r="N15">
        <v>1011</v>
      </c>
      <c r="O15" t="s">
        <v>55</v>
      </c>
      <c r="P15" t="s">
        <v>55</v>
      </c>
      <c r="Q15">
        <v>1</v>
      </c>
      <c r="X15">
        <v>0.25</v>
      </c>
      <c r="Y15">
        <v>0</v>
      </c>
      <c r="Z15">
        <v>65.71</v>
      </c>
      <c r="AA15">
        <v>11.6</v>
      </c>
      <c r="AB15">
        <v>0</v>
      </c>
      <c r="AC15">
        <v>0</v>
      </c>
      <c r="AD15">
        <v>1</v>
      </c>
      <c r="AE15">
        <v>0</v>
      </c>
      <c r="AG15">
        <v>0.25</v>
      </c>
      <c r="AH15">
        <v>2</v>
      </c>
      <c r="AI15">
        <v>55116553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55116554</v>
      </c>
      <c r="C16">
        <v>55116549</v>
      </c>
      <c r="D16">
        <v>53643063</v>
      </c>
      <c r="E16">
        <v>1</v>
      </c>
      <c r="F16">
        <v>1</v>
      </c>
      <c r="G16">
        <v>1</v>
      </c>
      <c r="H16">
        <v>3</v>
      </c>
      <c r="I16" t="s">
        <v>252</v>
      </c>
      <c r="J16" t="s">
        <v>253</v>
      </c>
      <c r="K16" t="s">
        <v>254</v>
      </c>
      <c r="L16">
        <v>1308</v>
      </c>
      <c r="N16">
        <v>1003</v>
      </c>
      <c r="O16" t="s">
        <v>69</v>
      </c>
      <c r="P16" t="s">
        <v>69</v>
      </c>
      <c r="Q16">
        <v>100</v>
      </c>
      <c r="X16">
        <v>0</v>
      </c>
      <c r="Y16">
        <v>2500</v>
      </c>
      <c r="Z16">
        <v>0</v>
      </c>
      <c r="AA16">
        <v>0</v>
      </c>
      <c r="AB16">
        <v>0</v>
      </c>
      <c r="AC16">
        <v>1</v>
      </c>
      <c r="AD16">
        <v>0</v>
      </c>
      <c r="AE16">
        <v>0</v>
      </c>
      <c r="AG16">
        <v>0</v>
      </c>
      <c r="AH16">
        <v>3</v>
      </c>
      <c r="AI16">
        <v>-1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55116555</v>
      </c>
      <c r="C17">
        <v>55116549</v>
      </c>
      <c r="D17">
        <v>53644920</v>
      </c>
      <c r="E17">
        <v>1</v>
      </c>
      <c r="F17">
        <v>1</v>
      </c>
      <c r="G17">
        <v>1</v>
      </c>
      <c r="H17">
        <v>3</v>
      </c>
      <c r="I17" t="s">
        <v>240</v>
      </c>
      <c r="J17" t="s">
        <v>241</v>
      </c>
      <c r="K17" t="s">
        <v>242</v>
      </c>
      <c r="L17">
        <v>1348</v>
      </c>
      <c r="N17">
        <v>1009</v>
      </c>
      <c r="O17" t="s">
        <v>51</v>
      </c>
      <c r="P17" t="s">
        <v>51</v>
      </c>
      <c r="Q17">
        <v>1000</v>
      </c>
      <c r="X17">
        <v>0.0004</v>
      </c>
      <c r="Y17">
        <v>9713.4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0.0004</v>
      </c>
      <c r="AH17">
        <v>2</v>
      </c>
      <c r="AI17">
        <v>55116555</v>
      </c>
      <c r="AJ17">
        <v>16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55116556</v>
      </c>
      <c r="C18">
        <v>55116549</v>
      </c>
      <c r="D18">
        <v>53646032</v>
      </c>
      <c r="E18">
        <v>1</v>
      </c>
      <c r="F18">
        <v>1</v>
      </c>
      <c r="G18">
        <v>1</v>
      </c>
      <c r="H18">
        <v>3</v>
      </c>
      <c r="I18" t="s">
        <v>243</v>
      </c>
      <c r="J18" t="s">
        <v>244</v>
      </c>
      <c r="K18" t="s">
        <v>245</v>
      </c>
      <c r="L18">
        <v>1346</v>
      </c>
      <c r="N18">
        <v>1009</v>
      </c>
      <c r="O18" t="s">
        <v>246</v>
      </c>
      <c r="P18" t="s">
        <v>246</v>
      </c>
      <c r="Q18">
        <v>1</v>
      </c>
      <c r="X18">
        <v>0.2</v>
      </c>
      <c r="Y18">
        <v>1.82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0.2</v>
      </c>
      <c r="AH18">
        <v>2</v>
      </c>
      <c r="AI18">
        <v>55116556</v>
      </c>
      <c r="AJ18">
        <v>17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55116557</v>
      </c>
      <c r="C19">
        <v>55116549</v>
      </c>
      <c r="D19">
        <v>53630840</v>
      </c>
      <c r="E19">
        <v>70</v>
      </c>
      <c r="F19">
        <v>1</v>
      </c>
      <c r="G19">
        <v>1</v>
      </c>
      <c r="H19">
        <v>3</v>
      </c>
      <c r="I19" t="s">
        <v>269</v>
      </c>
      <c r="K19" t="s">
        <v>270</v>
      </c>
      <c r="L19">
        <v>1327</v>
      </c>
      <c r="N19">
        <v>1005</v>
      </c>
      <c r="O19" t="s">
        <v>271</v>
      </c>
      <c r="P19" t="s">
        <v>271</v>
      </c>
      <c r="Q19">
        <v>1</v>
      </c>
      <c r="X19">
        <v>102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102</v>
      </c>
      <c r="AH19">
        <v>3</v>
      </c>
      <c r="AI19">
        <v>-1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ROW(Source!A29)</f>
        <v>29</v>
      </c>
      <c r="B20">
        <v>55116558</v>
      </c>
      <c r="C20">
        <v>55116549</v>
      </c>
      <c r="D20">
        <v>53632669</v>
      </c>
      <c r="E20">
        <v>70</v>
      </c>
      <c r="F20">
        <v>1</v>
      </c>
      <c r="G20">
        <v>1</v>
      </c>
      <c r="H20">
        <v>3</v>
      </c>
      <c r="I20" t="s">
        <v>272</v>
      </c>
      <c r="K20" t="s">
        <v>273</v>
      </c>
      <c r="L20">
        <v>1301</v>
      </c>
      <c r="N20">
        <v>1003</v>
      </c>
      <c r="O20" t="s">
        <v>274</v>
      </c>
      <c r="P20" t="s">
        <v>274</v>
      </c>
      <c r="Q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G20">
        <v>0</v>
      </c>
      <c r="AH20">
        <v>3</v>
      </c>
      <c r="AI20">
        <v>-1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ROW(Source!A29)</f>
        <v>29</v>
      </c>
      <c r="B21">
        <v>55116559</v>
      </c>
      <c r="C21">
        <v>55116549</v>
      </c>
      <c r="D21">
        <v>53674525</v>
      </c>
      <c r="E21">
        <v>1</v>
      </c>
      <c r="F21">
        <v>1</v>
      </c>
      <c r="G21">
        <v>1</v>
      </c>
      <c r="H21">
        <v>3</v>
      </c>
      <c r="I21" t="s">
        <v>247</v>
      </c>
      <c r="J21" t="s">
        <v>248</v>
      </c>
      <c r="K21" t="s">
        <v>249</v>
      </c>
      <c r="L21">
        <v>1346</v>
      </c>
      <c r="N21">
        <v>1009</v>
      </c>
      <c r="O21" t="s">
        <v>246</v>
      </c>
      <c r="P21" t="s">
        <v>246</v>
      </c>
      <c r="Q21">
        <v>1</v>
      </c>
      <c r="X21">
        <v>56</v>
      </c>
      <c r="Y21">
        <v>19.61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56</v>
      </c>
      <c r="AH21">
        <v>2</v>
      </c>
      <c r="AI21">
        <v>55116559</v>
      </c>
      <c r="AJ21">
        <v>18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ROW(Source!A29)</f>
        <v>29</v>
      </c>
      <c r="B22">
        <v>55116560</v>
      </c>
      <c r="C22">
        <v>55116549</v>
      </c>
      <c r="D22">
        <v>53634988</v>
      </c>
      <c r="E22">
        <v>70</v>
      </c>
      <c r="F22">
        <v>1</v>
      </c>
      <c r="G22">
        <v>1</v>
      </c>
      <c r="H22">
        <v>3</v>
      </c>
      <c r="I22" t="s">
        <v>49</v>
      </c>
      <c r="K22" t="s">
        <v>50</v>
      </c>
      <c r="L22">
        <v>1348</v>
      </c>
      <c r="N22">
        <v>1009</v>
      </c>
      <c r="O22" t="s">
        <v>51</v>
      </c>
      <c r="P22" t="s">
        <v>51</v>
      </c>
      <c r="Q22">
        <v>1000</v>
      </c>
      <c r="X22">
        <v>1.2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G22">
        <v>1.2</v>
      </c>
      <c r="AH22">
        <v>2</v>
      </c>
      <c r="AI22">
        <v>55116560</v>
      </c>
      <c r="AJ22">
        <v>19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ROW(Source!A38)</f>
        <v>38</v>
      </c>
      <c r="B23">
        <v>55240624</v>
      </c>
      <c r="C23">
        <v>55240623</v>
      </c>
      <c r="D23">
        <v>53630083</v>
      </c>
      <c r="E23">
        <v>70</v>
      </c>
      <c r="F23">
        <v>1</v>
      </c>
      <c r="G23">
        <v>1</v>
      </c>
      <c r="H23">
        <v>1</v>
      </c>
      <c r="I23" t="s">
        <v>250</v>
      </c>
      <c r="K23" t="s">
        <v>251</v>
      </c>
      <c r="L23">
        <v>1191</v>
      </c>
      <c r="N23">
        <v>1013</v>
      </c>
      <c r="O23" t="s">
        <v>234</v>
      </c>
      <c r="P23" t="s">
        <v>234</v>
      </c>
      <c r="Q23">
        <v>1</v>
      </c>
      <c r="X23">
        <v>6.43</v>
      </c>
      <c r="Y23">
        <v>0</v>
      </c>
      <c r="Z23">
        <v>0</v>
      </c>
      <c r="AA23">
        <v>0</v>
      </c>
      <c r="AB23">
        <v>9.07</v>
      </c>
      <c r="AC23">
        <v>0</v>
      </c>
      <c r="AD23">
        <v>1</v>
      </c>
      <c r="AE23">
        <v>1</v>
      </c>
      <c r="AF23" t="s">
        <v>72</v>
      </c>
      <c r="AG23">
        <v>7.394499999999999</v>
      </c>
      <c r="AH23">
        <v>2</v>
      </c>
      <c r="AI23">
        <v>55240624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ROW(Source!A38)</f>
        <v>38</v>
      </c>
      <c r="B24">
        <v>55240625</v>
      </c>
      <c r="C24">
        <v>55240623</v>
      </c>
      <c r="D24">
        <v>53630257</v>
      </c>
      <c r="E24">
        <v>70</v>
      </c>
      <c r="F24">
        <v>1</v>
      </c>
      <c r="G24">
        <v>1</v>
      </c>
      <c r="H24">
        <v>1</v>
      </c>
      <c r="I24" t="s">
        <v>235</v>
      </c>
      <c r="K24" t="s">
        <v>236</v>
      </c>
      <c r="L24">
        <v>1191</v>
      </c>
      <c r="N24">
        <v>1013</v>
      </c>
      <c r="O24" t="s">
        <v>234</v>
      </c>
      <c r="P24" t="s">
        <v>234</v>
      </c>
      <c r="Q24">
        <v>1</v>
      </c>
      <c r="X24">
        <v>0.13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71</v>
      </c>
      <c r="AG24">
        <v>0.1625</v>
      </c>
      <c r="AH24">
        <v>2</v>
      </c>
      <c r="AI24">
        <v>55240625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ROW(Source!A38)</f>
        <v>38</v>
      </c>
      <c r="B25">
        <v>55240626</v>
      </c>
      <c r="C25">
        <v>55240623</v>
      </c>
      <c r="D25">
        <v>53792927</v>
      </c>
      <c r="E25">
        <v>1</v>
      </c>
      <c r="F25">
        <v>1</v>
      </c>
      <c r="G25">
        <v>1</v>
      </c>
      <c r="H25">
        <v>2</v>
      </c>
      <c r="I25" t="s">
        <v>237</v>
      </c>
      <c r="J25" t="s">
        <v>238</v>
      </c>
      <c r="K25" t="s">
        <v>239</v>
      </c>
      <c r="L25">
        <v>1367</v>
      </c>
      <c r="N25">
        <v>1011</v>
      </c>
      <c r="O25" t="s">
        <v>55</v>
      </c>
      <c r="P25" t="s">
        <v>55</v>
      </c>
      <c r="Q25">
        <v>1</v>
      </c>
      <c r="X25">
        <v>0.13</v>
      </c>
      <c r="Y25">
        <v>0</v>
      </c>
      <c r="Z25">
        <v>65.71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71</v>
      </c>
      <c r="AG25">
        <v>0.1625</v>
      </c>
      <c r="AH25">
        <v>2</v>
      </c>
      <c r="AI25">
        <v>55240626</v>
      </c>
      <c r="AJ25">
        <v>23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ROW(Source!A38)</f>
        <v>38</v>
      </c>
      <c r="B26">
        <v>55240627</v>
      </c>
      <c r="C26">
        <v>55240623</v>
      </c>
      <c r="D26">
        <v>53643063</v>
      </c>
      <c r="E26">
        <v>1</v>
      </c>
      <c r="F26">
        <v>1</v>
      </c>
      <c r="G26">
        <v>1</v>
      </c>
      <c r="H26">
        <v>3</v>
      </c>
      <c r="I26" t="s">
        <v>252</v>
      </c>
      <c r="J26" t="s">
        <v>253</v>
      </c>
      <c r="K26" t="s">
        <v>254</v>
      </c>
      <c r="L26">
        <v>1308</v>
      </c>
      <c r="N26">
        <v>1003</v>
      </c>
      <c r="O26" t="s">
        <v>69</v>
      </c>
      <c r="P26" t="s">
        <v>69</v>
      </c>
      <c r="Q26">
        <v>100</v>
      </c>
      <c r="X26">
        <v>1.05</v>
      </c>
      <c r="Y26">
        <v>2500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1.05</v>
      </c>
      <c r="AH26">
        <v>2</v>
      </c>
      <c r="AI26">
        <v>55240627</v>
      </c>
      <c r="AJ26">
        <v>24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ROW(Source!A38)</f>
        <v>38</v>
      </c>
      <c r="B27">
        <v>55240628</v>
      </c>
      <c r="C27">
        <v>55240623</v>
      </c>
      <c r="D27">
        <v>53674553</v>
      </c>
      <c r="E27">
        <v>1</v>
      </c>
      <c r="F27">
        <v>1</v>
      </c>
      <c r="G27">
        <v>1</v>
      </c>
      <c r="H27">
        <v>3</v>
      </c>
      <c r="I27" t="s">
        <v>255</v>
      </c>
      <c r="J27" t="s">
        <v>256</v>
      </c>
      <c r="K27" t="s">
        <v>257</v>
      </c>
      <c r="L27">
        <v>1348</v>
      </c>
      <c r="N27">
        <v>1009</v>
      </c>
      <c r="O27" t="s">
        <v>51</v>
      </c>
      <c r="P27" t="s">
        <v>51</v>
      </c>
      <c r="Q27">
        <v>1000</v>
      </c>
      <c r="X27">
        <v>0.012</v>
      </c>
      <c r="Y27">
        <v>24553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0.012</v>
      </c>
      <c r="AH27">
        <v>2</v>
      </c>
      <c r="AI27">
        <v>55240628</v>
      </c>
      <c r="AJ27">
        <v>25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ROW(Source!A39)</f>
        <v>39</v>
      </c>
      <c r="B28">
        <v>55240624</v>
      </c>
      <c r="C28">
        <v>55240623</v>
      </c>
      <c r="D28">
        <v>53630083</v>
      </c>
      <c r="E28">
        <v>70</v>
      </c>
      <c r="F28">
        <v>1</v>
      </c>
      <c r="G28">
        <v>1</v>
      </c>
      <c r="H28">
        <v>1</v>
      </c>
      <c r="I28" t="s">
        <v>250</v>
      </c>
      <c r="K28" t="s">
        <v>251</v>
      </c>
      <c r="L28">
        <v>1191</v>
      </c>
      <c r="N28">
        <v>1013</v>
      </c>
      <c r="O28" t="s">
        <v>234</v>
      </c>
      <c r="P28" t="s">
        <v>234</v>
      </c>
      <c r="Q28">
        <v>1</v>
      </c>
      <c r="X28">
        <v>6.43</v>
      </c>
      <c r="Y28">
        <v>0</v>
      </c>
      <c r="Z28">
        <v>0</v>
      </c>
      <c r="AA28">
        <v>0</v>
      </c>
      <c r="AB28">
        <v>9.07</v>
      </c>
      <c r="AC28">
        <v>0</v>
      </c>
      <c r="AD28">
        <v>1</v>
      </c>
      <c r="AE28">
        <v>1</v>
      </c>
      <c r="AF28" t="s">
        <v>72</v>
      </c>
      <c r="AG28">
        <v>7.394499999999999</v>
      </c>
      <c r="AH28">
        <v>2</v>
      </c>
      <c r="AI28">
        <v>55240624</v>
      </c>
      <c r="AJ28">
        <v>26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ROW(Source!A39)</f>
        <v>39</v>
      </c>
      <c r="B29">
        <v>55240625</v>
      </c>
      <c r="C29">
        <v>55240623</v>
      </c>
      <c r="D29">
        <v>53630257</v>
      </c>
      <c r="E29">
        <v>70</v>
      </c>
      <c r="F29">
        <v>1</v>
      </c>
      <c r="G29">
        <v>1</v>
      </c>
      <c r="H29">
        <v>1</v>
      </c>
      <c r="I29" t="s">
        <v>235</v>
      </c>
      <c r="K29" t="s">
        <v>236</v>
      </c>
      <c r="L29">
        <v>1191</v>
      </c>
      <c r="N29">
        <v>1013</v>
      </c>
      <c r="O29" t="s">
        <v>234</v>
      </c>
      <c r="P29" t="s">
        <v>234</v>
      </c>
      <c r="Q29">
        <v>1</v>
      </c>
      <c r="X29">
        <v>0.13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2</v>
      </c>
      <c r="AF29" t="s">
        <v>71</v>
      </c>
      <c r="AG29">
        <v>0.1625</v>
      </c>
      <c r="AH29">
        <v>2</v>
      </c>
      <c r="AI29">
        <v>55240625</v>
      </c>
      <c r="AJ29">
        <v>27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ROW(Source!A39)</f>
        <v>39</v>
      </c>
      <c r="B30">
        <v>55240626</v>
      </c>
      <c r="C30">
        <v>55240623</v>
      </c>
      <c r="D30">
        <v>53792927</v>
      </c>
      <c r="E30">
        <v>1</v>
      </c>
      <c r="F30">
        <v>1</v>
      </c>
      <c r="G30">
        <v>1</v>
      </c>
      <c r="H30">
        <v>2</v>
      </c>
      <c r="I30" t="s">
        <v>237</v>
      </c>
      <c r="J30" t="s">
        <v>238</v>
      </c>
      <c r="K30" t="s">
        <v>239</v>
      </c>
      <c r="L30">
        <v>1367</v>
      </c>
      <c r="N30">
        <v>1011</v>
      </c>
      <c r="O30" t="s">
        <v>55</v>
      </c>
      <c r="P30" t="s">
        <v>55</v>
      </c>
      <c r="Q30">
        <v>1</v>
      </c>
      <c r="X30">
        <v>0.13</v>
      </c>
      <c r="Y30">
        <v>0</v>
      </c>
      <c r="Z30">
        <v>65.71</v>
      </c>
      <c r="AA30">
        <v>11.6</v>
      </c>
      <c r="AB30">
        <v>0</v>
      </c>
      <c r="AC30">
        <v>0</v>
      </c>
      <c r="AD30">
        <v>1</v>
      </c>
      <c r="AE30">
        <v>0</v>
      </c>
      <c r="AF30" t="s">
        <v>71</v>
      </c>
      <c r="AG30">
        <v>0.1625</v>
      </c>
      <c r="AH30">
        <v>2</v>
      </c>
      <c r="AI30">
        <v>55240626</v>
      </c>
      <c r="AJ30">
        <v>28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ROW(Source!A39)</f>
        <v>39</v>
      </c>
      <c r="B31">
        <v>55240627</v>
      </c>
      <c r="C31">
        <v>55240623</v>
      </c>
      <c r="D31">
        <v>53643063</v>
      </c>
      <c r="E31">
        <v>1</v>
      </c>
      <c r="F31">
        <v>1</v>
      </c>
      <c r="G31">
        <v>1</v>
      </c>
      <c r="H31">
        <v>3</v>
      </c>
      <c r="I31" t="s">
        <v>252</v>
      </c>
      <c r="J31" t="s">
        <v>253</v>
      </c>
      <c r="K31" t="s">
        <v>254</v>
      </c>
      <c r="L31">
        <v>1308</v>
      </c>
      <c r="N31">
        <v>1003</v>
      </c>
      <c r="O31" t="s">
        <v>69</v>
      </c>
      <c r="P31" t="s">
        <v>69</v>
      </c>
      <c r="Q31">
        <v>100</v>
      </c>
      <c r="X31">
        <v>1.05</v>
      </c>
      <c r="Y31">
        <v>2500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1.05</v>
      </c>
      <c r="AH31">
        <v>2</v>
      </c>
      <c r="AI31">
        <v>55240627</v>
      </c>
      <c r="AJ31">
        <v>29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ROW(Source!A39)</f>
        <v>39</v>
      </c>
      <c r="B32">
        <v>55240628</v>
      </c>
      <c r="C32">
        <v>55240623</v>
      </c>
      <c r="D32">
        <v>53674553</v>
      </c>
      <c r="E32">
        <v>1</v>
      </c>
      <c r="F32">
        <v>1</v>
      </c>
      <c r="G32">
        <v>1</v>
      </c>
      <c r="H32">
        <v>3</v>
      </c>
      <c r="I32" t="s">
        <v>255</v>
      </c>
      <c r="J32" t="s">
        <v>256</v>
      </c>
      <c r="K32" t="s">
        <v>257</v>
      </c>
      <c r="L32">
        <v>1348</v>
      </c>
      <c r="N32">
        <v>1009</v>
      </c>
      <c r="O32" t="s">
        <v>51</v>
      </c>
      <c r="P32" t="s">
        <v>51</v>
      </c>
      <c r="Q32">
        <v>1000</v>
      </c>
      <c r="X32">
        <v>0.012</v>
      </c>
      <c r="Y32">
        <v>24553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0.012</v>
      </c>
      <c r="AH32">
        <v>2</v>
      </c>
      <c r="AI32">
        <v>55240628</v>
      </c>
      <c r="AJ32">
        <v>30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ROW(Source!A76)</f>
        <v>76</v>
      </c>
      <c r="B33">
        <v>55116015</v>
      </c>
      <c r="C33">
        <v>55116012</v>
      </c>
      <c r="D33">
        <v>44800161</v>
      </c>
      <c r="E33">
        <v>54</v>
      </c>
      <c r="F33">
        <v>1</v>
      </c>
      <c r="G33">
        <v>1</v>
      </c>
      <c r="H33">
        <v>1</v>
      </c>
      <c r="I33" t="s">
        <v>275</v>
      </c>
      <c r="K33" t="s">
        <v>276</v>
      </c>
      <c r="L33">
        <v>1191</v>
      </c>
      <c r="N33">
        <v>1013</v>
      </c>
      <c r="O33" t="s">
        <v>234</v>
      </c>
      <c r="P33" t="s">
        <v>234</v>
      </c>
      <c r="Q33">
        <v>1</v>
      </c>
      <c r="X33">
        <v>1.03</v>
      </c>
      <c r="Y33">
        <v>0</v>
      </c>
      <c r="Z33">
        <v>0</v>
      </c>
      <c r="AA33">
        <v>0</v>
      </c>
      <c r="AB33">
        <v>7.19</v>
      </c>
      <c r="AC33">
        <v>0</v>
      </c>
      <c r="AD33">
        <v>1</v>
      </c>
      <c r="AE33">
        <v>1</v>
      </c>
      <c r="AG33">
        <v>1.03</v>
      </c>
      <c r="AH33">
        <v>3</v>
      </c>
      <c r="AI33">
        <v>-1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ROW(Source!A76)</f>
        <v>76</v>
      </c>
      <c r="B34">
        <v>55116016</v>
      </c>
      <c r="C34">
        <v>55116012</v>
      </c>
      <c r="D34">
        <v>44816375</v>
      </c>
      <c r="E34">
        <v>1</v>
      </c>
      <c r="F34">
        <v>1</v>
      </c>
      <c r="G34">
        <v>1</v>
      </c>
      <c r="H34">
        <v>3</v>
      </c>
      <c r="I34" t="s">
        <v>277</v>
      </c>
      <c r="J34" t="s">
        <v>278</v>
      </c>
      <c r="K34" t="s">
        <v>263</v>
      </c>
      <c r="L34">
        <v>1425</v>
      </c>
      <c r="N34">
        <v>1013</v>
      </c>
      <c r="O34" t="s">
        <v>279</v>
      </c>
      <c r="P34" t="s">
        <v>279</v>
      </c>
      <c r="Q34">
        <v>1</v>
      </c>
      <c r="X34">
        <v>0.2</v>
      </c>
      <c r="Y34">
        <v>82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0.2</v>
      </c>
      <c r="AH34">
        <v>3</v>
      </c>
      <c r="AI34">
        <v>-1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ROW(Source!A77)</f>
        <v>77</v>
      </c>
      <c r="B35">
        <v>55116015</v>
      </c>
      <c r="C35">
        <v>55116012</v>
      </c>
      <c r="D35">
        <v>44800161</v>
      </c>
      <c r="E35">
        <v>54</v>
      </c>
      <c r="F35">
        <v>1</v>
      </c>
      <c r="G35">
        <v>1</v>
      </c>
      <c r="H35">
        <v>1</v>
      </c>
      <c r="I35" t="s">
        <v>275</v>
      </c>
      <c r="K35" t="s">
        <v>276</v>
      </c>
      <c r="L35">
        <v>1191</v>
      </c>
      <c r="N35">
        <v>1013</v>
      </c>
      <c r="O35" t="s">
        <v>234</v>
      </c>
      <c r="P35" t="s">
        <v>234</v>
      </c>
      <c r="Q35">
        <v>1</v>
      </c>
      <c r="X35">
        <v>1.03</v>
      </c>
      <c r="Y35">
        <v>0</v>
      </c>
      <c r="Z35">
        <v>0</v>
      </c>
      <c r="AA35">
        <v>0</v>
      </c>
      <c r="AB35">
        <v>7.19</v>
      </c>
      <c r="AC35">
        <v>0</v>
      </c>
      <c r="AD35">
        <v>1</v>
      </c>
      <c r="AE35">
        <v>1</v>
      </c>
      <c r="AG35">
        <v>1.03</v>
      </c>
      <c r="AH35">
        <v>3</v>
      </c>
      <c r="AI35">
        <v>-1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ROW(Source!A77)</f>
        <v>77</v>
      </c>
      <c r="B36">
        <v>55116016</v>
      </c>
      <c r="C36">
        <v>55116012</v>
      </c>
      <c r="D36">
        <v>44816375</v>
      </c>
      <c r="E36">
        <v>1</v>
      </c>
      <c r="F36">
        <v>1</v>
      </c>
      <c r="G36">
        <v>1</v>
      </c>
      <c r="H36">
        <v>3</v>
      </c>
      <c r="I36" t="s">
        <v>277</v>
      </c>
      <c r="J36" t="s">
        <v>278</v>
      </c>
      <c r="K36" t="s">
        <v>263</v>
      </c>
      <c r="L36">
        <v>1425</v>
      </c>
      <c r="N36">
        <v>1013</v>
      </c>
      <c r="O36" t="s">
        <v>279</v>
      </c>
      <c r="P36" t="s">
        <v>279</v>
      </c>
      <c r="Q36">
        <v>1</v>
      </c>
      <c r="X36">
        <v>0.2</v>
      </c>
      <c r="Y36">
        <v>82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0.2</v>
      </c>
      <c r="AH36">
        <v>3</v>
      </c>
      <c r="AI36">
        <v>-1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2022-07-13T12:29:34Z</dcterms:created>
  <dcterms:modified xsi:type="dcterms:W3CDTF">2022-07-27T14:22:02Z</dcterms:modified>
  <cp:category/>
  <cp:version/>
  <cp:contentType/>
  <cp:contentStatus/>
</cp:coreProperties>
</file>