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4160" activeTab="0"/>
  </bookViews>
  <sheets>
    <sheet name="Смета по ФЕР 421пр (12 гр." sheetId="1" r:id="rId1"/>
    <sheet name="Ведомость объемов работ" sheetId="2" r:id="rId2"/>
    <sheet name="UnionSheet" sheetId="3" state="hidden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по ФЕР 421пр (12 гр.'!$41:$41</definedName>
    <definedName name="_xlnm.Print_Area" localSheetId="1">'Ведомость объемов работ'!$A$1:$H$51</definedName>
    <definedName name="_xlnm.Print_Area" localSheetId="3">'Дефектная ведомость'!$A$1:$E$52</definedName>
    <definedName name="_xlnm.Print_Area" localSheetId="0">'Смета по ФЕР 421пр (12 гр.'!$A$1:$L$301</definedName>
  </definedNames>
  <calcPr fullCalcOnLoad="1"/>
</workbook>
</file>

<file path=xl/sharedStrings.xml><?xml version="1.0" encoding="utf-8"?>
<sst xmlns="http://schemas.openxmlformats.org/spreadsheetml/2006/main" count="5379" uniqueCount="485">
  <si>
    <t>Smeta.RU  (495) 974-1589</t>
  </si>
  <si>
    <t>_PS_</t>
  </si>
  <si>
    <t>Smeta.RU</t>
  </si>
  <si>
    <t/>
  </si>
  <si>
    <t>ИПУ РАН</t>
  </si>
  <si>
    <t>Выполнение работ по текущему ремонту кровли строения 1 ИПУ РАН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</si>
  <si>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</si>
  <si>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</si>
  <si>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</si>
  <si>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</si>
  <si>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</si>
  <si>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</si>
  <si>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Сметные нормы списания</t>
  </si>
  <si>
    <t>Коды ценников</t>
  </si>
  <si>
    <t>ФЕР-2020 И9 приказы НР № 812/пр, СП № 774/пр</t>
  </si>
  <si>
    <t>Версия 1.6.1 ГСН (ГЭСН, ФЕР) и ТЕР (Методики НР (812/пр, 636/пр, 611/пр) и СП (774/пр и 317/пр) применять с 11.09.2022 г.)</t>
  </si>
  <si>
    <t>ФЕР-2020 - изменения И9</t>
  </si>
  <si>
    <t>Поправки для ГСН (ФЕР) 2020 от 10.01.2022 г И9 Капитальный ремонт жилых и общественных зданий</t>
  </si>
  <si>
    <t>ГСН</t>
  </si>
  <si>
    <t>Демонтажные работы</t>
  </si>
  <si>
    <t>1</t>
  </si>
  <si>
    <t>46-04-008-01</t>
  </si>
  <si>
    <t>Разборка покрытий кровель: из рулонных материалов</t>
  </si>
  <si>
    <t>100 м2</t>
  </si>
  <si>
    <t>ФЕР-2001, 46-04-008-01, приказ Минстроя России № 876/пр от 26.12.2019</t>
  </si>
  <si>
    <t>Общестроительные работы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</si>
  <si>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</si>
  <si>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</si>
  <si>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</si>
  <si>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</si>
  <si>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</si>
  <si>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Письмо Минстроя России от 10.03.0223 № 12381-ИФ/09</t>
  </si>
  <si>
    <t>2</t>
  </si>
  <si>
    <t>11-01-011-01</t>
  </si>
  <si>
    <t>Демонтаж стяжек: цементных толщиной 20 мм (Применительно)</t>
  </si>
  <si>
    <t>ФЕР-2001 доп. 2, 11-01-011-01, приказ Минстроя России № 294/пр от 01.06.2020</t>
  </si>
  <si>
    <t>Поправка: МР 519/пр Табл.2, п.1  Наименование: При демонтаже (разборке) сборных бетонных и железобетонных конструкций</t>
  </si>
  <si>
    <t>)*0</t>
  </si>
  <si>
    <t>)*0,8</t>
  </si>
  <si>
    <t>Полы</t>
  </si>
  <si>
    <t>ФЕР-11</t>
  </si>
  <si>
    <t>Поправка: МР 519/пр Табл.2, п.1</t>
  </si>
  <si>
    <t>Пр/812-011.0-1</t>
  </si>
  <si>
    <t>Пр/774-011.0</t>
  </si>
  <si>
    <t>2,1</t>
  </si>
  <si>
    <t>04.3.01.09</t>
  </si>
  <si>
    <t>Раствор готовый кладочный тяжелый цементный</t>
  </si>
  <si>
    <t>м3</t>
  </si>
  <si>
    <t>2,2</t>
  </si>
  <si>
    <t>01.7.03.01-0001</t>
  </si>
  <si>
    <t>Вода</t>
  </si>
  <si>
    <t>ФССЦ-2001, 01.7.03.01-0001,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</si>
  <si>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</si>
  <si>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</si>
  <si>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</si>
  <si>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</si>
  <si>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</si>
  <si>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</si>
  <si>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</si>
  <si>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</si>
  <si>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</si>
  <si>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</si>
  <si>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</si>
  <si>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</si>
  <si>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</si>
  <si>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</si>
  <si>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</si>
  <si>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</si>
  <si>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</si>
  <si>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</si>
  <si>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</si>
  <si>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</si>
  <si>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</si>
  <si>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</si>
  <si>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</si>
  <si>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</si>
  <si>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</si>
  <si>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</si>
  <si>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</si>
  <si>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</si>
  <si>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</si>
  <si>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</si>
  <si>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</si>
  <si>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</si>
  <si>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</si>
  <si>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</si>
  <si>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</si>
  <si>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</si>
  <si>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</si>
  <si>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</si>
  <si>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</si>
  <si>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</si>
  <si>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</si>
  <si>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</si>
  <si>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</si>
  <si>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</si>
  <si>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</si>
  <si>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</si>
  <si>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</si>
  <si>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</si>
  <si>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</si>
  <si>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</si>
  <si>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</si>
  <si>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</si>
  <si>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</si>
  <si>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</si>
  <si>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</si>
  <si>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3</t>
  </si>
  <si>
    <t>12-01-017-01</t>
  </si>
  <si>
    <t>Устройство выравнивающих стяжек: цементно-песчаных толщиной 15 мм</t>
  </si>
  <si>
    <t>ФЕР-2001, 12-01-017-01, приказ Минстроя России № 876/пр от 26.12.2019</t>
  </si>
  <si>
    <t>)*1,25</t>
  </si>
  <si>
    <t>)*1,15</t>
  </si>
  <si>
    <t>)*0,9</t>
  </si>
  <si>
    <t>)*0,85</t>
  </si>
  <si>
    <t>Кровли</t>
  </si>
  <si>
    <t>ФЕР-12</t>
  </si>
  <si>
    <t>Поправка: М-ка 421/пр 04.08.20 п.58 п.п. б)</t>
  </si>
  <si>
    <t>Пр/812-012.0-1</t>
  </si>
  <si>
    <t>Пр/774-012.0</t>
  </si>
  <si>
    <t>3,1</t>
  </si>
  <si>
    <t>04.3.02.11-0011</t>
  </si>
  <si>
    <t>Смеси сухие цементные (пескобетон), класс B22,5 (M300)</t>
  </si>
  <si>
    <t>т</t>
  </si>
  <si>
    <t>ФССЦ-2001, 04.3.02.11-0011, приказ Минстроя России № 876/пр от 26.12.2019</t>
  </si>
  <si>
    <t>4</t>
  </si>
  <si>
    <t>12-01-017-02</t>
  </si>
  <si>
    <t>Устройство выравнивающих стяжек: на каждый 1 мм изменения толщины добавлять или исключать к расценке 12-01-017-01 (К=5, до 20 мм)</t>
  </si>
  <si>
    <t>ФЕР-2001, 12-01-017-02, приказ Минстроя России № 876/пр от 26.12.2019</t>
  </si>
  <si>
    <t>)*5</t>
  </si>
  <si>
    <t>)*1,25)*5</t>
  </si>
  <si>
    <t>)*1,15)*5</t>
  </si>
  <si>
    <t>4,1</t>
  </si>
  <si>
    <t>5</t>
  </si>
  <si>
    <t>12-01-016-02</t>
  </si>
  <si>
    <t>Огрунтовка оснований из бетона или раствора под водоизоляционный кровельный ковер: готовой эмульсией битумной</t>
  </si>
  <si>
    <t>ФЕР-2001, 12-01-016-02, приказ Минстроя России № 876/пр от 26.12.2019</t>
  </si>
  <si>
    <t>6</t>
  </si>
  <si>
    <t>12-01-002-09</t>
  </si>
  <si>
    <t>Устройство кровель плоских из наплавляемых материалов в два слоя</t>
  </si>
  <si>
    <t>ФЕР-2001 доп.5, 12-01-002-09, приказ Минстроя России № 51/пр от 09.02.2021</t>
  </si>
  <si>
    <t>6,1</t>
  </si>
  <si>
    <t>12.1.02.08-0091</t>
  </si>
  <si>
    <t>Линокром: ТКП</t>
  </si>
  <si>
    <t>м2</t>
  </si>
  <si>
    <t>ФССЦ-2001, 12.1.02.08-0091, приказ Минстроя России № 876/пр от 26.12.2019</t>
  </si>
  <si>
    <t>6,2</t>
  </si>
  <si>
    <t>12.1.02.08-0095</t>
  </si>
  <si>
    <t>Линокром: ТПП</t>
  </si>
  <si>
    <t>ФССЦ-2001, 12.1.02.08-0095, приказ Минстроя России № 876/пр от 26.12.2019</t>
  </si>
  <si>
    <t>7</t>
  </si>
  <si>
    <t>Устройство кровель плоских из наплавляемых материалов в два слоя (услиление мест установки водоприемных воронок) (Применительно</t>
  </si>
  <si>
    <t>7,1</t>
  </si>
  <si>
    <t>7,2</t>
  </si>
  <si>
    <t>8</t>
  </si>
  <si>
    <t>12-01-004-05</t>
  </si>
  <si>
    <t>Устройство примыканий кровель из наплавляемых материалов к стенам и парапетам высотой: более 600 мм без фартука (Применительно)</t>
  </si>
  <si>
    <t>100 м</t>
  </si>
  <si>
    <t>ФЕР-2001, 12-01-004-05, приказ Минстроя России № 876/пр от 26.12.2019</t>
  </si>
  <si>
    <t>8,1</t>
  </si>
  <si>
    <t>8,2</t>
  </si>
  <si>
    <t>08.3.05.05-0053</t>
  </si>
  <si>
    <t>Сталь листовая оцинкованная, толщина 0,7 мм</t>
  </si>
  <si>
    <t>ФССЦ-2001, 08.3.05.05-0053, приказ Минстроя России № 876/пр от 26.12.2019</t>
  </si>
  <si>
    <t>8,3</t>
  </si>
  <si>
    <t>08.3.07.01-0076</t>
  </si>
  <si>
    <t>Прокат полосовой, горячекатаный, марка стали Ст3сп, ширина 50-200 мм, толщина 4-5 мм</t>
  </si>
  <si>
    <t>ФССЦ-2001, 08.3.07.01-0076, приказ Минстроя России № 876/пр от 26.12.2019</t>
  </si>
  <si>
    <t>8,4</t>
  </si>
  <si>
    <t>04.3.01.09-0014</t>
  </si>
  <si>
    <t>Раствор готовый кладочный, цементный, М100</t>
  </si>
  <si>
    <t>ФССЦ-2001, 04.3.01.09-0014, приказ Минстроя России № 876/пр от 26.12.2019</t>
  </si>
  <si>
    <t>8,5</t>
  </si>
  <si>
    <t>01.7.15.07-0052</t>
  </si>
  <si>
    <t>Дюбели с калиброванной головкой (в обоймах) с цинковым хроматированным покрытием, размер 3x58,5 мм</t>
  </si>
  <si>
    <t>ФССЦ-2001, 01.7.15.07-0052, приказ Минстроя России № 876/пр от 26.12.2019</t>
  </si>
  <si>
    <t>8,6</t>
  </si>
  <si>
    <t>01.7.07.10-0001</t>
  </si>
  <si>
    <t>Патроны для строительно-монтажного пистолета</t>
  </si>
  <si>
    <t>1000 ШТ</t>
  </si>
  <si>
    <t>ФССЦ-2001, 01.7.07.10-0001, приказ Минстроя России № 876/пр от 26.12.2019</t>
  </si>
  <si>
    <t>9</t>
  </si>
  <si>
    <t>46-08-022-05</t>
  </si>
  <si>
    <t>Гидроизоляция самоклеящейся лентой: горизонтальных швов (Применительно)</t>
  </si>
  <si>
    <t>ФЕР-2001, 46-08-022-05, приказ Минстроя России № 876/пр от 26.12.2019</t>
  </si>
  <si>
    <t>9,1</t>
  </si>
  <si>
    <t>01.7.06.01-0012</t>
  </si>
  <si>
    <t>Лента герметизирующая самоклеящая Герлен-Д шириной: 100 мм толщиной 3 мм</t>
  </si>
  <si>
    <t>кг</t>
  </si>
  <si>
    <t>ФССЦ-2001, 01.7.06.01-0012, приказ Минстроя России № 876/пр от 26.12.2019</t>
  </si>
  <si>
    <t>Бетонные и железобетонные сборные конструкции и работы в строительстве</t>
  </si>
  <si>
    <t>ФЕР-07</t>
  </si>
  <si>
    <t>Пр/812-007.0-1</t>
  </si>
  <si>
    <t>Пр/774-007.0</t>
  </si>
  <si>
    <t>Новый раздел</t>
  </si>
  <si>
    <t>Разные работы</t>
  </si>
  <si>
    <t>10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</si>
  <si>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</si>
  <si>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</si>
  <si>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</si>
  <si>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Ремонтно-строительные работы</t>
  </si>
  <si>
    <t>Прочие ремонтно-строительные работы</t>
  </si>
  <si>
    <t>рФЕР-69</t>
  </si>
  <si>
    <t>Пр/812-103.0-1</t>
  </si>
  <si>
    <t>Пр/774-103.0</t>
  </si>
  <si>
    <t>11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</si>
  <si>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</si>
  <si>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</si>
  <si>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</si>
  <si>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</si>
  <si>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</si>
  <si>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</si>
  <si>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12</t>
  </si>
  <si>
    <t>т03-01-01-050</t>
  </si>
  <si>
    <t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t>
  </si>
  <si>
    <t>ФССЦпг-2001, т03-01-01-050, приказ Минстроя России №876/пр от 26.12.2019</t>
  </si>
  <si>
    <t>Перевозка: автомобили бортовые</t>
  </si>
  <si>
    <t>Перевозка строительных грузов автомобильным транспортом</t>
  </si>
  <si>
    <t>ФССЦпр , изм. 7</t>
  </si>
  <si>
    <t>НДС</t>
  </si>
  <si>
    <t>НДС 20%</t>
  </si>
  <si>
    <t>Итого</t>
  </si>
  <si>
    <t>Итого с НДС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</si>
  <si>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</si>
  <si>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</si>
  <si>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</si>
  <si>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</si>
  <si>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</si>
  <si>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</si>
  <si>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</si>
  <si>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</si>
  <si>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</si>
  <si>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</si>
  <si>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</si>
  <si>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</si>
  <si>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</si>
  <si>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</si>
  <si>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</si>
  <si>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</si>
  <si>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</si>
  <si>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</si>
  <si>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</si>
  <si>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</si>
  <si>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</si>
  <si>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</si>
  <si>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</si>
  <si>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</si>
  <si>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</si>
  <si>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</si>
  <si>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</si>
  <si>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</si>
  <si>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</si>
  <si>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</si>
  <si>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</si>
  <si>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</si>
  <si>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</si>
  <si>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</si>
  <si>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</si>
  <si>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</si>
  <si>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</si>
  <si>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</si>
  <si>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</si>
  <si>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</si>
  <si>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</si>
  <si>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</si>
  <si>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</si>
  <si>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</si>
  <si>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</si>
  <si>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</si>
  <si>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</si>
  <si>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</si>
  <si>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</si>
  <si>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</si>
  <si>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</si>
  <si>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</si>
  <si>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</si>
  <si>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</si>
  <si>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</si>
  <si>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</si>
  <si>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</si>
  <si>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</si>
  <si>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</si>
  <si>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</si>
  <si>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</si>
  <si>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</si>
  <si>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</si>
  <si>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</si>
  <si>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</si>
  <si>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</si>
  <si>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</si>
  <si>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1-100-20</t>
  </si>
  <si>
    <t>Рабочий среднего разряда 2</t>
  </si>
  <si>
    <t>чел.-ч.</t>
  </si>
  <si>
    <t>91.06.03-055</t>
  </si>
  <si>
    <t>ФСЭМ-2001, 91.06.03-055 , приказ Минстроя России № 876/пр от 26.12.2019</t>
  </si>
  <si>
    <t>Лебедки электрические тяговым усилием 19,62 кН (2 т)</t>
  </si>
  <si>
    <t>маш.-ч</t>
  </si>
  <si>
    <t>1-100-22</t>
  </si>
  <si>
    <t>Затраты труда рабочих (Средний разряд - 2,2)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</si>
  <si>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</si>
  <si>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</si>
  <si>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</si>
  <si>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</si>
  <si>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</si>
  <si>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</si>
  <si>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91.07.04-002</t>
  </si>
  <si>
    <t>ФСЭМ-2001, 91.07.04-002 , приказ Минстроя России № 876/пр от 26.12.2019</t>
  </si>
  <si>
    <t>Вибраторы поверхностные</t>
  </si>
  <si>
    <t>1-100-31</t>
  </si>
  <si>
    <t>Рабочий среднего разряда 3.1</t>
  </si>
  <si>
    <t>4-100-0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</si>
  <si>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</si>
  <si>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</si>
  <si>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</si>
  <si>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</si>
  <si>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</si>
  <si>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</si>
  <si>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91.07.07-001</t>
  </si>
  <si>
    <t>ФСЭМ-2001, 91.07.07-001 , приказ Минстроя России № 876/пр от 26.12.2019</t>
  </si>
  <si>
    <t>Агрегаты электронасосные с регулированием подачи вручную для строительных растворов, подача до 4 м3/ч, напор 150 м</t>
  </si>
  <si>
    <t>12.1.02.06-0022</t>
  </si>
  <si>
    <t>ФССЦ-2001, 12.1.02.06-0022, приказ Минстроя России № 876/пр от 26.12.2019</t>
  </si>
  <si>
    <t>Рубероид кровельный РКП-350</t>
  </si>
  <si>
    <t>1-100-32</t>
  </si>
  <si>
    <t>Рабочий среднего разряда 3.2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</si>
  <si>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</si>
  <si>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</si>
  <si>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</si>
  <si>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01.2.03.07-0022</t>
  </si>
  <si>
    <t>ФССЦ-2001, 01.2.03.07-0022, приказ Минстроя России № 876/пр от 26.12.2019</t>
  </si>
  <si>
    <t>Эмульсия битумная гидроизоляционная</t>
  </si>
  <si>
    <t>1-100-38</t>
  </si>
  <si>
    <t>Рабочий среднего разряда 3.8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</si>
  <si>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</si>
  <si>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</si>
  <si>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</si>
  <si>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01.3.02.09-0022</t>
  </si>
  <si>
    <t>ФССЦ-2001, 01.3.02.09-0022, приказ Минстроя России № 876/пр от 26.12.2019</t>
  </si>
  <si>
    <t>Пропан-бутан смесь техническая</t>
  </si>
  <si>
    <t>1-100-36</t>
  </si>
  <si>
    <t>Рабочий среднего разряда 3.6</t>
  </si>
  <si>
    <t>14.5.04.07-0012</t>
  </si>
  <si>
    <t>ФССЦ-2001, 14.5.04.07-0012, приказ Минстроя России № 876/пр от 26.12.2019</t>
  </si>
  <si>
    <t>Мастика тиоколовая строительного назначения двухкомпонентная холодного отверждения</t>
  </si>
  <si>
    <t>1-100-40</t>
  </si>
  <si>
    <t>Затраты труда рабочих (Средний разряд - 4)</t>
  </si>
  <si>
    <t>91.18.01-012</t>
  </si>
  <si>
    <t>ФСЭМ-2001, 91.18.01-012 , приказ Минстроя России № 876/пр от 26.12.2019</t>
  </si>
  <si>
    <t>Компрессоры передвижные с электродвигателем давление 600 кПа (6 ат), производительность до 3,5 м3/мин</t>
  </si>
  <si>
    <t>1-100-10</t>
  </si>
  <si>
    <t>Рабочий среднего разряда 1</t>
  </si>
  <si>
    <t>01.7.20.03-0003</t>
  </si>
  <si>
    <t>ФССЦ-2001, 01.7.20.03-0003, приказ Минстроя России № 876/пр от 26.12.2019</t>
  </si>
  <si>
    <t>Мешки полипропиленовые (50 кг)</t>
  </si>
  <si>
    <t>100 ШТ</t>
  </si>
  <si>
    <t>12.1.02.15</t>
  </si>
  <si>
    <t>Материалы рулонные кровельные для верхнего слоя</t>
  </si>
  <si>
    <t>Материалы рулонные кровельные для нижних слоев</t>
  </si>
  <si>
    <t>Материалы рулонные кровельные наплавляемые</t>
  </si>
  <si>
    <t>01.7.06.02</t>
  </si>
  <si>
    <t>Лента гидроизоляционная</t>
  </si>
  <si>
    <t>м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</si>
  <si>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</si>
  <si>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</si>
  <si>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</si>
  <si>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</si>
  <si>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</si>
  <si>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</si>
  <si>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</si>
  <si>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</si>
  <si>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</si>
  <si>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</si>
  <si>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</si>
  <si>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</si>
  <si>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</si>
  <si>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</si>
  <si>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</si>
  <si>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</si>
  <si>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</si>
  <si>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</si>
  <si>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</si>
  <si>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</si>
  <si>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</si>
  <si>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</si>
  <si>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</si>
  <si>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</si>
  <si>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</si>
  <si>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</si>
  <si>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</si>
  <si>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</si>
  <si>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</si>
  <si>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</si>
  <si>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</si>
  <si>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</si>
  <si>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</si>
  <si>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</si>
  <si>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</si>
  <si>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</si>
  <si>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</si>
  <si>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</si>
  <si>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</si>
  <si>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</si>
  <si>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</si>
  <si>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 квартал 2023 года (1.01.2000)</t>
  </si>
  <si>
    <t>Раздел: Демонтажные работы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</si>
  <si>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</si>
  <si>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</si>
  <si>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</si>
  <si>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</si>
  <si>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</si>
  <si>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</si>
  <si>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</si>
  <si>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</si>
  <si>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</si>
  <si>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</si>
  <si>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%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</si>
  <si>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</si>
  <si>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Всего по позиции</t>
  </si>
  <si>
    <r>
      <t>Демонтаж стяжек: цементных толщиной 20 мм (Применительно)</t>
    </r>
    <r>
      <rPr>
        <i/>
        <sz val="10"/>
        <rFont val="Arial"/>
        <family val="2"/>
      </rPr>
      <t xml:space="preserve">
Поправки к: 
М )*0;   
ЭМ )*0,8;   
ОТм )*0,8;   
ОТ )*0,8;   
ЗТ )*0,8;   
ЗТм )*0,8</t>
    </r>
  </si>
  <si>
    <t>НР Полы</t>
  </si>
  <si>
    <t>СП Полы</t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</si>
  <si>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</si>
  <si>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</si>
  <si>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</si>
  <si>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</si>
  <si>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</si>
  <si>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</si>
  <si>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</si>
  <si>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</si>
  <si>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</si>
  <si>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</si>
  <si>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</si>
  <si>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</si>
  <si>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</si>
  <si>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</si>
  <si>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</si>
  <si>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r>
      <t>Устройство выравнивающих стяжек: цементно-песчаных толщиной 15 мм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</si>
  <si>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Пр/812-012.0-1;
п.25</t>
  </si>
  <si>
    <t>НР Кровли</t>
  </si>
  <si>
    <t>Пр/774-012.0;
п.16</t>
  </si>
  <si>
    <t>СП Кровли</t>
  </si>
  <si>
    <r>
      <t>Устройство выравнивающих стяжек: на каждый 1 мм изменения толщины добавлять или исключать к расценке 12-01-017-01 (К=5, до 20 мм)</t>
    </r>
    <r>
      <rPr>
        <i/>
        <sz val="10"/>
        <rFont val="Arial"/>
        <family val="2"/>
      </rPr>
      <t xml:space="preserve">
Поправки к: 
М )*5;   
ЭМ )*1,25)*5;   
ОТм )*1,25)*5;   
ОТ )*1,15)*5;   
ЗТ )*1,15)*5;   
ЗТм )*1,25)*5;   
НР )*0,9;   
СП )*0,85</t>
    </r>
  </si>
  <si>
    <r>
      <t>Огрунтовка оснований из бетона или раствора под водоизоляционный кровельный ковер: готовой эмульсией битумной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</si>
  <si>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кровель плоских из наплавляемых материалов в два слоя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</si>
  <si>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кровель плоских из наплавляемых материалов в два слоя (услиление мест установки водоприемных воронок) (Применительно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</si>
  <si>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r>
      <t>Устройство примыканий кровель из наплавляемых материалов к стенам и парапетам высотой: более 600 мм без фартука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</si>
  <si>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Исключен
Сталь листовая оцинкованная, толщина 0,7 мм</t>
  </si>
  <si>
    <t>Исключен
Прокат полосовой, горячекатаный, марка стали Ст3сп, ширина 50-200 мм, толщина 4-5 мм</t>
  </si>
  <si>
    <t>Исключен
Раствор готовый кладочный, цементный, М100</t>
  </si>
  <si>
    <t>Исключен
Дюбели с калиброванной головкой (в обоймах) с цинковым хроматированным покрытием, размер 3x58,5 мм</t>
  </si>
  <si>
    <t>Исключен
Патроны для строительно-монтажного пистолета</t>
  </si>
  <si>
    <t>Раздел: Разные работы</t>
  </si>
  <si>
    <t>НР Прочие ремонтно-строительные работы</t>
  </si>
  <si>
    <t>СП Прочие ремонтно-строительные работы</t>
  </si>
  <si>
    <t>НР Погрузочно-разгрузочные работы</t>
  </si>
  <si>
    <t>СП Погрузочно-разгрузочные работы</t>
  </si>
  <si>
    <t>НР Перевозка строительных грузов автомобильным транспортом</t>
  </si>
  <si>
    <t>СП Перевозка строительных грузов автомобильным транспортом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</si>
  <si>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</si>
  <si>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</si>
  <si>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</si>
  <si>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</si>
  <si>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</si>
  <si>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</si>
  <si>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</si>
  <si>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</si>
  <si>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</si>
  <si>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</si>
  <si>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</si>
  <si>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</si>
  <si>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</si>
  <si>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</si>
  <si>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</si>
  <si>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</si>
  <si>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</si>
  <si>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</si>
  <si>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</si>
  <si>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</si>
  <si>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</si>
  <si>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</si>
  <si>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</si>
  <si>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</si>
  <si>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</si>
  <si>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Приложение № 1 к Техническом заданию</t>
  </si>
  <si>
    <t>Локальный сметный расчет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</si>
</sst>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Alignment="1" quotePrefix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5" fontId="17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01"/>
  <sheetViews>
    <sheetView tabSelected="1" view="pageBreakPreview" zoomScaleSheetLayoutView="100" zoomScalePageLayoutView="0" workbookViewId="0" topLeftCell="B261">
      <selection activeCell="C54" sqref="C5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spans="1:12" ht="12.75">
      <c r="A1" s="12" t="str">
        <f>Source!B1</f>
        <v>Smeta.RU  (495) 974-1589</v>
      </c>
      <c r="I1" s="104" t="s">
        <v>483</v>
      </c>
      <c r="J1" s="104"/>
      <c r="K1" s="104"/>
      <c r="L1" s="104"/>
    </row>
    <row r="3" spans="1:12" ht="16.5">
      <c r="A3" s="13"/>
      <c r="B3" s="109" t="s">
        <v>364</v>
      </c>
      <c r="C3" s="109"/>
      <c r="D3" s="109"/>
      <c r="E3" s="109"/>
      <c r="F3" s="14"/>
      <c r="G3" s="14"/>
      <c r="H3" s="109" t="s">
        <v>365</v>
      </c>
      <c r="I3" s="109"/>
      <c r="J3" s="109"/>
      <c r="K3" s="109"/>
      <c r="L3" s="109"/>
    </row>
    <row r="4" spans="1:12" ht="14.25">
      <c r="A4" s="14"/>
      <c r="B4" s="110"/>
      <c r="C4" s="110"/>
      <c r="D4" s="110"/>
      <c r="E4" s="110"/>
      <c r="F4" s="14"/>
      <c r="G4" s="14"/>
      <c r="H4" s="110" t="s">
        <v>367</v>
      </c>
      <c r="I4" s="110"/>
      <c r="J4" s="110"/>
      <c r="K4" s="110"/>
      <c r="L4" s="110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10" t="str">
        <f>CONCATENATE("______________________ ",IF(Source!AL12&lt;&gt;"",Source!AL12,""))</f>
        <v>______________________ </v>
      </c>
      <c r="C6" s="110"/>
      <c r="D6" s="110"/>
      <c r="E6" s="110"/>
      <c r="F6" s="14"/>
      <c r="G6" s="14"/>
      <c r="H6" s="110" t="str">
        <f>CONCATENATE("______________________ ",IF(Source!AH12&lt;&gt;"",Source!AH12,""))</f>
        <v>______________________ Муравьев К.В.</v>
      </c>
      <c r="I6" s="110"/>
      <c r="J6" s="110"/>
      <c r="K6" s="110"/>
      <c r="L6" s="110"/>
    </row>
    <row r="7" spans="1:12" ht="14.25">
      <c r="A7" s="18"/>
      <c r="B7" s="105" t="s">
        <v>366</v>
      </c>
      <c r="C7" s="105"/>
      <c r="D7" s="105"/>
      <c r="E7" s="105"/>
      <c r="F7" s="14"/>
      <c r="G7" s="14"/>
      <c r="H7" s="105" t="s">
        <v>366</v>
      </c>
      <c r="I7" s="105"/>
      <c r="J7" s="105"/>
      <c r="K7" s="105"/>
      <c r="L7" s="105"/>
    </row>
    <row r="10" spans="1:94" ht="30" customHeight="1">
      <c r="A10" s="106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CP10" s="72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06" t="s">
        <v>401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4" spans="1:12" ht="15.75">
      <c r="A14" s="18"/>
      <c r="B14" s="107" t="s">
        <v>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8"/>
    </row>
    <row r="15" spans="1:12" ht="14.25">
      <c r="A15" s="20"/>
      <c r="B15" s="108" t="s">
        <v>368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8"/>
    </row>
    <row r="16" spans="1:12" ht="15.75">
      <c r="A16" s="14"/>
      <c r="B16" s="107" t="str">
        <f>IF(Source!G12&lt;&gt;"Новый объект",Source!G12,"")</f>
        <v>Выполнение работ по текущему ремонту кровли строения 1 ИПУ РАН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4"/>
    </row>
    <row r="17" spans="1:12" ht="14.25">
      <c r="A17" s="14"/>
      <c r="B17" s="108" t="s">
        <v>369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4"/>
    </row>
    <row r="18" spans="1:12" ht="15.75">
      <c r="A18" s="21"/>
      <c r="B18" s="115" t="s">
        <v>484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21"/>
    </row>
    <row r="19" spans="1:12" ht="18">
      <c r="A19" s="14"/>
      <c r="B19" s="116">
        <f>IF(Source!G20&lt;&gt;"Новая локальная смета",Source!G20,"")</f>
      </c>
      <c r="C19" s="116"/>
      <c r="D19" s="116"/>
      <c r="E19" s="116"/>
      <c r="F19" s="116"/>
      <c r="G19" s="116"/>
      <c r="H19" s="116"/>
      <c r="I19" s="116"/>
      <c r="J19" s="116"/>
      <c r="K19" s="116"/>
      <c r="L19" s="22"/>
    </row>
    <row r="20" spans="1:12" ht="14.25">
      <c r="A20" s="14"/>
      <c r="B20" s="108" t="s">
        <v>370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8"/>
    </row>
    <row r="21" spans="1:12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1" t="s">
        <v>371</v>
      </c>
      <c r="B22" s="11"/>
      <c r="C22" s="23" t="s">
        <v>402</v>
      </c>
      <c r="D22" s="11" t="s">
        <v>372</v>
      </c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 t="s">
        <v>373</v>
      </c>
      <c r="B24" s="11"/>
      <c r="C24" s="117"/>
      <c r="D24" s="117"/>
      <c r="E24" s="117"/>
      <c r="F24" s="117"/>
      <c r="G24" s="117"/>
      <c r="H24" s="11"/>
      <c r="I24" s="11"/>
      <c r="J24" s="11"/>
      <c r="K24" s="11"/>
      <c r="L24" s="24"/>
    </row>
    <row r="25" spans="1:12" ht="12.75">
      <c r="A25" s="25"/>
      <c r="B25" s="26"/>
      <c r="C25" s="111" t="s">
        <v>374</v>
      </c>
      <c r="D25" s="111"/>
      <c r="E25" s="111"/>
      <c r="F25" s="111"/>
      <c r="G25" s="111"/>
      <c r="H25" s="27"/>
      <c r="I25" s="27"/>
      <c r="J25" s="27"/>
      <c r="K25" s="27"/>
      <c r="L25" s="27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4.25">
      <c r="A27" s="28" t="s">
        <v>403</v>
      </c>
      <c r="B27" s="14"/>
      <c r="C27" s="14"/>
      <c r="D27" s="29"/>
      <c r="E27" s="30"/>
      <c r="F27" s="14"/>
      <c r="G27" s="14"/>
      <c r="H27" s="14"/>
      <c r="I27" s="14"/>
      <c r="J27" s="14"/>
      <c r="K27" s="14"/>
      <c r="L27" s="14"/>
    </row>
    <row r="28" spans="1:12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4.25">
      <c r="A29" s="28" t="s">
        <v>375</v>
      </c>
      <c r="B29" s="14"/>
      <c r="C29" s="48">
        <f>C32+C33+C34+C35</f>
        <v>1206.3</v>
      </c>
      <c r="D29" s="112">
        <f>D32+D33+D34+D35</f>
        <v>105.29</v>
      </c>
      <c r="E29" s="113"/>
      <c r="F29" s="31" t="s">
        <v>376</v>
      </c>
      <c r="G29" s="32"/>
      <c r="H29" s="32"/>
      <c r="I29" s="32"/>
      <c r="J29" s="32"/>
      <c r="K29" s="14"/>
      <c r="L29" s="14"/>
    </row>
    <row r="30" spans="1:12" ht="14.25">
      <c r="A30" s="14"/>
      <c r="B30" s="14"/>
      <c r="C30" s="42"/>
      <c r="D30" s="49"/>
      <c r="E30" s="32"/>
      <c r="F30" s="31"/>
      <c r="G30" s="31" t="s">
        <v>377</v>
      </c>
      <c r="H30" s="32"/>
      <c r="I30" s="32"/>
      <c r="J30" s="32"/>
      <c r="K30" s="14"/>
      <c r="L30" s="14"/>
    </row>
    <row r="31" spans="1:12" ht="14.25">
      <c r="A31" s="14"/>
      <c r="B31" s="33" t="s">
        <v>378</v>
      </c>
      <c r="C31" s="42"/>
      <c r="D31" s="49"/>
      <c r="E31" s="34"/>
      <c r="F31" s="31"/>
      <c r="G31" s="31" t="s">
        <v>379</v>
      </c>
      <c r="H31" s="32" t="s">
        <v>380</v>
      </c>
      <c r="I31" s="35">
        <f>ROUND((SUM(U42:U295))/1000,2)</f>
        <v>225.2</v>
      </c>
      <c r="J31" s="35">
        <f>ROUND((SUM(Q42:Q295))/1000,2)</f>
        <v>6.17</v>
      </c>
      <c r="K31" s="11" t="s">
        <v>376</v>
      </c>
      <c r="L31" s="14"/>
    </row>
    <row r="32" spans="1:12" ht="14.25">
      <c r="A32" s="14"/>
      <c r="B32" s="28" t="s">
        <v>381</v>
      </c>
      <c r="C32" s="48">
        <f>ROUND((ROUND(SUM(AO42:AO295)*Source!D277,2)+ROUND(SUM(AP42:AP295)*Source!E277,2)+ROUND(SUM(AQ42:AQ295)*Source!G277,2)+ROUND(SUM(AR42:AR295)*Source!L277,2)+SUM(AS42:AS295)+SUM(AT42:AT295))/1000,2)</f>
        <v>1206.3</v>
      </c>
      <c r="D32" s="112">
        <f>ROUND((SUM(AN42:AN295)+SUM(AR42:AR295))/1000,2)</f>
        <v>105.29</v>
      </c>
      <c r="E32" s="113"/>
      <c r="F32" s="31" t="s">
        <v>376</v>
      </c>
      <c r="G32" s="31" t="s">
        <v>382</v>
      </c>
      <c r="H32" s="32"/>
      <c r="I32" s="31"/>
      <c r="J32" s="50">
        <f>Source!P205</f>
        <v>717.04626</v>
      </c>
      <c r="K32" s="11" t="s">
        <v>292</v>
      </c>
      <c r="L32" s="14"/>
    </row>
    <row r="33" spans="1:12" ht="14.25">
      <c r="A33" s="14"/>
      <c r="B33" s="28" t="s">
        <v>383</v>
      </c>
      <c r="C33" s="48">
        <f>ROUND((ROUND(SUM(AY42:AY295)*Source!D277,2)+ROUND(SUM(AZ42:AZ295)*Source!E277,2)+ROUND(SUM(BA42:BA295)*Source!G277,2)+ROUND(SUM(BB42:BB295)*Source!L277,2)+SUM(BC42:BC295)+SUM(BD42:BD295))/1000,2)</f>
        <v>0</v>
      </c>
      <c r="D33" s="112">
        <f>ROUND((SUM(AX42:AX295)+SUM(BB42:BB295))/1000,2)</f>
        <v>0</v>
      </c>
      <c r="E33" s="113"/>
      <c r="F33" s="31" t="s">
        <v>376</v>
      </c>
      <c r="G33" s="31" t="s">
        <v>384</v>
      </c>
      <c r="H33" s="32"/>
      <c r="I33" s="31"/>
      <c r="J33" s="50">
        <f>Source!P206</f>
        <v>19.107669799999996</v>
      </c>
      <c r="K33" s="11" t="s">
        <v>292</v>
      </c>
      <c r="L33" s="14"/>
    </row>
    <row r="34" spans="1:12" ht="14.25">
      <c r="A34" s="14"/>
      <c r="B34" s="28" t="s">
        <v>385</v>
      </c>
      <c r="C34" s="48">
        <f>ROUND((ROUND(SUM(BH42:BH295)*Source!H277,2)+ROUND(SUM(BI42:BI295)*Source!L277,2))/1000,2)</f>
        <v>0</v>
      </c>
      <c r="D34" s="112">
        <f>ROUND((SUM(BH42:BH295)+SUM(BI42:BI295))/1000,2)</f>
        <v>0</v>
      </c>
      <c r="E34" s="113"/>
      <c r="F34" s="31" t="s">
        <v>376</v>
      </c>
      <c r="G34" s="31" t="s">
        <v>386</v>
      </c>
      <c r="H34" s="32"/>
      <c r="I34" s="31"/>
      <c r="J34" s="36"/>
      <c r="K34" s="14"/>
      <c r="L34" s="14"/>
    </row>
    <row r="35" spans="1:12" ht="14.25">
      <c r="A35" s="14"/>
      <c r="B35" s="28" t="s">
        <v>387</v>
      </c>
      <c r="C35" s="48">
        <f>ROUND((ROUND(SUM(BM42:BM295)*Source!I277,2)+SUM(BU42:BU295)+ROUND(SUM(BO42:BO295)*Source!H277,2)+ROUND(SUM(BP42:BP295)*Source!L277,2))/1000,2)</f>
        <v>0</v>
      </c>
      <c r="D35" s="112">
        <f>ROUND((SUM(BM42:BM295)+SUM(BN42:BN295)+SUM(BO42:BO295)+SUM(BP42:BP295))/1000,2)</f>
        <v>0</v>
      </c>
      <c r="E35" s="114"/>
      <c r="F35" s="31" t="s">
        <v>376</v>
      </c>
      <c r="G35" s="31" t="s">
        <v>388</v>
      </c>
      <c r="H35" s="32"/>
      <c r="I35" s="31">
        <f>Source!I20</f>
        <v>0</v>
      </c>
      <c r="J35" s="37">
        <f>Source!H20</f>
      </c>
      <c r="K35" s="14"/>
      <c r="L35" s="14"/>
    </row>
    <row r="36" spans="1:12" ht="14.25">
      <c r="A36" s="14"/>
      <c r="B36" s="14"/>
      <c r="C36" s="14"/>
      <c r="D36" s="32"/>
      <c r="E36" s="32"/>
      <c r="F36" s="32"/>
      <c r="G36" s="32"/>
      <c r="H36" s="32"/>
      <c r="I36" s="32"/>
      <c r="J36" s="32"/>
      <c r="K36" s="14"/>
      <c r="L36" s="14"/>
    </row>
    <row r="37" spans="1:12" ht="12.75">
      <c r="A37" s="118" t="s">
        <v>389</v>
      </c>
      <c r="B37" s="118" t="s">
        <v>390</v>
      </c>
      <c r="C37" s="118" t="s">
        <v>391</v>
      </c>
      <c r="D37" s="118" t="s">
        <v>392</v>
      </c>
      <c r="E37" s="127" t="s">
        <v>393</v>
      </c>
      <c r="F37" s="128"/>
      <c r="G37" s="129"/>
      <c r="H37" s="127" t="s">
        <v>394</v>
      </c>
      <c r="I37" s="128"/>
      <c r="J37" s="129"/>
      <c r="K37" s="118" t="s">
        <v>395</v>
      </c>
      <c r="L37" s="118" t="s">
        <v>396</v>
      </c>
    </row>
    <row r="38" spans="1:12" ht="12.75">
      <c r="A38" s="119"/>
      <c r="B38" s="119"/>
      <c r="C38" s="119"/>
      <c r="D38" s="119"/>
      <c r="E38" s="130"/>
      <c r="F38" s="131"/>
      <c r="G38" s="132"/>
      <c r="H38" s="130"/>
      <c r="I38" s="131"/>
      <c r="J38" s="132"/>
      <c r="K38" s="119"/>
      <c r="L38" s="119"/>
    </row>
    <row r="39" spans="1:12" ht="12.75">
      <c r="A39" s="119"/>
      <c r="B39" s="119"/>
      <c r="C39" s="119"/>
      <c r="D39" s="119"/>
      <c r="E39" s="133"/>
      <c r="F39" s="134"/>
      <c r="G39" s="135"/>
      <c r="H39" s="133"/>
      <c r="I39" s="134"/>
      <c r="J39" s="135"/>
      <c r="K39" s="119"/>
      <c r="L39" s="119"/>
    </row>
    <row r="40" spans="1:12" ht="25.5">
      <c r="A40" s="120"/>
      <c r="B40" s="120"/>
      <c r="C40" s="120"/>
      <c r="D40" s="120"/>
      <c r="E40" s="38" t="s">
        <v>397</v>
      </c>
      <c r="F40" s="38" t="s">
        <v>398</v>
      </c>
      <c r="G40" s="38" t="s">
        <v>399</v>
      </c>
      <c r="H40" s="38" t="s">
        <v>397</v>
      </c>
      <c r="I40" s="38" t="s">
        <v>398</v>
      </c>
      <c r="J40" s="38" t="s">
        <v>400</v>
      </c>
      <c r="K40" s="120"/>
      <c r="L40" s="120"/>
    </row>
    <row r="41" spans="1:12" ht="14.25">
      <c r="A41" s="39">
        <v>1</v>
      </c>
      <c r="B41" s="39">
        <v>2</v>
      </c>
      <c r="C41" s="39">
        <v>3</v>
      </c>
      <c r="D41" s="39">
        <v>4</v>
      </c>
      <c r="E41" s="39">
        <v>5</v>
      </c>
      <c r="F41" s="39">
        <v>6</v>
      </c>
      <c r="G41" s="39">
        <v>7</v>
      </c>
      <c r="H41" s="39">
        <v>8</v>
      </c>
      <c r="I41" s="39">
        <v>9</v>
      </c>
      <c r="J41" s="39">
        <v>10</v>
      </c>
      <c r="K41" s="40">
        <v>11</v>
      </c>
      <c r="L41" s="41">
        <v>12</v>
      </c>
    </row>
    <row r="42" spans="1:12" ht="16.5">
      <c r="A42" s="137" t="s">
        <v>404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56" ht="28.5">
      <c r="A43" s="69">
        <v>1</v>
      </c>
      <c r="B43" s="69" t="str">
        <f>Source!F29</f>
        <v>46-04-008-01</v>
      </c>
      <c r="C43" s="69" t="str">
        <f>Source!G29</f>
        <v>Разборка покрытий кровель: из рулонных материалов</v>
      </c>
      <c r="D43" s="52" t="str">
        <f>Source!H29</f>
        <v>100 м2</v>
      </c>
      <c r="E43" s="47">
        <f>Source!K29</f>
        <v>11.376</v>
      </c>
      <c r="F43" s="47"/>
      <c r="G43" s="47">
        <f>Source!I29</f>
        <v>11.376</v>
      </c>
      <c r="H43" s="53"/>
      <c r="I43" s="54"/>
      <c r="J43" s="53"/>
      <c r="K43" s="54"/>
      <c r="L43" s="53"/>
      <c r="AG43">
        <f>Source!X29</f>
        <v>1161.1</v>
      </c>
      <c r="AH43">
        <f>Source!HK29</f>
        <v>42345.18</v>
      </c>
      <c r="AI43">
        <f>Source!Y29</f>
        <v>663.48</v>
      </c>
      <c r="AJ43">
        <f>Source!HL29</f>
        <v>24197.25</v>
      </c>
      <c r="AS43">
        <f>IF(Source!BI29&lt;=1,AH43,0)</f>
        <v>42345.18</v>
      </c>
      <c r="AT43">
        <f>IF(Source!BI29&lt;=1,AJ43,0)</f>
        <v>24197.25</v>
      </c>
      <c r="BC43">
        <f>IF(Source!BI29=2,AH43,0)</f>
        <v>0</v>
      </c>
      <c r="BD43">
        <f>IF(Source!BI29=2,AJ43,0)</f>
        <v>0</v>
      </c>
    </row>
    <row r="45" ht="12.75">
      <c r="C45" s="43" t="str">
        <f>"Объем: "&amp;Source!K29&amp;"=1137,6/"&amp;"100"</f>
        <v>Объем: 11,376=1137,6/100</v>
      </c>
    </row>
    <row r="46" spans="1:12" ht="14.25">
      <c r="A46" s="69"/>
      <c r="B46" s="70">
        <v>1</v>
      </c>
      <c r="C46" s="69" t="s">
        <v>405</v>
      </c>
      <c r="D46" s="52"/>
      <c r="E46" s="47"/>
      <c r="F46" s="47"/>
      <c r="G46" s="47"/>
      <c r="H46" s="53">
        <f>Source!AO29</f>
        <v>112.16</v>
      </c>
      <c r="I46" s="54"/>
      <c r="J46" s="53">
        <f>ROUND(Source!AF29*Source!I29,2)</f>
        <v>1275.93</v>
      </c>
      <c r="K46" s="54">
        <f>IF(Source!BA29&lt;&gt;0,Source!BA29,1)</f>
        <v>36.47</v>
      </c>
      <c r="L46" s="53">
        <f>Source!HJ29</f>
        <v>46533.17</v>
      </c>
    </row>
    <row r="47" spans="1:12" ht="14.25">
      <c r="A47" s="69"/>
      <c r="B47" s="70">
        <v>3</v>
      </c>
      <c r="C47" s="69" t="s">
        <v>406</v>
      </c>
      <c r="D47" s="52"/>
      <c r="E47" s="47"/>
      <c r="F47" s="47"/>
      <c r="G47" s="47"/>
      <c r="H47" s="53">
        <f>Source!AM29</f>
        <v>41.43</v>
      </c>
      <c r="I47" s="54"/>
      <c r="J47" s="53">
        <f>ROUND(Source!AD29*Source!I29,2)</f>
        <v>471.31</v>
      </c>
      <c r="K47" s="54"/>
      <c r="L47" s="53"/>
    </row>
    <row r="48" spans="1:12" ht="14.25">
      <c r="A48" s="69"/>
      <c r="B48" s="70">
        <v>2</v>
      </c>
      <c r="C48" s="69" t="s">
        <v>407</v>
      </c>
      <c r="D48" s="52"/>
      <c r="E48" s="47"/>
      <c r="F48" s="47"/>
      <c r="G48" s="47"/>
      <c r="H48" s="53">
        <f>Source!AN29</f>
        <v>0</v>
      </c>
      <c r="I48" s="54"/>
      <c r="J48" s="55">
        <f>ROUND(Source!AE29*Source!I29,2)</f>
        <v>0</v>
      </c>
      <c r="K48" s="54">
        <f>IF(Source!BS29&lt;&gt;0,Source!BS29,1)</f>
        <v>36.47</v>
      </c>
      <c r="L48" s="55">
        <f>Source!HI29</f>
        <v>0</v>
      </c>
    </row>
    <row r="49" spans="1:12" ht="14.25">
      <c r="A49" s="69"/>
      <c r="B49" s="70">
        <v>4</v>
      </c>
      <c r="C49" s="69" t="s">
        <v>408</v>
      </c>
      <c r="D49" s="52"/>
      <c r="E49" s="47"/>
      <c r="F49" s="47"/>
      <c r="G49" s="47"/>
      <c r="H49" s="53">
        <f>Source!AL29</f>
        <v>0</v>
      </c>
      <c r="I49" s="54"/>
      <c r="J49" s="53">
        <f>ROUND(Source!AC29*Source!I29,2)</f>
        <v>0</v>
      </c>
      <c r="K49" s="54"/>
      <c r="L49" s="53"/>
    </row>
    <row r="50" spans="1:12" ht="14.25">
      <c r="A50" s="69"/>
      <c r="B50" s="69"/>
      <c r="C50" s="69" t="s">
        <v>409</v>
      </c>
      <c r="D50" s="52" t="s">
        <v>410</v>
      </c>
      <c r="E50" s="47">
        <f>Source!AQ29</f>
        <v>14.38</v>
      </c>
      <c r="F50" s="47"/>
      <c r="G50" s="98">
        <f>ROUND(Source!U29,7)</f>
        <v>163.58688</v>
      </c>
      <c r="H50" s="53"/>
      <c r="I50" s="54"/>
      <c r="J50" s="53"/>
      <c r="K50" s="54"/>
      <c r="L50" s="53"/>
    </row>
    <row r="51" spans="1:12" ht="14.25">
      <c r="A51" s="69"/>
      <c r="B51" s="69"/>
      <c r="C51" s="71" t="s">
        <v>411</v>
      </c>
      <c r="D51" s="56" t="s">
        <v>410</v>
      </c>
      <c r="E51" s="57">
        <f>Source!AR29</f>
        <v>0</v>
      </c>
      <c r="F51" s="57"/>
      <c r="G51" s="57">
        <f>ROUND(Source!V29,7)</f>
        <v>0</v>
      </c>
      <c r="H51" s="58"/>
      <c r="I51" s="59"/>
      <c r="J51" s="58"/>
      <c r="K51" s="59"/>
      <c r="L51" s="58"/>
    </row>
    <row r="52" spans="1:12" ht="14.25">
      <c r="A52" s="69"/>
      <c r="B52" s="69"/>
      <c r="C52" s="69" t="s">
        <v>412</v>
      </c>
      <c r="D52" s="52"/>
      <c r="E52" s="47"/>
      <c r="F52" s="47"/>
      <c r="G52" s="47"/>
      <c r="H52" s="53">
        <f>H46+H47+H49</f>
        <v>153.59</v>
      </c>
      <c r="I52" s="54"/>
      <c r="J52" s="53">
        <f>J46+J47+J49</f>
        <v>1747.24</v>
      </c>
      <c r="K52" s="54"/>
      <c r="L52" s="53"/>
    </row>
    <row r="53" spans="1:12" ht="14.25">
      <c r="A53" s="69"/>
      <c r="B53" s="69"/>
      <c r="C53" s="69" t="s">
        <v>413</v>
      </c>
      <c r="D53" s="52"/>
      <c r="E53" s="47"/>
      <c r="F53" s="47"/>
      <c r="G53" s="47"/>
      <c r="H53" s="53"/>
      <c r="I53" s="54"/>
      <c r="J53" s="53">
        <f>SUM(Q43:Q56)+SUM(V43:V56)+SUM(X43:X56)+SUM(Y43:Y56)</f>
        <v>1275.93</v>
      </c>
      <c r="K53" s="54"/>
      <c r="L53" s="53">
        <f>SUM(U43:U56)+SUM(W43:W56)+SUM(Z43:Z56)+SUM(AA43:AA56)</f>
        <v>46533.17</v>
      </c>
    </row>
    <row r="54" spans="1:12" ht="63.75" customHeight="1">
      <c r="A54" s="69"/>
      <c r="B54" s="69" t="s">
        <v>29</v>
      </c>
      <c r="C54" s="69" t="s">
        <v>414</v>
      </c>
      <c r="D54" s="52" t="s">
        <v>415</v>
      </c>
      <c r="E54" s="47">
        <f>Source!BZ29</f>
        <v>91</v>
      </c>
      <c r="F54" s="47"/>
      <c r="G54" s="47">
        <f>Source!AT29</f>
        <v>91</v>
      </c>
      <c r="H54" s="53"/>
      <c r="I54" s="54"/>
      <c r="J54" s="53">
        <f>SUM(AG43:AG56)</f>
        <v>1161.1</v>
      </c>
      <c r="K54" s="54"/>
      <c r="L54" s="53">
        <f>SUM(AH43:AH56)</f>
        <v>42345.18</v>
      </c>
    </row>
    <row r="55" spans="1:12" ht="60.75" customHeight="1">
      <c r="A55" s="71"/>
      <c r="B55" s="71" t="s">
        <v>30</v>
      </c>
      <c r="C55" s="71" t="s">
        <v>416</v>
      </c>
      <c r="D55" s="56" t="s">
        <v>415</v>
      </c>
      <c r="E55" s="57">
        <f>Source!CA29</f>
        <v>52</v>
      </c>
      <c r="F55" s="57"/>
      <c r="G55" s="57">
        <f>Source!AU29</f>
        <v>52</v>
      </c>
      <c r="H55" s="58"/>
      <c r="I55" s="59"/>
      <c r="J55" s="58">
        <f>SUM(AI43:AI56)</f>
        <v>663.48</v>
      </c>
      <c r="K55" s="59"/>
      <c r="L55" s="58">
        <f>SUM(AJ43:AJ56)</f>
        <v>24197.25</v>
      </c>
    </row>
    <row r="56" spans="3:53" ht="15">
      <c r="C56" s="136" t="s">
        <v>417</v>
      </c>
      <c r="D56" s="136"/>
      <c r="E56" s="136"/>
      <c r="F56" s="136"/>
      <c r="G56" s="136"/>
      <c r="H56" s="136"/>
      <c r="I56" s="136">
        <f>J46+J47+J49+J54+J55</f>
        <v>3571.82</v>
      </c>
      <c r="J56" s="136"/>
      <c r="O56" s="45">
        <f>I56</f>
        <v>3571.82</v>
      </c>
      <c r="P56">
        <f>K56</f>
        <v>0</v>
      </c>
      <c r="Q56" s="45">
        <f>J46</f>
        <v>1275.93</v>
      </c>
      <c r="R56" s="45">
        <f>J46</f>
        <v>1275.93</v>
      </c>
      <c r="U56" s="45">
        <f>L46</f>
        <v>46533.17</v>
      </c>
      <c r="X56" s="45">
        <f>J48</f>
        <v>0</v>
      </c>
      <c r="Z56" s="45">
        <f>L48</f>
        <v>0</v>
      </c>
      <c r="AB56" s="45">
        <f>J47</f>
        <v>471.31</v>
      </c>
      <c r="AD56" s="45">
        <f>L47</f>
        <v>0</v>
      </c>
      <c r="AF56" s="45">
        <f>J49</f>
        <v>0</v>
      </c>
      <c r="AN56">
        <f>IF(Source!BI29&lt;=1,J46+J47+J49+J54+J55,0)</f>
        <v>3571.82</v>
      </c>
      <c r="AO56">
        <f>IF(Source!BI29&lt;=1,J49,0)</f>
        <v>0</v>
      </c>
      <c r="AP56">
        <f>IF(Source!BI29&lt;=1,J47,0)</f>
        <v>471.31</v>
      </c>
      <c r="AQ56">
        <f>IF(Source!BI29&lt;=1,J46,0)</f>
        <v>1275.93</v>
      </c>
      <c r="AX56">
        <f>IF(Source!BI29=2,J46+J47+J49+J54+J55,0)</f>
        <v>0</v>
      </c>
      <c r="AY56">
        <f>IF(Source!BI29=2,J49,0)</f>
        <v>0</v>
      </c>
      <c r="AZ56">
        <f>IF(Source!BI29=2,J47,0)</f>
        <v>0</v>
      </c>
      <c r="BA56">
        <f>IF(Source!BI29=2,J46,0)</f>
        <v>0</v>
      </c>
    </row>
    <row r="57" spans="1:56" ht="117.75">
      <c r="A57" s="69">
        <v>2</v>
      </c>
      <c r="B57" s="69" t="str">
        <f>Source!F31</f>
        <v>11-01-011-01</v>
      </c>
      <c r="C57" s="69" t="s">
        <v>418</v>
      </c>
      <c r="D57" s="52" t="str">
        <f>Source!H31</f>
        <v>100 м2</v>
      </c>
      <c r="E57" s="47">
        <f>Source!K31</f>
        <v>3.4128</v>
      </c>
      <c r="F57" s="47"/>
      <c r="G57" s="47">
        <f>Source!I31</f>
        <v>3.4128</v>
      </c>
      <c r="H57" s="53"/>
      <c r="I57" s="54"/>
      <c r="J57" s="53"/>
      <c r="K57" s="54"/>
      <c r="L57" s="53"/>
      <c r="AG57">
        <f>Source!X31</f>
        <v>916.79</v>
      </c>
      <c r="AH57">
        <f>Source!HK31</f>
        <v>33435.24</v>
      </c>
      <c r="AI57">
        <f>Source!Y31</f>
        <v>532.06</v>
      </c>
      <c r="AJ57">
        <f>Source!HL31</f>
        <v>19404.38</v>
      </c>
      <c r="AS57">
        <f>IF(Source!BI31&lt;=1,AH57,0)</f>
        <v>33435.24</v>
      </c>
      <c r="AT57">
        <f>IF(Source!BI31&lt;=1,AJ57,0)</f>
        <v>19404.38</v>
      </c>
      <c r="BC57">
        <f>IF(Source!BI31=2,AH57,0)</f>
        <v>0</v>
      </c>
      <c r="BD57">
        <f>IF(Source!BI31=2,AJ57,0)</f>
        <v>0</v>
      </c>
    </row>
    <row r="58" spans="2:3" ht="51">
      <c r="B58" s="46" t="str">
        <f>Source!EO31</f>
        <v>Поправка: МР 519/пр Табл.2, п.1</v>
      </c>
      <c r="C58" s="46" t="str">
        <f>Source!CN31</f>
        <v>Поправка: МР 519/пр Табл.2, п.1  Наименование: При демонтаже (разборке) сборных бетонных и железобетонных конструкций</v>
      </c>
    </row>
    <row r="59" ht="12.75">
      <c r="C59" s="43" t="str">
        <f>"Объем: "&amp;Source!K31&amp;"=341,28/"&amp;"100"</f>
        <v>Объем: 3,4128=341,28/100</v>
      </c>
    </row>
    <row r="60" spans="1:12" ht="14.25">
      <c r="A60" s="69"/>
      <c r="B60" s="70">
        <v>1</v>
      </c>
      <c r="C60" s="69" t="s">
        <v>405</v>
      </c>
      <c r="D60" s="52"/>
      <c r="E60" s="47"/>
      <c r="F60" s="47"/>
      <c r="G60" s="47"/>
      <c r="H60" s="53">
        <f>Source!AO31</f>
        <v>282.66</v>
      </c>
      <c r="I60" s="54">
        <f>ROUND(0.8,7)</f>
        <v>0.8</v>
      </c>
      <c r="J60" s="53">
        <f>ROUND(Source!AF31*Source!I31,2)</f>
        <v>771.74</v>
      </c>
      <c r="K60" s="54">
        <f>IF(Source!BA31&lt;&gt;0,Source!BA31,1)</f>
        <v>36.47</v>
      </c>
      <c r="L60" s="53">
        <f>Source!HJ31</f>
        <v>28145.36</v>
      </c>
    </row>
    <row r="61" spans="1:12" ht="14.25">
      <c r="A61" s="69"/>
      <c r="B61" s="70">
        <v>3</v>
      </c>
      <c r="C61" s="69" t="s">
        <v>406</v>
      </c>
      <c r="D61" s="52"/>
      <c r="E61" s="47"/>
      <c r="F61" s="47"/>
      <c r="G61" s="47"/>
      <c r="H61" s="53">
        <f>Source!AM31</f>
        <v>43.61</v>
      </c>
      <c r="I61" s="54">
        <f>ROUND(0.8,7)</f>
        <v>0.8</v>
      </c>
      <c r="J61" s="53">
        <f>ROUND(Source!AD31*Source!I31,2)</f>
        <v>119.07</v>
      </c>
      <c r="K61" s="54"/>
      <c r="L61" s="53"/>
    </row>
    <row r="62" spans="1:12" ht="14.25">
      <c r="A62" s="69"/>
      <c r="B62" s="70">
        <v>2</v>
      </c>
      <c r="C62" s="69" t="s">
        <v>407</v>
      </c>
      <c r="D62" s="52"/>
      <c r="E62" s="47"/>
      <c r="F62" s="47"/>
      <c r="G62" s="47"/>
      <c r="H62" s="53">
        <f>Source!AN31</f>
        <v>17.15</v>
      </c>
      <c r="I62" s="54">
        <f>ROUND(0.8,7)</f>
        <v>0.8</v>
      </c>
      <c r="J62" s="55">
        <f>ROUND(Source!AE31*Source!I31,2)</f>
        <v>46.82</v>
      </c>
      <c r="K62" s="54">
        <f>IF(Source!BS31&lt;&gt;0,Source!BS31,1)</f>
        <v>36.47</v>
      </c>
      <c r="L62" s="55">
        <f>Source!HI31</f>
        <v>1707.53</v>
      </c>
    </row>
    <row r="63" spans="1:12" ht="14.25">
      <c r="A63" s="69"/>
      <c r="B63" s="70">
        <v>4</v>
      </c>
      <c r="C63" s="69" t="s">
        <v>408</v>
      </c>
      <c r="D63" s="52"/>
      <c r="E63" s="47"/>
      <c r="F63" s="47"/>
      <c r="G63" s="47"/>
      <c r="H63" s="53">
        <f>Source!AL31</f>
        <v>8.54</v>
      </c>
      <c r="I63" s="54">
        <f>ROUND(0,7)</f>
        <v>0</v>
      </c>
      <c r="J63" s="53">
        <f>ROUND(Source!AC31*Source!I31,2)</f>
        <v>0</v>
      </c>
      <c r="K63" s="54"/>
      <c r="L63" s="53"/>
    </row>
    <row r="64" spans="1:12" ht="14.25">
      <c r="A64" s="69"/>
      <c r="B64" s="69"/>
      <c r="C64" s="69" t="s">
        <v>409</v>
      </c>
      <c r="D64" s="52" t="s">
        <v>410</v>
      </c>
      <c r="E64" s="47">
        <f>Source!AQ31</f>
        <v>35.6</v>
      </c>
      <c r="F64" s="47">
        <f>ROUND(0.8,7)</f>
        <v>0.8</v>
      </c>
      <c r="G64" s="98">
        <f>ROUND(Source!U31,7)</f>
        <v>97.196544</v>
      </c>
      <c r="H64" s="53"/>
      <c r="I64" s="54"/>
      <c r="J64" s="53"/>
      <c r="K64" s="54"/>
      <c r="L64" s="53"/>
    </row>
    <row r="65" spans="1:12" ht="14.25">
      <c r="A65" s="69"/>
      <c r="B65" s="69"/>
      <c r="C65" s="71" t="s">
        <v>411</v>
      </c>
      <c r="D65" s="56" t="s">
        <v>410</v>
      </c>
      <c r="E65" s="57">
        <f>Source!AR31</f>
        <v>1.27</v>
      </c>
      <c r="F65" s="57">
        <f>ROUND(0.8,7)</f>
        <v>0.8</v>
      </c>
      <c r="G65" s="100">
        <f>ROUND(Source!V31,7)</f>
        <v>3.4674048</v>
      </c>
      <c r="H65" s="58"/>
      <c r="I65" s="59"/>
      <c r="J65" s="58"/>
      <c r="K65" s="59"/>
      <c r="L65" s="58"/>
    </row>
    <row r="66" spans="1:12" ht="14.25">
      <c r="A66" s="69"/>
      <c r="B66" s="69"/>
      <c r="C66" s="69" t="s">
        <v>412</v>
      </c>
      <c r="D66" s="52"/>
      <c r="E66" s="47"/>
      <c r="F66" s="47"/>
      <c r="G66" s="47"/>
      <c r="H66" s="53">
        <f>H60+H61+H63</f>
        <v>334.81000000000006</v>
      </c>
      <c r="I66" s="54"/>
      <c r="J66" s="53">
        <f>J60+J61+J63</f>
        <v>890.81</v>
      </c>
      <c r="K66" s="54"/>
      <c r="L66" s="53"/>
    </row>
    <row r="67" spans="1:56" ht="14.25">
      <c r="A67" s="69" t="s">
        <v>48</v>
      </c>
      <c r="B67" s="69" t="str">
        <f>Source!F35</f>
        <v>01.7.03.01-0001</v>
      </c>
      <c r="C67" s="69" t="str">
        <f>Source!G35</f>
        <v>Вода</v>
      </c>
      <c r="D67" s="52" t="str">
        <f>Source!H35</f>
        <v>м3</v>
      </c>
      <c r="E67" s="47">
        <f>SmtRes!AT15</f>
        <v>-3.5</v>
      </c>
      <c r="F67" s="47">
        <f>ROUND(0,7)</f>
        <v>0</v>
      </c>
      <c r="G67" s="47">
        <f>Source!I35</f>
        <v>0</v>
      </c>
      <c r="H67" s="53">
        <f>Source!AL35+Source!AO35+Source!AM35</f>
        <v>2.44</v>
      </c>
      <c r="I67" s="54"/>
      <c r="J67" s="53">
        <f>ROUND(Source!AC35*Source!I35,2)+ROUND(Source!AD35*Source!I35,2)+ROUND(Source!AF35*Source!I35,2)</f>
        <v>0</v>
      </c>
      <c r="K67" s="54"/>
      <c r="L67" s="53"/>
      <c r="AF67" s="45">
        <f>J67</f>
        <v>0</v>
      </c>
      <c r="AG67">
        <f>Source!X35</f>
        <v>0</v>
      </c>
      <c r="AH67">
        <f>Source!HK35</f>
        <v>0</v>
      </c>
      <c r="AI67">
        <f>Source!Y35</f>
        <v>0</v>
      </c>
      <c r="AJ67">
        <f>Source!HL35</f>
        <v>0</v>
      </c>
      <c r="AN67">
        <f>IF(Source!BI35&lt;=1,J67,0)</f>
        <v>0</v>
      </c>
      <c r="AO67">
        <f>IF(Source!BI35&lt;=1,J67,0)</f>
        <v>0</v>
      </c>
      <c r="AS67">
        <f>IF(Source!BI35&lt;=1,AH67,0)</f>
        <v>0</v>
      </c>
      <c r="AT67">
        <f>IF(Source!BI35&lt;=1,AJ67,0)</f>
        <v>0</v>
      </c>
      <c r="AX67">
        <f>IF(Source!BI35=2,J67,0)</f>
        <v>0</v>
      </c>
      <c r="AY67">
        <f>IF(Source!BI35=2,J67,0)</f>
        <v>0</v>
      </c>
      <c r="BC67">
        <f>IF(Source!BI35=2,AH67,0)</f>
        <v>0</v>
      </c>
      <c r="BD67">
        <f>IF(Source!BI35=2,AJ67,0)</f>
        <v>0</v>
      </c>
    </row>
    <row r="68" spans="1:12" ht="14.25">
      <c r="A68" s="69"/>
      <c r="B68" s="69"/>
      <c r="C68" s="69" t="s">
        <v>413</v>
      </c>
      <c r="D68" s="52"/>
      <c r="E68" s="47"/>
      <c r="F68" s="47"/>
      <c r="G68" s="47"/>
      <c r="H68" s="53"/>
      <c r="I68" s="54"/>
      <c r="J68" s="53">
        <f>SUM(Q57:Q71)+SUM(V57:V71)+SUM(X57:X71)+SUM(Y57:Y71)</f>
        <v>818.5600000000001</v>
      </c>
      <c r="K68" s="54"/>
      <c r="L68" s="53">
        <f>SUM(U57:U71)+SUM(W57:W71)+SUM(Z57:Z71)+SUM(AA57:AA71)</f>
        <v>29852.89</v>
      </c>
    </row>
    <row r="69" spans="1:12" ht="14.25">
      <c r="A69" s="69"/>
      <c r="B69" s="69" t="s">
        <v>42</v>
      </c>
      <c r="C69" s="69" t="s">
        <v>419</v>
      </c>
      <c r="D69" s="52" t="s">
        <v>415</v>
      </c>
      <c r="E69" s="47">
        <f>Source!BZ31</f>
        <v>112</v>
      </c>
      <c r="F69" s="47"/>
      <c r="G69" s="47">
        <f>Source!AT31</f>
        <v>112</v>
      </c>
      <c r="H69" s="53"/>
      <c r="I69" s="54"/>
      <c r="J69" s="53">
        <f>SUM(AG57:AG71)</f>
        <v>916.79</v>
      </c>
      <c r="K69" s="54"/>
      <c r="L69" s="53">
        <f>SUM(AH57:AH71)</f>
        <v>33435.24</v>
      </c>
    </row>
    <row r="70" spans="1:12" ht="14.25">
      <c r="A70" s="71"/>
      <c r="B70" s="71" t="s">
        <v>43</v>
      </c>
      <c r="C70" s="71" t="s">
        <v>420</v>
      </c>
      <c r="D70" s="56" t="s">
        <v>415</v>
      </c>
      <c r="E70" s="57">
        <f>Source!CA31</f>
        <v>65</v>
      </c>
      <c r="F70" s="57"/>
      <c r="G70" s="57">
        <f>Source!AU31</f>
        <v>65</v>
      </c>
      <c r="H70" s="58"/>
      <c r="I70" s="59"/>
      <c r="J70" s="58">
        <f>SUM(AI57:AI71)</f>
        <v>532.06</v>
      </c>
      <c r="K70" s="59"/>
      <c r="L70" s="58">
        <f>SUM(AJ57:AJ71)</f>
        <v>19404.38</v>
      </c>
    </row>
    <row r="71" spans="3:53" ht="15">
      <c r="C71" s="136" t="s">
        <v>417</v>
      </c>
      <c r="D71" s="136"/>
      <c r="E71" s="136"/>
      <c r="F71" s="136"/>
      <c r="G71" s="136"/>
      <c r="H71" s="136"/>
      <c r="I71" s="136">
        <f>J60+J61+J63+J69+J70+SUM(J67:J67)</f>
        <v>2339.66</v>
      </c>
      <c r="J71" s="136"/>
      <c r="O71" s="45">
        <f>I71</f>
        <v>2339.66</v>
      </c>
      <c r="P71">
        <f>K71</f>
        <v>0</v>
      </c>
      <c r="Q71" s="45">
        <f>J60</f>
        <v>771.74</v>
      </c>
      <c r="R71" s="45">
        <f>J60</f>
        <v>771.74</v>
      </c>
      <c r="U71" s="45">
        <f>L60</f>
        <v>28145.36</v>
      </c>
      <c r="X71" s="45">
        <f>J62</f>
        <v>46.82</v>
      </c>
      <c r="Z71" s="45">
        <f>L62</f>
        <v>1707.53</v>
      </c>
      <c r="AB71" s="45">
        <f>J61</f>
        <v>119.07</v>
      </c>
      <c r="AD71" s="45">
        <f>L61</f>
        <v>0</v>
      </c>
      <c r="AF71" s="45">
        <f>J63</f>
        <v>0</v>
      </c>
      <c r="AN71">
        <f>IF(Source!BI31&lt;=1,J60+J61+J63+J69+J70,0)</f>
        <v>2339.66</v>
      </c>
      <c r="AO71">
        <f>IF(Source!BI31&lt;=1,J63,0)</f>
        <v>0</v>
      </c>
      <c r="AP71">
        <f>IF(Source!BI31&lt;=1,J61,0)</f>
        <v>119.07</v>
      </c>
      <c r="AQ71">
        <f>IF(Source!BI31&lt;=1,J60,0)</f>
        <v>771.74</v>
      </c>
      <c r="AX71">
        <f>IF(Source!BI31=2,J60+J61+J63+J69+J70,0)</f>
        <v>0</v>
      </c>
      <c r="AY71">
        <f>IF(Source!BI31=2,J63,0)</f>
        <v>0</v>
      </c>
      <c r="AZ71">
        <f>IF(Source!BI31=2,J61,0)</f>
        <v>0</v>
      </c>
      <c r="BA71">
        <f>IF(Source!BI31=2,J60,0)</f>
        <v>0</v>
      </c>
    </row>
    <row r="73" spans="1:95" ht="15">
      <c r="A73" s="61"/>
      <c r="B73" s="62"/>
      <c r="C73" s="126" t="s">
        <v>421</v>
      </c>
      <c r="D73" s="126"/>
      <c r="E73" s="126"/>
      <c r="F73" s="126"/>
      <c r="G73" s="126"/>
      <c r="H73" s="126"/>
      <c r="I73" s="63"/>
      <c r="J73" s="64">
        <f>J75+J76+J77+J78</f>
        <v>2638.05</v>
      </c>
      <c r="K73" s="64"/>
      <c r="L73" s="64"/>
      <c r="CQ73" s="73" t="s">
        <v>421</v>
      </c>
    </row>
    <row r="74" spans="1:12" ht="14.25">
      <c r="A74" s="65"/>
      <c r="B74" s="66"/>
      <c r="C74" s="125" t="s">
        <v>422</v>
      </c>
      <c r="D74" s="124"/>
      <c r="E74" s="124"/>
      <c r="F74" s="124"/>
      <c r="G74" s="124"/>
      <c r="H74" s="124"/>
      <c r="I74" s="67"/>
      <c r="J74" s="68"/>
      <c r="K74" s="68"/>
      <c r="L74" s="68"/>
    </row>
    <row r="75" spans="1:12" ht="14.25">
      <c r="A75" s="65"/>
      <c r="B75" s="66"/>
      <c r="C75" s="124" t="s">
        <v>423</v>
      </c>
      <c r="D75" s="124"/>
      <c r="E75" s="124"/>
      <c r="F75" s="124"/>
      <c r="G75" s="124"/>
      <c r="H75" s="124"/>
      <c r="I75" s="67"/>
      <c r="J75" s="68">
        <f>SUM(Q42:Q71)</f>
        <v>2047.67</v>
      </c>
      <c r="K75" s="68"/>
      <c r="L75" s="68"/>
    </row>
    <row r="76" spans="1:12" ht="14.25">
      <c r="A76" s="65"/>
      <c r="B76" s="66"/>
      <c r="C76" s="124" t="s">
        <v>424</v>
      </c>
      <c r="D76" s="124"/>
      <c r="E76" s="124"/>
      <c r="F76" s="124"/>
      <c r="G76" s="124"/>
      <c r="H76" s="124"/>
      <c r="I76" s="67"/>
      <c r="J76" s="68">
        <f>SUM(AB42:AB71)</f>
        <v>590.38</v>
      </c>
      <c r="K76" s="68"/>
      <c r="L76" s="68"/>
    </row>
    <row r="77" spans="1:12" ht="13.5" customHeight="1" hidden="1">
      <c r="A77" s="65"/>
      <c r="B77" s="66"/>
      <c r="C77" s="124" t="s">
        <v>425</v>
      </c>
      <c r="D77" s="124"/>
      <c r="E77" s="124"/>
      <c r="F77" s="124"/>
      <c r="G77" s="124"/>
      <c r="H77" s="124"/>
      <c r="I77" s="67"/>
      <c r="J77" s="68">
        <f>Source!F40-J82</f>
        <v>0</v>
      </c>
      <c r="K77" s="68"/>
      <c r="L77" s="68"/>
    </row>
    <row r="78" spans="1:12" ht="13.5" customHeight="1" hidden="1">
      <c r="A78" s="65"/>
      <c r="B78" s="66"/>
      <c r="C78" s="124" t="s">
        <v>426</v>
      </c>
      <c r="D78" s="124"/>
      <c r="E78" s="124"/>
      <c r="F78" s="124"/>
      <c r="G78" s="124"/>
      <c r="H78" s="124"/>
      <c r="I78" s="67"/>
      <c r="J78" s="68">
        <f>Source!F62</f>
        <v>0</v>
      </c>
      <c r="K78" s="68"/>
      <c r="L78" s="68"/>
    </row>
    <row r="79" spans="1:12" ht="14.25">
      <c r="A79" s="65"/>
      <c r="B79" s="66"/>
      <c r="C79" s="124" t="s">
        <v>427</v>
      </c>
      <c r="D79" s="124"/>
      <c r="E79" s="124"/>
      <c r="F79" s="124"/>
      <c r="G79" s="124"/>
      <c r="H79" s="124"/>
      <c r="I79" s="67"/>
      <c r="J79" s="68">
        <f>SUM(Q42:Q71)+SUM(X42:X71)</f>
        <v>2094.4900000000002</v>
      </c>
      <c r="K79" s="68"/>
      <c r="L79" s="68"/>
    </row>
    <row r="80" spans="1:12" ht="14.25">
      <c r="A80" s="65"/>
      <c r="B80" s="66"/>
      <c r="C80" s="124" t="s">
        <v>428</v>
      </c>
      <c r="D80" s="124"/>
      <c r="E80" s="124"/>
      <c r="F80" s="124"/>
      <c r="G80" s="124"/>
      <c r="H80" s="124"/>
      <c r="I80" s="67"/>
      <c r="J80" s="68">
        <f>Source!F63</f>
        <v>2077.89</v>
      </c>
      <c r="K80" s="68"/>
      <c r="L80" s="68"/>
    </row>
    <row r="81" spans="1:12" ht="14.25">
      <c r="A81" s="65"/>
      <c r="B81" s="66"/>
      <c r="C81" s="124" t="s">
        <v>429</v>
      </c>
      <c r="D81" s="124"/>
      <c r="E81" s="124"/>
      <c r="F81" s="124"/>
      <c r="G81" s="124"/>
      <c r="H81" s="124"/>
      <c r="I81" s="67"/>
      <c r="J81" s="68">
        <f>Source!F64</f>
        <v>1195.54</v>
      </c>
      <c r="K81" s="68"/>
      <c r="L81" s="68"/>
    </row>
    <row r="82" spans="1:12" ht="13.5" customHeight="1" hidden="1">
      <c r="A82" s="65"/>
      <c r="B82" s="66"/>
      <c r="C82" s="124" t="s">
        <v>430</v>
      </c>
      <c r="D82" s="124"/>
      <c r="E82" s="124"/>
      <c r="F82" s="124"/>
      <c r="G82" s="124"/>
      <c r="H82" s="124"/>
      <c r="I82" s="67"/>
      <c r="J82" s="68">
        <f>Source!F46</f>
        <v>0</v>
      </c>
      <c r="K82" s="68"/>
      <c r="L82" s="68"/>
    </row>
    <row r="83" spans="1:12" ht="13.5" customHeight="1" hidden="1">
      <c r="A83" s="65"/>
      <c r="B83" s="66"/>
      <c r="C83" s="124" t="s">
        <v>431</v>
      </c>
      <c r="D83" s="124"/>
      <c r="E83" s="124"/>
      <c r="F83" s="124"/>
      <c r="G83" s="124"/>
      <c r="H83" s="124"/>
      <c r="I83" s="67"/>
      <c r="J83" s="68">
        <f>Source!F56</f>
        <v>0</v>
      </c>
      <c r="K83" s="68"/>
      <c r="L83" s="68"/>
    </row>
    <row r="84" spans="1:12" ht="15">
      <c r="A84" s="61"/>
      <c r="B84" s="62"/>
      <c r="C84" s="126" t="s">
        <v>432</v>
      </c>
      <c r="D84" s="126"/>
      <c r="E84" s="126"/>
      <c r="F84" s="126"/>
      <c r="G84" s="126"/>
      <c r="H84" s="126"/>
      <c r="I84" s="63"/>
      <c r="J84" s="64">
        <f>Source!F65</f>
        <v>5911.48</v>
      </c>
      <c r="K84" s="64"/>
      <c r="L84" s="64"/>
    </row>
    <row r="85" spans="1:12" ht="13.5" customHeight="1" hidden="1">
      <c r="A85" s="65"/>
      <c r="B85" s="66"/>
      <c r="C85" s="125" t="s">
        <v>422</v>
      </c>
      <c r="D85" s="124"/>
      <c r="E85" s="124"/>
      <c r="F85" s="124"/>
      <c r="G85" s="124"/>
      <c r="H85" s="124"/>
      <c r="I85" s="67"/>
      <c r="J85" s="68"/>
      <c r="K85" s="68"/>
      <c r="L85" s="68"/>
    </row>
    <row r="86" spans="1:12" ht="13.5" customHeight="1" hidden="1">
      <c r="A86" s="65"/>
      <c r="B86" s="66"/>
      <c r="C86" s="124" t="s">
        <v>433</v>
      </c>
      <c r="D86" s="124"/>
      <c r="E86" s="124"/>
      <c r="F86" s="124"/>
      <c r="G86" s="124"/>
      <c r="H86" s="124"/>
      <c r="I86" s="67"/>
      <c r="J86" s="68"/>
      <c r="K86" s="68"/>
      <c r="L86" s="68">
        <f>SUM(BS42:BS71)</f>
        <v>0</v>
      </c>
    </row>
    <row r="87" spans="1:12" ht="13.5" customHeight="1" hidden="1">
      <c r="A87" s="65"/>
      <c r="B87" s="66"/>
      <c r="C87" s="124" t="s">
        <v>434</v>
      </c>
      <c r="D87" s="124"/>
      <c r="E87" s="124"/>
      <c r="F87" s="124"/>
      <c r="G87" s="124"/>
      <c r="H87" s="124"/>
      <c r="I87" s="67"/>
      <c r="J87" s="68"/>
      <c r="K87" s="68"/>
      <c r="L87" s="68">
        <f>SUM(BT42:BT71)</f>
        <v>0</v>
      </c>
    </row>
    <row r="89" spans="1:12" ht="16.5">
      <c r="A89" s="137" t="s">
        <v>435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1:56" ht="130.5">
      <c r="A90" s="69">
        <v>3</v>
      </c>
      <c r="B90" s="69" t="str">
        <f>Source!F72</f>
        <v>12-01-017-01</v>
      </c>
      <c r="C90" s="69" t="s">
        <v>436</v>
      </c>
      <c r="D90" s="52" t="str">
        <f>Source!H72</f>
        <v>100 м2</v>
      </c>
      <c r="E90" s="47">
        <f>Source!K72</f>
        <v>3.4128</v>
      </c>
      <c r="F90" s="47"/>
      <c r="G90" s="47">
        <f>Source!I72</f>
        <v>3.4128</v>
      </c>
      <c r="H90" s="53"/>
      <c r="I90" s="54"/>
      <c r="J90" s="53"/>
      <c r="K90" s="54"/>
      <c r="L90" s="53"/>
      <c r="AG90">
        <f>Source!X72</f>
        <v>899.83</v>
      </c>
      <c r="AH90">
        <f>Source!HK72</f>
        <v>32816.88</v>
      </c>
      <c r="AI90">
        <f>Source!Y72</f>
        <v>444.41</v>
      </c>
      <c r="AJ90">
        <f>Source!HL72</f>
        <v>16207.73</v>
      </c>
      <c r="AS90">
        <f>IF(Source!BI72&lt;=1,AH90,0)</f>
        <v>32816.88</v>
      </c>
      <c r="AT90">
        <f>IF(Source!BI72&lt;=1,AJ90,0)</f>
        <v>16207.73</v>
      </c>
      <c r="BC90">
        <f>IF(Source!BI72=2,AH90,0)</f>
        <v>0</v>
      </c>
      <c r="BD90">
        <f>IF(Source!BI72=2,AJ90,0)</f>
        <v>0</v>
      </c>
    </row>
    <row r="91" spans="2:3" ht="165.75">
      <c r="B91" s="46" t="str">
        <f>Source!EO72</f>
        <v>Поправка: М-ка 421/пр 04.08.20 п.58 п.п. б)</v>
      </c>
      <c r="C91" s="46" t="str">
        <f>Source!CN72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92" ht="12.75">
      <c r="C92" s="43" t="str">
        <f>"Объем: "&amp;Source!K72&amp;"=341,28/"&amp;"100"</f>
        <v>Объем: 3,4128=341,28/100</v>
      </c>
    </row>
    <row r="93" spans="1:12" ht="14.25">
      <c r="A93" s="69"/>
      <c r="B93" s="70">
        <v>1</v>
      </c>
      <c r="C93" s="69" t="s">
        <v>405</v>
      </c>
      <c r="D93" s="52"/>
      <c r="E93" s="47"/>
      <c r="F93" s="47"/>
      <c r="G93" s="47"/>
      <c r="H93" s="53">
        <f>Source!AO72</f>
        <v>209.95</v>
      </c>
      <c r="I93" s="54">
        <f>ROUND(1.15,7)</f>
        <v>1.15</v>
      </c>
      <c r="J93" s="53">
        <f>ROUND(Source!AF72*Source!I72,2)</f>
        <v>823.99</v>
      </c>
      <c r="K93" s="54">
        <f>IF(Source!BA72&lt;&gt;0,Source!BA72,1)</f>
        <v>36.47</v>
      </c>
      <c r="L93" s="53">
        <f>Source!HJ72</f>
        <v>30050.92</v>
      </c>
    </row>
    <row r="94" spans="1:12" ht="14.25">
      <c r="A94" s="69"/>
      <c r="B94" s="70">
        <v>3</v>
      </c>
      <c r="C94" s="69" t="s">
        <v>406</v>
      </c>
      <c r="D94" s="52"/>
      <c r="E94" s="47"/>
      <c r="F94" s="47"/>
      <c r="G94" s="47"/>
      <c r="H94" s="53">
        <f>Source!AM72</f>
        <v>189.93</v>
      </c>
      <c r="I94" s="54">
        <f>ROUND(1.25,7)</f>
        <v>1.25</v>
      </c>
      <c r="J94" s="53">
        <f>ROUND(Source!AD72*Source!I72,2)</f>
        <v>810.27</v>
      </c>
      <c r="K94" s="54"/>
      <c r="L94" s="53"/>
    </row>
    <row r="95" spans="1:12" ht="14.25">
      <c r="A95" s="69"/>
      <c r="B95" s="70">
        <v>2</v>
      </c>
      <c r="C95" s="69" t="s">
        <v>407</v>
      </c>
      <c r="D95" s="52"/>
      <c r="E95" s="47"/>
      <c r="F95" s="47"/>
      <c r="G95" s="47"/>
      <c r="H95" s="53">
        <f>Source!AN72</f>
        <v>21.86</v>
      </c>
      <c r="I95" s="54">
        <f>ROUND(1.25,7)</f>
        <v>1.25</v>
      </c>
      <c r="J95" s="55">
        <f>ROUND(Source!AE72*Source!I72,2)</f>
        <v>93.27</v>
      </c>
      <c r="K95" s="54">
        <f>IF(Source!BS72&lt;&gt;0,Source!BS72,1)</f>
        <v>36.47</v>
      </c>
      <c r="L95" s="55">
        <f>Source!HI72</f>
        <v>3401.56</v>
      </c>
    </row>
    <row r="96" spans="1:12" ht="14.25">
      <c r="A96" s="69"/>
      <c r="B96" s="70">
        <v>4</v>
      </c>
      <c r="C96" s="69" t="s">
        <v>408</v>
      </c>
      <c r="D96" s="52"/>
      <c r="E96" s="47"/>
      <c r="F96" s="47"/>
      <c r="G96" s="47"/>
      <c r="H96" s="53">
        <f>Source!AL72</f>
        <v>36.67</v>
      </c>
      <c r="I96" s="54"/>
      <c r="J96" s="53">
        <f>ROUND(Source!AC72*Source!I72,2)</f>
        <v>125.15</v>
      </c>
      <c r="K96" s="54"/>
      <c r="L96" s="53"/>
    </row>
    <row r="97" spans="1:12" ht="14.25">
      <c r="A97" s="69"/>
      <c r="B97" s="69"/>
      <c r="C97" s="69" t="s">
        <v>409</v>
      </c>
      <c r="D97" s="52" t="s">
        <v>410</v>
      </c>
      <c r="E97" s="47">
        <f>Source!AQ72</f>
        <v>24.3</v>
      </c>
      <c r="F97" s="47">
        <f>ROUND(1.15,7)</f>
        <v>1.15</v>
      </c>
      <c r="G97" s="98">
        <f>ROUND(Source!U72,7)</f>
        <v>95.370696</v>
      </c>
      <c r="H97" s="53"/>
      <c r="I97" s="54"/>
      <c r="J97" s="53"/>
      <c r="K97" s="54"/>
      <c r="L97" s="53"/>
    </row>
    <row r="98" spans="1:12" ht="14.25">
      <c r="A98" s="69"/>
      <c r="B98" s="69"/>
      <c r="C98" s="71" t="s">
        <v>411</v>
      </c>
      <c r="D98" s="56" t="s">
        <v>410</v>
      </c>
      <c r="E98" s="57">
        <f>Source!AR72</f>
        <v>1.94</v>
      </c>
      <c r="F98" s="57">
        <f>ROUND(1.25,7)</f>
        <v>1.25</v>
      </c>
      <c r="G98" s="100">
        <f>ROUND(Source!V72,7)</f>
        <v>8.27604</v>
      </c>
      <c r="H98" s="58"/>
      <c r="I98" s="59"/>
      <c r="J98" s="58"/>
      <c r="K98" s="59"/>
      <c r="L98" s="58"/>
    </row>
    <row r="99" spans="1:12" ht="14.25">
      <c r="A99" s="69"/>
      <c r="B99" s="69"/>
      <c r="C99" s="69" t="s">
        <v>412</v>
      </c>
      <c r="D99" s="52"/>
      <c r="E99" s="47"/>
      <c r="F99" s="47"/>
      <c r="G99" s="47"/>
      <c r="H99" s="53">
        <f>H93+H94+H96</f>
        <v>436.55</v>
      </c>
      <c r="I99" s="54"/>
      <c r="J99" s="53">
        <f>J93+J94+J96</f>
        <v>1759.41</v>
      </c>
      <c r="K99" s="54"/>
      <c r="L99" s="53"/>
    </row>
    <row r="100" spans="1:56" ht="28.5">
      <c r="A100" s="69" t="s">
        <v>120</v>
      </c>
      <c r="B100" s="69" t="str">
        <f>Source!F74</f>
        <v>04.3.02.11-0011</v>
      </c>
      <c r="C100" s="69" t="str">
        <f>Source!G74</f>
        <v>Смеси сухие цементные (пескобетон), класс B22,5 (M300)</v>
      </c>
      <c r="D100" s="52" t="str">
        <f>Source!H74</f>
        <v>т</v>
      </c>
      <c r="E100" s="98">
        <f>SmtRes!AT31</f>
        <v>2.707965</v>
      </c>
      <c r="F100" s="47"/>
      <c r="G100" s="98">
        <f>Source!I74</f>
        <v>9.241743</v>
      </c>
      <c r="H100" s="53">
        <f>Source!AL74+Source!AO74+Source!AM74</f>
        <v>1243.05</v>
      </c>
      <c r="I100" s="54"/>
      <c r="J100" s="53">
        <f>ROUND(Source!AC74*Source!I74,2)+ROUND(Source!AD74*Source!I74,2)+ROUND(Source!AF74*Source!I74,2)</f>
        <v>11487.95</v>
      </c>
      <c r="K100" s="54"/>
      <c r="L100" s="53"/>
      <c r="AF100" s="45">
        <f>J100</f>
        <v>11487.95</v>
      </c>
      <c r="AG100">
        <f>Source!X74</f>
        <v>0</v>
      </c>
      <c r="AH100">
        <f>Source!HK74</f>
        <v>0</v>
      </c>
      <c r="AI100">
        <f>Source!Y74</f>
        <v>0</v>
      </c>
      <c r="AJ100">
        <f>Source!HL74</f>
        <v>0</v>
      </c>
      <c r="AN100">
        <f>IF(Source!BI74&lt;=1,J100,0)</f>
        <v>11487.95</v>
      </c>
      <c r="AO100">
        <f>IF(Source!BI74&lt;=1,J100,0)</f>
        <v>11487.95</v>
      </c>
      <c r="AS100">
        <f>IF(Source!BI74&lt;=1,AH100,0)</f>
        <v>0</v>
      </c>
      <c r="AT100">
        <f>IF(Source!BI74&lt;=1,AJ100,0)</f>
        <v>0</v>
      </c>
      <c r="AX100">
        <f>IF(Source!BI74=2,J100,0)</f>
        <v>0</v>
      </c>
      <c r="AY100">
        <f>IF(Source!BI74=2,J100,0)</f>
        <v>0</v>
      </c>
      <c r="BC100">
        <f>IF(Source!BI74=2,AH100,0)</f>
        <v>0</v>
      </c>
      <c r="BD100">
        <f>IF(Source!BI74=2,AJ100,0)</f>
        <v>0</v>
      </c>
    </row>
    <row r="101" spans="1:12" ht="14.25">
      <c r="A101" s="69"/>
      <c r="B101" s="69"/>
      <c r="C101" s="69" t="s">
        <v>413</v>
      </c>
      <c r="D101" s="52"/>
      <c r="E101" s="47"/>
      <c r="F101" s="47"/>
      <c r="G101" s="47"/>
      <c r="H101" s="53"/>
      <c r="I101" s="54"/>
      <c r="J101" s="53">
        <f>SUM(Q90:Q104)+SUM(V90:V104)+SUM(X90:X104)+SUM(Y90:Y104)</f>
        <v>917.26</v>
      </c>
      <c r="K101" s="54"/>
      <c r="L101" s="53">
        <f>SUM(U90:U104)+SUM(W90:W104)+SUM(Z90:Z104)+SUM(AA90:AA104)</f>
        <v>33452.479999999996</v>
      </c>
    </row>
    <row r="102" spans="1:12" ht="28.5">
      <c r="A102" s="69"/>
      <c r="B102" s="69" t="s">
        <v>437</v>
      </c>
      <c r="C102" s="69" t="s">
        <v>438</v>
      </c>
      <c r="D102" s="52" t="s">
        <v>415</v>
      </c>
      <c r="E102" s="47">
        <f>Source!BZ72</f>
        <v>109</v>
      </c>
      <c r="F102" s="47">
        <f>ROUND(0.9,7)</f>
        <v>0.9</v>
      </c>
      <c r="G102" s="47">
        <f>Source!AT72</f>
        <v>98.1</v>
      </c>
      <c r="H102" s="53"/>
      <c r="I102" s="54"/>
      <c r="J102" s="53">
        <f>SUM(AG90:AG104)</f>
        <v>899.83</v>
      </c>
      <c r="K102" s="54"/>
      <c r="L102" s="53">
        <f>SUM(AH90:AH104)</f>
        <v>32816.88</v>
      </c>
    </row>
    <row r="103" spans="1:12" ht="28.5">
      <c r="A103" s="71"/>
      <c r="B103" s="71" t="s">
        <v>439</v>
      </c>
      <c r="C103" s="71" t="s">
        <v>440</v>
      </c>
      <c r="D103" s="56" t="s">
        <v>415</v>
      </c>
      <c r="E103" s="57">
        <f>Source!CA72</f>
        <v>57</v>
      </c>
      <c r="F103" s="57">
        <f>ROUND(0.85,7)</f>
        <v>0.85</v>
      </c>
      <c r="G103" s="57">
        <f>Source!AU72</f>
        <v>48.45</v>
      </c>
      <c r="H103" s="58"/>
      <c r="I103" s="59"/>
      <c r="J103" s="58">
        <f>SUM(AI90:AI104)</f>
        <v>444.41</v>
      </c>
      <c r="K103" s="59"/>
      <c r="L103" s="58">
        <f>SUM(AJ90:AJ104)</f>
        <v>16207.73</v>
      </c>
    </row>
    <row r="104" spans="3:53" ht="15">
      <c r="C104" s="136" t="s">
        <v>417</v>
      </c>
      <c r="D104" s="136"/>
      <c r="E104" s="136"/>
      <c r="F104" s="136"/>
      <c r="G104" s="136"/>
      <c r="H104" s="136"/>
      <c r="I104" s="136">
        <f>J93+J94+J96+J102+J103+SUM(J100:J100)</f>
        <v>14591.6</v>
      </c>
      <c r="J104" s="136"/>
      <c r="O104" s="45">
        <f>I104</f>
        <v>14591.6</v>
      </c>
      <c r="P104">
        <f>K104</f>
        <v>0</v>
      </c>
      <c r="Q104" s="45">
        <f>J93</f>
        <v>823.99</v>
      </c>
      <c r="R104" s="45">
        <f>J93</f>
        <v>823.99</v>
      </c>
      <c r="U104" s="45">
        <f>L93</f>
        <v>30050.92</v>
      </c>
      <c r="X104" s="45">
        <f>J95</f>
        <v>93.27</v>
      </c>
      <c r="Z104" s="45">
        <f>L95</f>
        <v>3401.56</v>
      </c>
      <c r="AB104" s="45">
        <f>J94</f>
        <v>810.27</v>
      </c>
      <c r="AD104" s="45">
        <f>L94</f>
        <v>0</v>
      </c>
      <c r="AF104" s="45">
        <f>J96</f>
        <v>125.15</v>
      </c>
      <c r="AN104">
        <f>IF(Source!BI72&lt;=1,J93+J94+J96+J102+J103,0)</f>
        <v>3103.65</v>
      </c>
      <c r="AO104">
        <f>IF(Source!BI72&lt;=1,J96,0)</f>
        <v>125.15</v>
      </c>
      <c r="AP104">
        <f>IF(Source!BI72&lt;=1,J94,0)</f>
        <v>810.27</v>
      </c>
      <c r="AQ104">
        <f>IF(Source!BI72&lt;=1,J93,0)</f>
        <v>823.99</v>
      </c>
      <c r="AX104">
        <f>IF(Source!BI72=2,J93+J94+J96+J102+J103,0)</f>
        <v>0</v>
      </c>
      <c r="AY104">
        <f>IF(Source!BI72=2,J96,0)</f>
        <v>0</v>
      </c>
      <c r="AZ104">
        <f>IF(Source!BI72=2,J94,0)</f>
        <v>0</v>
      </c>
      <c r="BA104">
        <f>IF(Source!BI72=2,J93,0)</f>
        <v>0</v>
      </c>
    </row>
    <row r="105" spans="1:56" ht="171.75">
      <c r="A105" s="69">
        <v>4</v>
      </c>
      <c r="B105" s="69" t="str">
        <f>Source!F76</f>
        <v>12-01-017-02</v>
      </c>
      <c r="C105" s="69" t="s">
        <v>441</v>
      </c>
      <c r="D105" s="52" t="str">
        <f>Source!H76</f>
        <v>100 м2</v>
      </c>
      <c r="E105" s="47">
        <f>Source!K76</f>
        <v>3.4128</v>
      </c>
      <c r="F105" s="47"/>
      <c r="G105" s="47">
        <f>Source!I76</f>
        <v>3.4128</v>
      </c>
      <c r="H105" s="53"/>
      <c r="I105" s="54"/>
      <c r="J105" s="53"/>
      <c r="K105" s="54"/>
      <c r="L105" s="53"/>
      <c r="AG105">
        <f>Source!X76</f>
        <v>173.46</v>
      </c>
      <c r="AH105">
        <f>Source!HK76</f>
        <v>6326.11</v>
      </c>
      <c r="AI105">
        <f>Source!Y76</f>
        <v>85.67</v>
      </c>
      <c r="AJ105">
        <f>Source!HL76</f>
        <v>3124.36</v>
      </c>
      <c r="AS105">
        <f>IF(Source!BI76&lt;=1,AH105,0)</f>
        <v>6326.11</v>
      </c>
      <c r="AT105">
        <f>IF(Source!BI76&lt;=1,AJ105,0)</f>
        <v>3124.36</v>
      </c>
      <c r="BC105">
        <f>IF(Source!BI76=2,AH105,0)</f>
        <v>0</v>
      </c>
      <c r="BD105">
        <f>IF(Source!BI76=2,AJ105,0)</f>
        <v>0</v>
      </c>
    </row>
    <row r="106" spans="2:3" ht="165.75">
      <c r="B106" s="46" t="str">
        <f>Source!EO76</f>
        <v>Поправка: М-ка 421/пр 04.08.20 п.58 п.п. б)</v>
      </c>
      <c r="C106" s="46" t="str">
        <f>Source!CN76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07" ht="12.75">
      <c r="C107" s="43" t="str">
        <f>"Объем: "&amp;Source!K76&amp;"=341,28/"&amp;"100"</f>
        <v>Объем: 3,4128=341,28/100</v>
      </c>
    </row>
    <row r="108" spans="1:12" ht="14.25">
      <c r="A108" s="69"/>
      <c r="B108" s="70">
        <v>1</v>
      </c>
      <c r="C108" s="69" t="s">
        <v>405</v>
      </c>
      <c r="D108" s="52"/>
      <c r="E108" s="47"/>
      <c r="F108" s="47"/>
      <c r="G108" s="47"/>
      <c r="H108" s="53">
        <f>Source!AO76</f>
        <v>8.64</v>
      </c>
      <c r="I108" s="54">
        <f>ROUND((1.15)*5,7)</f>
        <v>5.75</v>
      </c>
      <c r="J108" s="53">
        <f>ROUND(Source!AF76*Source!I76,2)</f>
        <v>169.55</v>
      </c>
      <c r="K108" s="54">
        <f>IF(Source!BA76&lt;&gt;0,Source!BA76,1)</f>
        <v>36.47</v>
      </c>
      <c r="L108" s="53">
        <f>Source!HJ76</f>
        <v>6183.49</v>
      </c>
    </row>
    <row r="109" spans="1:12" ht="14.25">
      <c r="A109" s="69"/>
      <c r="B109" s="70">
        <v>3</v>
      </c>
      <c r="C109" s="69" t="s">
        <v>406</v>
      </c>
      <c r="D109" s="52"/>
      <c r="E109" s="47"/>
      <c r="F109" s="47"/>
      <c r="G109" s="47"/>
      <c r="H109" s="53">
        <f>Source!AM76</f>
        <v>2.66</v>
      </c>
      <c r="I109" s="54">
        <f>ROUND((1.25)*5,7)</f>
        <v>6.25</v>
      </c>
      <c r="J109" s="53">
        <f>ROUND(Source!AD76*Source!I76,2)</f>
        <v>56.75</v>
      </c>
      <c r="K109" s="54"/>
      <c r="L109" s="53"/>
    </row>
    <row r="110" spans="1:12" ht="14.25">
      <c r="A110" s="69"/>
      <c r="B110" s="70">
        <v>2</v>
      </c>
      <c r="C110" s="69" t="s">
        <v>407</v>
      </c>
      <c r="D110" s="52"/>
      <c r="E110" s="47"/>
      <c r="F110" s="47"/>
      <c r="G110" s="47"/>
      <c r="H110" s="53">
        <f>Source!AN76</f>
        <v>0.34</v>
      </c>
      <c r="I110" s="54">
        <f>ROUND((1.25)*5,7)</f>
        <v>6.25</v>
      </c>
      <c r="J110" s="55">
        <f>ROUND(Source!AE76*Source!I76,2)</f>
        <v>7.27</v>
      </c>
      <c r="K110" s="54">
        <f>IF(Source!BS76&lt;&gt;0,Source!BS76,1)</f>
        <v>36.47</v>
      </c>
      <c r="L110" s="55">
        <f>Source!HI76</f>
        <v>265.14</v>
      </c>
    </row>
    <row r="111" spans="1:12" ht="14.25">
      <c r="A111" s="69"/>
      <c r="B111" s="70">
        <v>4</v>
      </c>
      <c r="C111" s="69" t="s">
        <v>408</v>
      </c>
      <c r="D111" s="52"/>
      <c r="E111" s="47"/>
      <c r="F111" s="47"/>
      <c r="G111" s="47"/>
      <c r="H111" s="53">
        <f>Source!AL76</f>
        <v>0</v>
      </c>
      <c r="I111" s="54">
        <f>ROUND(5,7)</f>
        <v>5</v>
      </c>
      <c r="J111" s="53">
        <f>ROUND(Source!AC76*Source!I76,2)</f>
        <v>0</v>
      </c>
      <c r="K111" s="54"/>
      <c r="L111" s="53"/>
    </row>
    <row r="112" spans="1:12" ht="14.25">
      <c r="A112" s="69"/>
      <c r="B112" s="69"/>
      <c r="C112" s="69" t="s">
        <v>409</v>
      </c>
      <c r="D112" s="52" t="s">
        <v>410</v>
      </c>
      <c r="E112" s="47">
        <f>Source!AQ76</f>
        <v>1</v>
      </c>
      <c r="F112" s="47">
        <f>ROUND((1.15)*5,7)</f>
        <v>5.75</v>
      </c>
      <c r="G112" s="98">
        <f>ROUND(Source!U76,7)</f>
        <v>19.6236</v>
      </c>
      <c r="H112" s="53"/>
      <c r="I112" s="54"/>
      <c r="J112" s="53"/>
      <c r="K112" s="54"/>
      <c r="L112" s="53"/>
    </row>
    <row r="113" spans="1:12" ht="14.25">
      <c r="A113" s="69"/>
      <c r="B113" s="69"/>
      <c r="C113" s="71" t="s">
        <v>411</v>
      </c>
      <c r="D113" s="56" t="s">
        <v>410</v>
      </c>
      <c r="E113" s="57">
        <f>Source!AR76</f>
        <v>0.03</v>
      </c>
      <c r="F113" s="57">
        <f>ROUND((1.25)*5,7)</f>
        <v>6.25</v>
      </c>
      <c r="G113" s="100">
        <f>ROUND(Source!V76,7)</f>
        <v>0.6399</v>
      </c>
      <c r="H113" s="58"/>
      <c r="I113" s="59"/>
      <c r="J113" s="58"/>
      <c r="K113" s="59"/>
      <c r="L113" s="58"/>
    </row>
    <row r="114" spans="1:12" ht="14.25">
      <c r="A114" s="69"/>
      <c r="B114" s="69"/>
      <c r="C114" s="69" t="s">
        <v>412</v>
      </c>
      <c r="D114" s="52"/>
      <c r="E114" s="47"/>
      <c r="F114" s="47"/>
      <c r="G114" s="47"/>
      <c r="H114" s="53">
        <f>H108+H109+H111</f>
        <v>11.3</v>
      </c>
      <c r="I114" s="54"/>
      <c r="J114" s="53">
        <f>J108+J109+J111</f>
        <v>226.3</v>
      </c>
      <c r="K114" s="54"/>
      <c r="L114" s="53"/>
    </row>
    <row r="115" spans="1:56" ht="28.5">
      <c r="A115" s="69" t="s">
        <v>132</v>
      </c>
      <c r="B115" s="69" t="str">
        <f>Source!F78</f>
        <v>04.3.02.11-0011</v>
      </c>
      <c r="C115" s="69" t="str">
        <f>Source!G78</f>
        <v>Смеси сухие цементные (пескобетон), класс B22,5 (M300)</v>
      </c>
      <c r="D115" s="52" t="str">
        <f>Source!H78</f>
        <v>т</v>
      </c>
      <c r="E115" s="98">
        <f>SmtRes!AT42</f>
        <v>0.903343</v>
      </c>
      <c r="F115" s="47"/>
      <c r="G115" s="98">
        <f>Source!I78</f>
        <v>3.082929</v>
      </c>
      <c r="H115" s="53">
        <f>Source!AL78+Source!AO78+Source!AM78</f>
        <v>1243.05</v>
      </c>
      <c r="I115" s="54"/>
      <c r="J115" s="53">
        <f>ROUND(Source!AC78*Source!I78,2)+ROUND(Source!AD78*Source!I78,2)+ROUND(Source!AF78*Source!I78,2)</f>
        <v>3832.23</v>
      </c>
      <c r="K115" s="54"/>
      <c r="L115" s="53"/>
      <c r="AF115" s="45">
        <f>J115</f>
        <v>3832.23</v>
      </c>
      <c r="AG115">
        <f>Source!X78</f>
        <v>0</v>
      </c>
      <c r="AH115">
        <f>Source!HK78</f>
        <v>0</v>
      </c>
      <c r="AI115">
        <f>Source!Y78</f>
        <v>0</v>
      </c>
      <c r="AJ115">
        <f>Source!HL78</f>
        <v>0</v>
      </c>
      <c r="AN115">
        <f>IF(Source!BI78&lt;=1,J115,0)</f>
        <v>3832.23</v>
      </c>
      <c r="AO115">
        <f>IF(Source!BI78&lt;=1,J115,0)</f>
        <v>3832.23</v>
      </c>
      <c r="AS115">
        <f>IF(Source!BI78&lt;=1,AH115,0)</f>
        <v>0</v>
      </c>
      <c r="AT115">
        <f>IF(Source!BI78&lt;=1,AJ115,0)</f>
        <v>0</v>
      </c>
      <c r="AX115">
        <f>IF(Source!BI78=2,J115,0)</f>
        <v>0</v>
      </c>
      <c r="AY115">
        <f>IF(Source!BI78=2,J115,0)</f>
        <v>0</v>
      </c>
      <c r="BC115">
        <f>IF(Source!BI78=2,AH115,0)</f>
        <v>0</v>
      </c>
      <c r="BD115">
        <f>IF(Source!BI78=2,AJ115,0)</f>
        <v>0</v>
      </c>
    </row>
    <row r="116" spans="1:12" ht="14.25">
      <c r="A116" s="69"/>
      <c r="B116" s="69"/>
      <c r="C116" s="69" t="s">
        <v>413</v>
      </c>
      <c r="D116" s="52"/>
      <c r="E116" s="47"/>
      <c r="F116" s="47"/>
      <c r="G116" s="47"/>
      <c r="H116" s="53"/>
      <c r="I116" s="54"/>
      <c r="J116" s="53">
        <f>SUM(Q105:Q119)+SUM(V105:V119)+SUM(X105:X119)+SUM(Y105:Y119)</f>
        <v>176.82000000000002</v>
      </c>
      <c r="K116" s="54"/>
      <c r="L116" s="53">
        <f>SUM(U105:U119)+SUM(W105:W119)+SUM(Z105:Z119)+SUM(AA105:AA119)</f>
        <v>6448.63</v>
      </c>
    </row>
    <row r="117" spans="1:12" ht="28.5">
      <c r="A117" s="69"/>
      <c r="B117" s="69" t="s">
        <v>437</v>
      </c>
      <c r="C117" s="69" t="s">
        <v>438</v>
      </c>
      <c r="D117" s="52" t="s">
        <v>415</v>
      </c>
      <c r="E117" s="47">
        <f>Source!BZ76</f>
        <v>109</v>
      </c>
      <c r="F117" s="47">
        <f>ROUND(0.9,7)</f>
        <v>0.9</v>
      </c>
      <c r="G117" s="47">
        <f>Source!AT76</f>
        <v>98.1</v>
      </c>
      <c r="H117" s="53"/>
      <c r="I117" s="54"/>
      <c r="J117" s="53">
        <f>SUM(AG105:AG119)</f>
        <v>173.46</v>
      </c>
      <c r="K117" s="54"/>
      <c r="L117" s="53">
        <f>SUM(AH105:AH119)</f>
        <v>6326.11</v>
      </c>
    </row>
    <row r="118" spans="1:12" ht="28.5">
      <c r="A118" s="71"/>
      <c r="B118" s="71" t="s">
        <v>439</v>
      </c>
      <c r="C118" s="71" t="s">
        <v>440</v>
      </c>
      <c r="D118" s="56" t="s">
        <v>415</v>
      </c>
      <c r="E118" s="57">
        <f>Source!CA76</f>
        <v>57</v>
      </c>
      <c r="F118" s="57">
        <f>ROUND(0.85,7)</f>
        <v>0.85</v>
      </c>
      <c r="G118" s="57">
        <f>Source!AU76</f>
        <v>48.45</v>
      </c>
      <c r="H118" s="58"/>
      <c r="I118" s="59"/>
      <c r="J118" s="58">
        <f>SUM(AI105:AI119)</f>
        <v>85.67</v>
      </c>
      <c r="K118" s="59"/>
      <c r="L118" s="58">
        <f>SUM(AJ105:AJ119)</f>
        <v>3124.36</v>
      </c>
    </row>
    <row r="119" spans="3:53" ht="15">
      <c r="C119" s="136" t="s">
        <v>417</v>
      </c>
      <c r="D119" s="136"/>
      <c r="E119" s="136"/>
      <c r="F119" s="136"/>
      <c r="G119" s="136"/>
      <c r="H119" s="136"/>
      <c r="I119" s="136">
        <f>J108+J109+J111+J117+J118+SUM(J115:J115)</f>
        <v>4317.66</v>
      </c>
      <c r="J119" s="136"/>
      <c r="O119" s="45">
        <f>I119</f>
        <v>4317.66</v>
      </c>
      <c r="P119">
        <f>K119</f>
        <v>0</v>
      </c>
      <c r="Q119" s="45">
        <f>J108</f>
        <v>169.55</v>
      </c>
      <c r="R119" s="45">
        <f>J108</f>
        <v>169.55</v>
      </c>
      <c r="U119" s="45">
        <f>L108</f>
        <v>6183.49</v>
      </c>
      <c r="X119" s="45">
        <f>J110</f>
        <v>7.27</v>
      </c>
      <c r="Z119" s="45">
        <f>L110</f>
        <v>265.14</v>
      </c>
      <c r="AB119" s="45">
        <f>J109</f>
        <v>56.75</v>
      </c>
      <c r="AD119" s="45">
        <f>L109</f>
        <v>0</v>
      </c>
      <c r="AF119" s="45">
        <f>J111</f>
        <v>0</v>
      </c>
      <c r="AN119">
        <f>IF(Source!BI76&lt;=1,J108+J109+J111+J117+J118,0)</f>
        <v>485.43</v>
      </c>
      <c r="AO119">
        <f>IF(Source!BI76&lt;=1,J111,0)</f>
        <v>0</v>
      </c>
      <c r="AP119">
        <f>IF(Source!BI76&lt;=1,J109,0)</f>
        <v>56.75</v>
      </c>
      <c r="AQ119">
        <f>IF(Source!BI76&lt;=1,J108,0)</f>
        <v>169.55</v>
      </c>
      <c r="AX119">
        <f>IF(Source!BI76=2,J108+J109+J111+J117+J118,0)</f>
        <v>0</v>
      </c>
      <c r="AY119">
        <f>IF(Source!BI76=2,J111,0)</f>
        <v>0</v>
      </c>
      <c r="AZ119">
        <f>IF(Source!BI76=2,J109,0)</f>
        <v>0</v>
      </c>
      <c r="BA119">
        <f>IF(Source!BI76=2,J108,0)</f>
        <v>0</v>
      </c>
    </row>
    <row r="120" spans="1:56" ht="159">
      <c r="A120" s="69">
        <v>5</v>
      </c>
      <c r="B120" s="69" t="str">
        <f>Source!F80</f>
        <v>12-01-016-02</v>
      </c>
      <c r="C120" s="69" t="s">
        <v>442</v>
      </c>
      <c r="D120" s="52" t="str">
        <f>Source!H80</f>
        <v>100 м2</v>
      </c>
      <c r="E120" s="47">
        <f>Source!K80</f>
        <v>11.376</v>
      </c>
      <c r="F120" s="47"/>
      <c r="G120" s="47">
        <f>Source!I80</f>
        <v>11.376</v>
      </c>
      <c r="H120" s="53"/>
      <c r="I120" s="54"/>
      <c r="J120" s="53"/>
      <c r="K120" s="54"/>
      <c r="L120" s="53"/>
      <c r="AG120">
        <f>Source!X80</f>
        <v>320.51</v>
      </c>
      <c r="AH120">
        <f>Source!HK80</f>
        <v>11689.09</v>
      </c>
      <c r="AI120">
        <f>Source!Y80</f>
        <v>158.3</v>
      </c>
      <c r="AJ120">
        <f>Source!HL80</f>
        <v>5773.05</v>
      </c>
      <c r="AS120">
        <f>IF(Source!BI80&lt;=1,AH120,0)</f>
        <v>11689.09</v>
      </c>
      <c r="AT120">
        <f>IF(Source!BI80&lt;=1,AJ120,0)</f>
        <v>5773.05</v>
      </c>
      <c r="BC120">
        <f>IF(Source!BI80=2,AH120,0)</f>
        <v>0</v>
      </c>
      <c r="BD120">
        <f>IF(Source!BI80=2,AJ120,0)</f>
        <v>0</v>
      </c>
    </row>
    <row r="121" spans="2:3" ht="165.75">
      <c r="B121" s="46" t="str">
        <f>Source!EO80</f>
        <v>Поправка: М-ка 421/пр 04.08.20 п.58 п.п. б)</v>
      </c>
      <c r="C121" s="46" t="str">
        <f>Source!CN80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22" ht="12.75">
      <c r="C122" s="43" t="str">
        <f>"Объем: "&amp;Source!K80&amp;"=1137,6/"&amp;"100"</f>
        <v>Объем: 11,376=1137,6/100</v>
      </c>
    </row>
    <row r="123" spans="1:12" ht="14.25">
      <c r="A123" s="69"/>
      <c r="B123" s="70">
        <v>1</v>
      </c>
      <c r="C123" s="69" t="s">
        <v>405</v>
      </c>
      <c r="D123" s="52"/>
      <c r="E123" s="47"/>
      <c r="F123" s="47"/>
      <c r="G123" s="47"/>
      <c r="H123" s="53">
        <f>Source!AO80</f>
        <v>24.47</v>
      </c>
      <c r="I123" s="54">
        <f>ROUND(1.15,7)</f>
        <v>1.15</v>
      </c>
      <c r="J123" s="53">
        <f>ROUND(Source!AF80*Source!I80,2)</f>
        <v>320.12</v>
      </c>
      <c r="K123" s="54">
        <f>IF(Source!BA80&lt;&gt;0,Source!BA80,1)</f>
        <v>36.47</v>
      </c>
      <c r="L123" s="53">
        <f>Source!HJ80</f>
        <v>11674.78</v>
      </c>
    </row>
    <row r="124" spans="1:12" ht="14.25">
      <c r="A124" s="69"/>
      <c r="B124" s="70">
        <v>3</v>
      </c>
      <c r="C124" s="69" t="s">
        <v>406</v>
      </c>
      <c r="D124" s="52"/>
      <c r="E124" s="47"/>
      <c r="F124" s="47"/>
      <c r="G124" s="47"/>
      <c r="H124" s="53">
        <f>Source!AM80</f>
        <v>2.63</v>
      </c>
      <c r="I124" s="54">
        <f>ROUND(1.25,7)</f>
        <v>1.25</v>
      </c>
      <c r="J124" s="53">
        <f>ROUND(Source!AD80*Source!I80,2)</f>
        <v>37.43</v>
      </c>
      <c r="K124" s="54"/>
      <c r="L124" s="53"/>
    </row>
    <row r="125" spans="1:12" ht="14.25">
      <c r="A125" s="69"/>
      <c r="B125" s="70">
        <v>2</v>
      </c>
      <c r="C125" s="69" t="s">
        <v>407</v>
      </c>
      <c r="D125" s="52"/>
      <c r="E125" s="47"/>
      <c r="F125" s="47"/>
      <c r="G125" s="47"/>
      <c r="H125" s="53">
        <f>Source!AN80</f>
        <v>0.46</v>
      </c>
      <c r="I125" s="54">
        <f>ROUND(1.25,7)</f>
        <v>1.25</v>
      </c>
      <c r="J125" s="55">
        <f>ROUND(Source!AE80*Source!I80,2)</f>
        <v>6.6</v>
      </c>
      <c r="K125" s="54">
        <f>IF(Source!BS80&lt;&gt;0,Source!BS80,1)</f>
        <v>36.47</v>
      </c>
      <c r="L125" s="55">
        <f>Source!HI80</f>
        <v>240.7</v>
      </c>
    </row>
    <row r="126" spans="1:12" ht="14.25">
      <c r="A126" s="69"/>
      <c r="B126" s="70">
        <v>4</v>
      </c>
      <c r="C126" s="69" t="s">
        <v>408</v>
      </c>
      <c r="D126" s="52"/>
      <c r="E126" s="47"/>
      <c r="F126" s="47"/>
      <c r="G126" s="47"/>
      <c r="H126" s="53">
        <f>Source!AL80</f>
        <v>90</v>
      </c>
      <c r="I126" s="54"/>
      <c r="J126" s="53">
        <f>ROUND(Source!AC80*Source!I80,2)</f>
        <v>1023.84</v>
      </c>
      <c r="K126" s="54"/>
      <c r="L126" s="53"/>
    </row>
    <row r="127" spans="1:12" ht="14.25">
      <c r="A127" s="69"/>
      <c r="B127" s="69"/>
      <c r="C127" s="69" t="s">
        <v>409</v>
      </c>
      <c r="D127" s="52" t="s">
        <v>410</v>
      </c>
      <c r="E127" s="47">
        <f>Source!AQ80</f>
        <v>2.8</v>
      </c>
      <c r="F127" s="47">
        <f>ROUND(1.15,7)</f>
        <v>1.15</v>
      </c>
      <c r="G127" s="98">
        <f>ROUND(Source!U80,7)</f>
        <v>36.63072</v>
      </c>
      <c r="H127" s="53"/>
      <c r="I127" s="54"/>
      <c r="J127" s="53"/>
      <c r="K127" s="54"/>
      <c r="L127" s="53"/>
    </row>
    <row r="128" spans="1:12" ht="14.25">
      <c r="A128" s="69"/>
      <c r="B128" s="69"/>
      <c r="C128" s="71" t="s">
        <v>411</v>
      </c>
      <c r="D128" s="56" t="s">
        <v>410</v>
      </c>
      <c r="E128" s="57">
        <f>Source!AR80</f>
        <v>0.04</v>
      </c>
      <c r="F128" s="57">
        <f>ROUND(1.25,7)</f>
        <v>1.25</v>
      </c>
      <c r="G128" s="100">
        <f>ROUND(Source!V80,7)</f>
        <v>0.5688</v>
      </c>
      <c r="H128" s="58"/>
      <c r="I128" s="59"/>
      <c r="J128" s="58"/>
      <c r="K128" s="59"/>
      <c r="L128" s="58"/>
    </row>
    <row r="129" spans="1:12" ht="14.25">
      <c r="A129" s="69"/>
      <c r="B129" s="69"/>
      <c r="C129" s="69" t="s">
        <v>412</v>
      </c>
      <c r="D129" s="52"/>
      <c r="E129" s="47"/>
      <c r="F129" s="47"/>
      <c r="G129" s="47"/>
      <c r="H129" s="53">
        <f>H123+H124+H126</f>
        <v>117.1</v>
      </c>
      <c r="I129" s="54"/>
      <c r="J129" s="53">
        <f>J123+J124+J126</f>
        <v>1381.39</v>
      </c>
      <c r="K129" s="54"/>
      <c r="L129" s="53"/>
    </row>
    <row r="130" spans="1:12" ht="14.25">
      <c r="A130" s="69"/>
      <c r="B130" s="69"/>
      <c r="C130" s="69" t="s">
        <v>413</v>
      </c>
      <c r="D130" s="52"/>
      <c r="E130" s="47"/>
      <c r="F130" s="47"/>
      <c r="G130" s="47"/>
      <c r="H130" s="53"/>
      <c r="I130" s="54"/>
      <c r="J130" s="53">
        <f>SUM(Q120:Q133)+SUM(V120:V133)+SUM(X120:X133)+SUM(Y120:Y133)</f>
        <v>326.72</v>
      </c>
      <c r="K130" s="54"/>
      <c r="L130" s="53">
        <f>SUM(U120:U133)+SUM(W120:W133)+SUM(Z120:Z133)+SUM(AA120:AA133)</f>
        <v>11915.480000000001</v>
      </c>
    </row>
    <row r="131" spans="1:12" ht="28.5">
      <c r="A131" s="69"/>
      <c r="B131" s="69" t="s">
        <v>437</v>
      </c>
      <c r="C131" s="69" t="s">
        <v>438</v>
      </c>
      <c r="D131" s="52" t="s">
        <v>415</v>
      </c>
      <c r="E131" s="47">
        <f>Source!BZ80</f>
        <v>109</v>
      </c>
      <c r="F131" s="47">
        <f>ROUND(0.9,7)</f>
        <v>0.9</v>
      </c>
      <c r="G131" s="47">
        <f>Source!AT80</f>
        <v>98.1</v>
      </c>
      <c r="H131" s="53"/>
      <c r="I131" s="54"/>
      <c r="J131" s="53">
        <f>SUM(AG120:AG133)</f>
        <v>320.51</v>
      </c>
      <c r="K131" s="54"/>
      <c r="L131" s="53">
        <f>SUM(AH120:AH133)</f>
        <v>11689.09</v>
      </c>
    </row>
    <row r="132" spans="1:12" ht="28.5">
      <c r="A132" s="71"/>
      <c r="B132" s="71" t="s">
        <v>439</v>
      </c>
      <c r="C132" s="71" t="s">
        <v>440</v>
      </c>
      <c r="D132" s="56" t="s">
        <v>415</v>
      </c>
      <c r="E132" s="57">
        <f>Source!CA80</f>
        <v>57</v>
      </c>
      <c r="F132" s="57">
        <f>ROUND(0.85,7)</f>
        <v>0.85</v>
      </c>
      <c r="G132" s="57">
        <f>Source!AU80</f>
        <v>48.45</v>
      </c>
      <c r="H132" s="58"/>
      <c r="I132" s="59"/>
      <c r="J132" s="58">
        <f>SUM(AI120:AI133)</f>
        <v>158.3</v>
      </c>
      <c r="K132" s="59"/>
      <c r="L132" s="58">
        <f>SUM(AJ120:AJ133)</f>
        <v>5773.05</v>
      </c>
    </row>
    <row r="133" spans="3:53" ht="15">
      <c r="C133" s="136" t="s">
        <v>417</v>
      </c>
      <c r="D133" s="136"/>
      <c r="E133" s="136"/>
      <c r="F133" s="136"/>
      <c r="G133" s="136"/>
      <c r="H133" s="136"/>
      <c r="I133" s="136">
        <f>J123+J124+J126+J131+J132</f>
        <v>1860.2</v>
      </c>
      <c r="J133" s="136"/>
      <c r="O133" s="45">
        <f>I133</f>
        <v>1860.2</v>
      </c>
      <c r="P133">
        <f>K133</f>
        <v>0</v>
      </c>
      <c r="Q133" s="45">
        <f>J123</f>
        <v>320.12</v>
      </c>
      <c r="R133" s="45">
        <f>J123</f>
        <v>320.12</v>
      </c>
      <c r="U133" s="45">
        <f>L123</f>
        <v>11674.78</v>
      </c>
      <c r="X133" s="45">
        <f>J125</f>
        <v>6.6</v>
      </c>
      <c r="Z133" s="45">
        <f>L125</f>
        <v>240.7</v>
      </c>
      <c r="AB133" s="45">
        <f>J124</f>
        <v>37.43</v>
      </c>
      <c r="AD133" s="45">
        <f>L124</f>
        <v>0</v>
      </c>
      <c r="AF133" s="45">
        <f>J126</f>
        <v>1023.84</v>
      </c>
      <c r="AN133">
        <f>IF(Source!BI80&lt;=1,J123+J124+J126+J131+J132,0)</f>
        <v>1860.2</v>
      </c>
      <c r="AO133">
        <f>IF(Source!BI80&lt;=1,J126,0)</f>
        <v>1023.84</v>
      </c>
      <c r="AP133">
        <f>IF(Source!BI80&lt;=1,J124,0)</f>
        <v>37.43</v>
      </c>
      <c r="AQ133">
        <f>IF(Source!BI80&lt;=1,J123,0)</f>
        <v>320.12</v>
      </c>
      <c r="AX133">
        <f>IF(Source!BI80=2,J123+J124+J126+J131+J132,0)</f>
        <v>0</v>
      </c>
      <c r="AY133">
        <f>IF(Source!BI80=2,J126,0)</f>
        <v>0</v>
      </c>
      <c r="AZ133">
        <f>IF(Source!BI80=2,J124,0)</f>
        <v>0</v>
      </c>
      <c r="BA133">
        <f>IF(Source!BI80=2,J123,0)</f>
        <v>0</v>
      </c>
    </row>
    <row r="134" spans="1:56" ht="130.5">
      <c r="A134" s="69">
        <v>6</v>
      </c>
      <c r="B134" s="69" t="str">
        <f>Source!F82</f>
        <v>12-01-002-09</v>
      </c>
      <c r="C134" s="69" t="s">
        <v>443</v>
      </c>
      <c r="D134" s="52" t="str">
        <f>Source!H82</f>
        <v>100 м2</v>
      </c>
      <c r="E134" s="47">
        <f>Source!K82</f>
        <v>11.376</v>
      </c>
      <c r="F134" s="47"/>
      <c r="G134" s="47">
        <f>Source!I82</f>
        <v>11.376</v>
      </c>
      <c r="H134" s="53"/>
      <c r="I134" s="54"/>
      <c r="J134" s="53"/>
      <c r="K134" s="54"/>
      <c r="L134" s="53"/>
      <c r="AG134">
        <f>Source!X82</f>
        <v>1784.68</v>
      </c>
      <c r="AH134">
        <f>Source!HK82</f>
        <v>65087.43</v>
      </c>
      <c r="AI134">
        <f>Source!Y82</f>
        <v>881.43</v>
      </c>
      <c r="AJ134">
        <f>Source!HL82</f>
        <v>32145.63</v>
      </c>
      <c r="AS134">
        <f>IF(Source!BI82&lt;=1,AH134,0)</f>
        <v>65087.43</v>
      </c>
      <c r="AT134">
        <f>IF(Source!BI82&lt;=1,AJ134,0)</f>
        <v>32145.63</v>
      </c>
      <c r="BC134">
        <f>IF(Source!BI82=2,AH134,0)</f>
        <v>0</v>
      </c>
      <c r="BD134">
        <f>IF(Source!BI82=2,AJ134,0)</f>
        <v>0</v>
      </c>
    </row>
    <row r="135" spans="2:3" ht="165.75">
      <c r="B135" s="46" t="str">
        <f>Source!EO82</f>
        <v>Поправка: М-ка 421/пр 04.08.20 п.58 п.п. б)</v>
      </c>
      <c r="C135" s="46" t="str">
        <f>Source!CN82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36" ht="12.75">
      <c r="C136" s="43" t="str">
        <f>"Объем: "&amp;Source!K82&amp;"=1137,6/"&amp;"100"</f>
        <v>Объем: 11,376=1137,6/100</v>
      </c>
    </row>
    <row r="137" spans="1:12" ht="14.25">
      <c r="A137" s="69"/>
      <c r="B137" s="70">
        <v>1</v>
      </c>
      <c r="C137" s="69" t="s">
        <v>405</v>
      </c>
      <c r="D137" s="52"/>
      <c r="E137" s="47"/>
      <c r="F137" s="47"/>
      <c r="G137" s="47"/>
      <c r="H137" s="53">
        <f>Source!AO82</f>
        <v>134.98</v>
      </c>
      <c r="I137" s="54">
        <f>ROUND(1.15,7)</f>
        <v>1.15</v>
      </c>
      <c r="J137" s="53">
        <f>ROUND(Source!AF82*Source!I82,2)</f>
        <v>1765.9</v>
      </c>
      <c r="K137" s="54">
        <f>IF(Source!BA82&lt;&gt;0,Source!BA82,1)</f>
        <v>36.47</v>
      </c>
      <c r="L137" s="53">
        <f>Source!HJ82</f>
        <v>64402.37</v>
      </c>
    </row>
    <row r="138" spans="1:12" ht="14.25">
      <c r="A138" s="69"/>
      <c r="B138" s="70">
        <v>3</v>
      </c>
      <c r="C138" s="69" t="s">
        <v>406</v>
      </c>
      <c r="D138" s="52"/>
      <c r="E138" s="47"/>
      <c r="F138" s="47"/>
      <c r="G138" s="47"/>
      <c r="H138" s="53">
        <f>Source!AM82</f>
        <v>24.64</v>
      </c>
      <c r="I138" s="54">
        <f>ROUND(1.25,7)</f>
        <v>1.25</v>
      </c>
      <c r="J138" s="53">
        <f>ROUND(Source!AD82*Source!I82,2)</f>
        <v>350.38</v>
      </c>
      <c r="K138" s="54"/>
      <c r="L138" s="53"/>
    </row>
    <row r="139" spans="1:12" ht="14.25">
      <c r="A139" s="69"/>
      <c r="B139" s="70">
        <v>2</v>
      </c>
      <c r="C139" s="69" t="s">
        <v>407</v>
      </c>
      <c r="D139" s="52"/>
      <c r="E139" s="47"/>
      <c r="F139" s="47"/>
      <c r="G139" s="47"/>
      <c r="H139" s="53">
        <f>Source!AN82</f>
        <v>3.75</v>
      </c>
      <c r="I139" s="54">
        <f>ROUND(1.25,7)</f>
        <v>1.25</v>
      </c>
      <c r="J139" s="55">
        <f>ROUND(Source!AE82*Source!I82,2)</f>
        <v>53.35</v>
      </c>
      <c r="K139" s="54">
        <f>IF(Source!BS82&lt;&gt;0,Source!BS82,1)</f>
        <v>36.47</v>
      </c>
      <c r="L139" s="55">
        <f>Source!HI82</f>
        <v>1945.67</v>
      </c>
    </row>
    <row r="140" spans="1:12" ht="14.25">
      <c r="A140" s="69"/>
      <c r="B140" s="70">
        <v>4</v>
      </c>
      <c r="C140" s="69" t="s">
        <v>408</v>
      </c>
      <c r="D140" s="52"/>
      <c r="E140" s="47"/>
      <c r="F140" s="47"/>
      <c r="G140" s="47"/>
      <c r="H140" s="53">
        <f>Source!AL82</f>
        <v>182.33</v>
      </c>
      <c r="I140" s="54"/>
      <c r="J140" s="53">
        <f>ROUND(Source!AC82*Source!I82,2)</f>
        <v>2074.19</v>
      </c>
      <c r="K140" s="54"/>
      <c r="L140" s="53"/>
    </row>
    <row r="141" spans="1:12" ht="14.25">
      <c r="A141" s="69"/>
      <c r="B141" s="69"/>
      <c r="C141" s="69" t="s">
        <v>409</v>
      </c>
      <c r="D141" s="52" t="s">
        <v>410</v>
      </c>
      <c r="E141" s="47">
        <f>Source!AQ82</f>
        <v>14.36</v>
      </c>
      <c r="F141" s="47">
        <f>ROUND(1.15,7)</f>
        <v>1.15</v>
      </c>
      <c r="G141" s="98">
        <f>ROUND(Source!U82,7)</f>
        <v>187.863264</v>
      </c>
      <c r="H141" s="53"/>
      <c r="I141" s="54"/>
      <c r="J141" s="53"/>
      <c r="K141" s="54"/>
      <c r="L141" s="53"/>
    </row>
    <row r="142" spans="1:12" ht="14.25">
      <c r="A142" s="69"/>
      <c r="B142" s="69"/>
      <c r="C142" s="71" t="s">
        <v>411</v>
      </c>
      <c r="D142" s="56" t="s">
        <v>410</v>
      </c>
      <c r="E142" s="57">
        <f>Source!AR82</f>
        <v>0.29</v>
      </c>
      <c r="F142" s="57">
        <f>ROUND(1.25,7)</f>
        <v>1.25</v>
      </c>
      <c r="G142" s="100">
        <f>ROUND(Source!V82,7)</f>
        <v>4.1238</v>
      </c>
      <c r="H142" s="58"/>
      <c r="I142" s="59"/>
      <c r="J142" s="58"/>
      <c r="K142" s="59"/>
      <c r="L142" s="58"/>
    </row>
    <row r="143" spans="1:12" ht="14.25">
      <c r="A143" s="69"/>
      <c r="B143" s="69"/>
      <c r="C143" s="69" t="s">
        <v>412</v>
      </c>
      <c r="D143" s="52"/>
      <c r="E143" s="47"/>
      <c r="F143" s="47"/>
      <c r="G143" s="47"/>
      <c r="H143" s="53">
        <f>H137+H138+H140</f>
        <v>341.95000000000005</v>
      </c>
      <c r="I143" s="54"/>
      <c r="J143" s="53">
        <f>J137+J138+J140</f>
        <v>4190.47</v>
      </c>
      <c r="K143" s="54"/>
      <c r="L143" s="53"/>
    </row>
    <row r="144" spans="1:56" ht="14.25">
      <c r="A144" s="69" t="s">
        <v>141</v>
      </c>
      <c r="B144" s="69" t="str">
        <f>Source!F84</f>
        <v>12.1.02.08-0091</v>
      </c>
      <c r="C144" s="69" t="str">
        <f>Source!G84</f>
        <v>Линокром: ТКП</v>
      </c>
      <c r="D144" s="52" t="str">
        <f>Source!H84</f>
        <v>м2</v>
      </c>
      <c r="E144" s="47">
        <f>SmtRes!AT65</f>
        <v>114</v>
      </c>
      <c r="F144" s="47"/>
      <c r="G144" s="98">
        <f>Source!I84</f>
        <v>1296.864</v>
      </c>
      <c r="H144" s="53">
        <f>Source!AL84+Source!AO84+Source!AM84</f>
        <v>27.73</v>
      </c>
      <c r="I144" s="54"/>
      <c r="J144" s="53">
        <f>ROUND(Source!AC84*Source!I84,2)+ROUND(Source!AD84*Source!I84,2)+ROUND(Source!AF84*Source!I84,2)</f>
        <v>35962.04</v>
      </c>
      <c r="K144" s="54"/>
      <c r="L144" s="53"/>
      <c r="AF144" s="45">
        <f>J144</f>
        <v>35962.04</v>
      </c>
      <c r="AG144">
        <f>Source!X84</f>
        <v>0</v>
      </c>
      <c r="AH144">
        <f>Source!HK84</f>
        <v>0</v>
      </c>
      <c r="AI144">
        <f>Source!Y84</f>
        <v>0</v>
      </c>
      <c r="AJ144">
        <f>Source!HL84</f>
        <v>0</v>
      </c>
      <c r="AN144">
        <f>IF(Source!BI84&lt;=1,J144,0)</f>
        <v>35962.04</v>
      </c>
      <c r="AO144">
        <f>IF(Source!BI84&lt;=1,J144,0)</f>
        <v>35962.04</v>
      </c>
      <c r="AS144">
        <f>IF(Source!BI84&lt;=1,AH144,0)</f>
        <v>0</v>
      </c>
      <c r="AT144">
        <f>IF(Source!BI84&lt;=1,AJ144,0)</f>
        <v>0</v>
      </c>
      <c r="AX144">
        <f>IF(Source!BI84=2,J144,0)</f>
        <v>0</v>
      </c>
      <c r="AY144">
        <f>IF(Source!BI84=2,J144,0)</f>
        <v>0</v>
      </c>
      <c r="BC144">
        <f>IF(Source!BI84=2,AH144,0)</f>
        <v>0</v>
      </c>
      <c r="BD144">
        <f>IF(Source!BI84=2,AJ144,0)</f>
        <v>0</v>
      </c>
    </row>
    <row r="145" spans="1:56" ht="14.25">
      <c r="A145" s="69" t="s">
        <v>146</v>
      </c>
      <c r="B145" s="69" t="str">
        <f>Source!F86</f>
        <v>12.1.02.08-0095</v>
      </c>
      <c r="C145" s="69" t="str">
        <f>Source!G86</f>
        <v>Линокром: ТПП</v>
      </c>
      <c r="D145" s="52" t="str">
        <f>Source!H86</f>
        <v>м2</v>
      </c>
      <c r="E145" s="47">
        <f>SmtRes!AT66</f>
        <v>116</v>
      </c>
      <c r="F145" s="47"/>
      <c r="G145" s="98">
        <f>Source!I86</f>
        <v>1319.616</v>
      </c>
      <c r="H145" s="53">
        <f>Source!AL86+Source!AO86+Source!AM86</f>
        <v>19.75</v>
      </c>
      <c r="I145" s="54"/>
      <c r="J145" s="53">
        <f>ROUND(Source!AC86*Source!I86,2)+ROUND(Source!AD86*Source!I86,2)+ROUND(Source!AF86*Source!I86,2)</f>
        <v>26062.42</v>
      </c>
      <c r="K145" s="54"/>
      <c r="L145" s="53"/>
      <c r="AF145" s="45">
        <f>J145</f>
        <v>26062.42</v>
      </c>
      <c r="AG145">
        <f>Source!X86</f>
        <v>0</v>
      </c>
      <c r="AH145">
        <f>Source!HK86</f>
        <v>0</v>
      </c>
      <c r="AI145">
        <f>Source!Y86</f>
        <v>0</v>
      </c>
      <c r="AJ145">
        <f>Source!HL86</f>
        <v>0</v>
      </c>
      <c r="AN145">
        <f>IF(Source!BI86&lt;=1,J145,0)</f>
        <v>26062.42</v>
      </c>
      <c r="AO145">
        <f>IF(Source!BI86&lt;=1,J145,0)</f>
        <v>26062.42</v>
      </c>
      <c r="AS145">
        <f>IF(Source!BI86&lt;=1,AH145,0)</f>
        <v>0</v>
      </c>
      <c r="AT145">
        <f>IF(Source!BI86&lt;=1,AJ145,0)</f>
        <v>0</v>
      </c>
      <c r="AX145">
        <f>IF(Source!BI86=2,J145,0)</f>
        <v>0</v>
      </c>
      <c r="AY145">
        <f>IF(Source!BI86=2,J145,0)</f>
        <v>0</v>
      </c>
      <c r="BC145">
        <f>IF(Source!BI86=2,AH145,0)</f>
        <v>0</v>
      </c>
      <c r="BD145">
        <f>IF(Source!BI86=2,AJ145,0)</f>
        <v>0</v>
      </c>
    </row>
    <row r="146" spans="1:12" ht="14.25">
      <c r="A146" s="69"/>
      <c r="B146" s="69"/>
      <c r="C146" s="69" t="s">
        <v>413</v>
      </c>
      <c r="D146" s="52"/>
      <c r="E146" s="47"/>
      <c r="F146" s="47"/>
      <c r="G146" s="47"/>
      <c r="H146" s="53"/>
      <c r="I146" s="54"/>
      <c r="J146" s="53">
        <f>SUM(Q134:Q149)+SUM(V134:V149)+SUM(X134:X149)+SUM(Y134:Y149)</f>
        <v>1819.25</v>
      </c>
      <c r="K146" s="54"/>
      <c r="L146" s="53">
        <f>SUM(U134:U149)+SUM(W134:W149)+SUM(Z134:Z149)+SUM(AA134:AA149)</f>
        <v>66348.04000000001</v>
      </c>
    </row>
    <row r="147" spans="1:12" ht="28.5">
      <c r="A147" s="69"/>
      <c r="B147" s="69" t="s">
        <v>437</v>
      </c>
      <c r="C147" s="69" t="s">
        <v>438</v>
      </c>
      <c r="D147" s="52" t="s">
        <v>415</v>
      </c>
      <c r="E147" s="47">
        <f>Source!BZ82</f>
        <v>109</v>
      </c>
      <c r="F147" s="47">
        <f>ROUND(0.9,7)</f>
        <v>0.9</v>
      </c>
      <c r="G147" s="47">
        <f>Source!AT82</f>
        <v>98.1</v>
      </c>
      <c r="H147" s="53"/>
      <c r="I147" s="54"/>
      <c r="J147" s="53">
        <f>SUM(AG134:AG149)</f>
        <v>1784.68</v>
      </c>
      <c r="K147" s="54"/>
      <c r="L147" s="53">
        <f>SUM(AH134:AH149)</f>
        <v>65087.43</v>
      </c>
    </row>
    <row r="148" spans="1:12" ht="28.5">
      <c r="A148" s="71"/>
      <c r="B148" s="71" t="s">
        <v>439</v>
      </c>
      <c r="C148" s="71" t="s">
        <v>440</v>
      </c>
      <c r="D148" s="56" t="s">
        <v>415</v>
      </c>
      <c r="E148" s="57">
        <f>Source!CA82</f>
        <v>57</v>
      </c>
      <c r="F148" s="57">
        <f>ROUND(0.85,7)</f>
        <v>0.85</v>
      </c>
      <c r="G148" s="57">
        <f>Source!AU82</f>
        <v>48.45</v>
      </c>
      <c r="H148" s="58"/>
      <c r="I148" s="59"/>
      <c r="J148" s="58">
        <f>SUM(AI134:AI149)</f>
        <v>881.43</v>
      </c>
      <c r="K148" s="59"/>
      <c r="L148" s="58">
        <f>SUM(AJ134:AJ149)</f>
        <v>32145.63</v>
      </c>
    </row>
    <row r="149" spans="3:53" ht="15">
      <c r="C149" s="136" t="s">
        <v>417</v>
      </c>
      <c r="D149" s="136"/>
      <c r="E149" s="136"/>
      <c r="F149" s="136"/>
      <c r="G149" s="136"/>
      <c r="H149" s="136"/>
      <c r="I149" s="136">
        <f>J137+J138+J140+J147+J148+SUM(J144:J145)</f>
        <v>68881.04</v>
      </c>
      <c r="J149" s="136"/>
      <c r="O149" s="45">
        <f>I149</f>
        <v>68881.04</v>
      </c>
      <c r="P149">
        <f>K149</f>
        <v>0</v>
      </c>
      <c r="Q149" s="45">
        <f>J137</f>
        <v>1765.9</v>
      </c>
      <c r="R149" s="45">
        <f>J137</f>
        <v>1765.9</v>
      </c>
      <c r="U149" s="45">
        <f>L137</f>
        <v>64402.37</v>
      </c>
      <c r="X149" s="45">
        <f>J139</f>
        <v>53.35</v>
      </c>
      <c r="Z149" s="45">
        <f>L139</f>
        <v>1945.67</v>
      </c>
      <c r="AB149" s="45">
        <f>J138</f>
        <v>350.38</v>
      </c>
      <c r="AD149" s="45">
        <f>L138</f>
        <v>0</v>
      </c>
      <c r="AF149" s="45">
        <f>J140</f>
        <v>2074.19</v>
      </c>
      <c r="AN149">
        <f>IF(Source!BI82&lt;=1,J137+J138+J140+J147+J148,0)</f>
        <v>6856.580000000001</v>
      </c>
      <c r="AO149">
        <f>IF(Source!BI82&lt;=1,J140,0)</f>
        <v>2074.19</v>
      </c>
      <c r="AP149">
        <f>IF(Source!BI82&lt;=1,J138,0)</f>
        <v>350.38</v>
      </c>
      <c r="AQ149">
        <f>IF(Source!BI82&lt;=1,J137,0)</f>
        <v>1765.9</v>
      </c>
      <c r="AX149">
        <f>IF(Source!BI82=2,J137+J138+J140+J147+J148,0)</f>
        <v>0</v>
      </c>
      <c r="AY149">
        <f>IF(Source!BI82=2,J140,0)</f>
        <v>0</v>
      </c>
      <c r="AZ149">
        <f>IF(Source!BI82=2,J138,0)</f>
        <v>0</v>
      </c>
      <c r="BA149">
        <f>IF(Source!BI82=2,J137,0)</f>
        <v>0</v>
      </c>
    </row>
    <row r="150" spans="1:56" ht="173.25">
      <c r="A150" s="69">
        <v>7</v>
      </c>
      <c r="B150" s="69" t="str">
        <f>Source!F88</f>
        <v>12-01-002-09</v>
      </c>
      <c r="C150" s="69" t="s">
        <v>444</v>
      </c>
      <c r="D150" s="52" t="str">
        <f>Source!H88</f>
        <v>100 м2</v>
      </c>
      <c r="E150" s="47">
        <f>Source!K88</f>
        <v>0.01</v>
      </c>
      <c r="F150" s="47"/>
      <c r="G150" s="47">
        <f>Source!I88</f>
        <v>0.01</v>
      </c>
      <c r="H150" s="53"/>
      <c r="I150" s="54"/>
      <c r="J150" s="53"/>
      <c r="K150" s="54"/>
      <c r="L150" s="53"/>
      <c r="AG150">
        <f>Source!X88</f>
        <v>1.57</v>
      </c>
      <c r="AH150">
        <f>Source!HK88</f>
        <v>57.24</v>
      </c>
      <c r="AI150">
        <f>Source!Y88</f>
        <v>0.78</v>
      </c>
      <c r="AJ150">
        <f>Source!HL88</f>
        <v>28.27</v>
      </c>
      <c r="AS150">
        <f>IF(Source!BI88&lt;=1,AH150,0)</f>
        <v>57.24</v>
      </c>
      <c r="AT150">
        <f>IF(Source!BI88&lt;=1,AJ150,0)</f>
        <v>28.27</v>
      </c>
      <c r="BC150">
        <f>IF(Source!BI88=2,AH150,0)</f>
        <v>0</v>
      </c>
      <c r="BD150">
        <f>IF(Source!BI88=2,AJ150,0)</f>
        <v>0</v>
      </c>
    </row>
    <row r="151" spans="2:3" ht="165.75">
      <c r="B151" s="46" t="str">
        <f>Source!EO88</f>
        <v>Поправка: М-ка 421/пр 04.08.20 п.58 п.п. б)</v>
      </c>
      <c r="C151" s="46" t="str">
        <f>Source!CN88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52" ht="12.75">
      <c r="C152" s="43" t="str">
        <f>"Объем: "&amp;Source!K88&amp;"=1/"&amp;"100"</f>
        <v>Объем: 0,01=1/100</v>
      </c>
    </row>
    <row r="153" spans="1:12" ht="14.25">
      <c r="A153" s="69"/>
      <c r="B153" s="70">
        <v>1</v>
      </c>
      <c r="C153" s="69" t="s">
        <v>405</v>
      </c>
      <c r="D153" s="52"/>
      <c r="E153" s="47"/>
      <c r="F153" s="47"/>
      <c r="G153" s="47"/>
      <c r="H153" s="53">
        <f>Source!AO88</f>
        <v>134.98</v>
      </c>
      <c r="I153" s="54">
        <f>ROUND(1.15,7)</f>
        <v>1.15</v>
      </c>
      <c r="J153" s="53">
        <f>ROUND(Source!AF88*Source!I88,2)</f>
        <v>1.55</v>
      </c>
      <c r="K153" s="54">
        <f>IF(Source!BA88&lt;&gt;0,Source!BA88,1)</f>
        <v>36.47</v>
      </c>
      <c r="L153" s="53">
        <f>Source!HJ88</f>
        <v>56.53</v>
      </c>
    </row>
    <row r="154" spans="1:12" ht="14.25">
      <c r="A154" s="69"/>
      <c r="B154" s="70">
        <v>3</v>
      </c>
      <c r="C154" s="69" t="s">
        <v>406</v>
      </c>
      <c r="D154" s="52"/>
      <c r="E154" s="47"/>
      <c r="F154" s="47"/>
      <c r="G154" s="47"/>
      <c r="H154" s="53">
        <f>Source!AM88</f>
        <v>24.64</v>
      </c>
      <c r="I154" s="54">
        <f>ROUND(1.25,7)</f>
        <v>1.25</v>
      </c>
      <c r="J154" s="53">
        <f>ROUND(Source!AD88*Source!I88,2)</f>
        <v>0.31</v>
      </c>
      <c r="K154" s="54"/>
      <c r="L154" s="53"/>
    </row>
    <row r="155" spans="1:12" ht="14.25">
      <c r="A155" s="69"/>
      <c r="B155" s="70">
        <v>2</v>
      </c>
      <c r="C155" s="69" t="s">
        <v>407</v>
      </c>
      <c r="D155" s="52"/>
      <c r="E155" s="47"/>
      <c r="F155" s="47"/>
      <c r="G155" s="47"/>
      <c r="H155" s="53">
        <f>Source!AN88</f>
        <v>3.75</v>
      </c>
      <c r="I155" s="54">
        <f>ROUND(1.25,7)</f>
        <v>1.25</v>
      </c>
      <c r="J155" s="55">
        <f>ROUND(Source!AE88*Source!I88,2)</f>
        <v>0.05</v>
      </c>
      <c r="K155" s="54">
        <f>IF(Source!BS88&lt;&gt;0,Source!BS88,1)</f>
        <v>36.47</v>
      </c>
      <c r="L155" s="55">
        <f>Source!HI88</f>
        <v>1.82</v>
      </c>
    </row>
    <row r="156" spans="1:12" ht="14.25">
      <c r="A156" s="69"/>
      <c r="B156" s="70">
        <v>4</v>
      </c>
      <c r="C156" s="69" t="s">
        <v>408</v>
      </c>
      <c r="D156" s="52"/>
      <c r="E156" s="47"/>
      <c r="F156" s="47"/>
      <c r="G156" s="47"/>
      <c r="H156" s="53">
        <f>Source!AL88</f>
        <v>182.33</v>
      </c>
      <c r="I156" s="54"/>
      <c r="J156" s="53">
        <f>ROUND(Source!AC88*Source!I88,2)</f>
        <v>1.82</v>
      </c>
      <c r="K156" s="54"/>
      <c r="L156" s="53"/>
    </row>
    <row r="157" spans="1:12" ht="14.25">
      <c r="A157" s="69"/>
      <c r="B157" s="69"/>
      <c r="C157" s="69" t="s">
        <v>409</v>
      </c>
      <c r="D157" s="52" t="s">
        <v>410</v>
      </c>
      <c r="E157" s="47">
        <f>Source!AQ88</f>
        <v>14.36</v>
      </c>
      <c r="F157" s="47">
        <f>ROUND(1.15,7)</f>
        <v>1.15</v>
      </c>
      <c r="G157" s="98">
        <f>ROUND(Source!U88,7)</f>
        <v>0.16514</v>
      </c>
      <c r="H157" s="53"/>
      <c r="I157" s="54"/>
      <c r="J157" s="53"/>
      <c r="K157" s="54"/>
      <c r="L157" s="53"/>
    </row>
    <row r="158" spans="1:12" ht="14.25">
      <c r="A158" s="69"/>
      <c r="B158" s="69"/>
      <c r="C158" s="71" t="s">
        <v>411</v>
      </c>
      <c r="D158" s="56" t="s">
        <v>410</v>
      </c>
      <c r="E158" s="57">
        <f>Source!AR88</f>
        <v>0.29</v>
      </c>
      <c r="F158" s="57">
        <f>ROUND(1.25,7)</f>
        <v>1.25</v>
      </c>
      <c r="G158" s="99">
        <f>ROUND(Source!V88,7)</f>
        <v>0.003625</v>
      </c>
      <c r="H158" s="58"/>
      <c r="I158" s="59"/>
      <c r="J158" s="58"/>
      <c r="K158" s="59"/>
      <c r="L158" s="58"/>
    </row>
    <row r="159" spans="1:12" ht="14.25">
      <c r="A159" s="69"/>
      <c r="B159" s="69"/>
      <c r="C159" s="69" t="s">
        <v>412</v>
      </c>
      <c r="D159" s="52"/>
      <c r="E159" s="47"/>
      <c r="F159" s="47"/>
      <c r="G159" s="47"/>
      <c r="H159" s="53">
        <f>H153+H154+H156</f>
        <v>341.95000000000005</v>
      </c>
      <c r="I159" s="54"/>
      <c r="J159" s="53">
        <f>J153+J154+J156</f>
        <v>3.68</v>
      </c>
      <c r="K159" s="54"/>
      <c r="L159" s="53"/>
    </row>
    <row r="160" spans="1:56" ht="14.25">
      <c r="A160" s="69" t="s">
        <v>152</v>
      </c>
      <c r="B160" s="69" t="str">
        <f>Source!F90</f>
        <v>12.1.02.08-0091</v>
      </c>
      <c r="C160" s="69" t="str">
        <f>Source!G90</f>
        <v>Линокром: ТКП</v>
      </c>
      <c r="D160" s="52" t="str">
        <f>Source!H90</f>
        <v>м2</v>
      </c>
      <c r="E160" s="47">
        <f>SmtRes!AT81</f>
        <v>114</v>
      </c>
      <c r="F160" s="47"/>
      <c r="G160" s="47">
        <f>Source!I90</f>
        <v>1.14</v>
      </c>
      <c r="H160" s="53">
        <f>Source!AL90+Source!AO90+Source!AM90</f>
        <v>27.73</v>
      </c>
      <c r="I160" s="54"/>
      <c r="J160" s="53">
        <f>ROUND(Source!AC90*Source!I90,2)+ROUND(Source!AD90*Source!I90,2)+ROUND(Source!AF90*Source!I90,2)</f>
        <v>31.61</v>
      </c>
      <c r="K160" s="54"/>
      <c r="L160" s="53"/>
      <c r="AF160" s="45">
        <f>J160</f>
        <v>31.61</v>
      </c>
      <c r="AG160">
        <f>Source!X90</f>
        <v>0</v>
      </c>
      <c r="AH160">
        <f>Source!HK90</f>
        <v>0</v>
      </c>
      <c r="AI160">
        <f>Source!Y90</f>
        <v>0</v>
      </c>
      <c r="AJ160">
        <f>Source!HL90</f>
        <v>0</v>
      </c>
      <c r="AN160">
        <f>IF(Source!BI90&lt;=1,J160,0)</f>
        <v>31.61</v>
      </c>
      <c r="AO160">
        <f>IF(Source!BI90&lt;=1,J160,0)</f>
        <v>31.61</v>
      </c>
      <c r="AS160">
        <f>IF(Source!BI90&lt;=1,AH160,0)</f>
        <v>0</v>
      </c>
      <c r="AT160">
        <f>IF(Source!BI90&lt;=1,AJ160,0)</f>
        <v>0</v>
      </c>
      <c r="AX160">
        <f>IF(Source!BI90=2,J160,0)</f>
        <v>0</v>
      </c>
      <c r="AY160">
        <f>IF(Source!BI90=2,J160,0)</f>
        <v>0</v>
      </c>
      <c r="BC160">
        <f>IF(Source!BI90=2,AH160,0)</f>
        <v>0</v>
      </c>
      <c r="BD160">
        <f>IF(Source!BI90=2,AJ160,0)</f>
        <v>0</v>
      </c>
    </row>
    <row r="161" spans="1:56" ht="14.25">
      <c r="A161" s="69" t="s">
        <v>153</v>
      </c>
      <c r="B161" s="69" t="str">
        <f>Source!F92</f>
        <v>12.1.02.08-0095</v>
      </c>
      <c r="C161" s="69" t="str">
        <f>Source!G92</f>
        <v>Линокром: ТПП</v>
      </c>
      <c r="D161" s="52" t="str">
        <f>Source!H92</f>
        <v>м2</v>
      </c>
      <c r="E161" s="47">
        <f>SmtRes!AT82</f>
        <v>116</v>
      </c>
      <c r="F161" s="47"/>
      <c r="G161" s="47">
        <f>Source!I92</f>
        <v>1.16</v>
      </c>
      <c r="H161" s="53">
        <f>Source!AL92+Source!AO92+Source!AM92</f>
        <v>19.75</v>
      </c>
      <c r="I161" s="54"/>
      <c r="J161" s="53">
        <f>ROUND(Source!AC92*Source!I92,2)+ROUND(Source!AD92*Source!I92,2)+ROUND(Source!AF92*Source!I92,2)</f>
        <v>22.91</v>
      </c>
      <c r="K161" s="54"/>
      <c r="L161" s="53"/>
      <c r="AF161" s="45">
        <f>J161</f>
        <v>22.91</v>
      </c>
      <c r="AG161">
        <f>Source!X92</f>
        <v>0</v>
      </c>
      <c r="AH161">
        <f>Source!HK92</f>
        <v>0</v>
      </c>
      <c r="AI161">
        <f>Source!Y92</f>
        <v>0</v>
      </c>
      <c r="AJ161">
        <f>Source!HL92</f>
        <v>0</v>
      </c>
      <c r="AN161">
        <f>IF(Source!BI92&lt;=1,J161,0)</f>
        <v>22.91</v>
      </c>
      <c r="AO161">
        <f>IF(Source!BI92&lt;=1,J161,0)</f>
        <v>22.91</v>
      </c>
      <c r="AS161">
        <f>IF(Source!BI92&lt;=1,AH161,0)</f>
        <v>0</v>
      </c>
      <c r="AT161">
        <f>IF(Source!BI92&lt;=1,AJ161,0)</f>
        <v>0</v>
      </c>
      <c r="AX161">
        <f>IF(Source!BI92=2,J161,0)</f>
        <v>0</v>
      </c>
      <c r="AY161">
        <f>IF(Source!BI92=2,J161,0)</f>
        <v>0</v>
      </c>
      <c r="BC161">
        <f>IF(Source!BI92=2,AH161,0)</f>
        <v>0</v>
      </c>
      <c r="BD161">
        <f>IF(Source!BI92=2,AJ161,0)</f>
        <v>0</v>
      </c>
    </row>
    <row r="162" spans="1:12" ht="14.25">
      <c r="A162" s="69"/>
      <c r="B162" s="69"/>
      <c r="C162" s="69" t="s">
        <v>413</v>
      </c>
      <c r="D162" s="52"/>
      <c r="E162" s="47"/>
      <c r="F162" s="47"/>
      <c r="G162" s="47"/>
      <c r="H162" s="53"/>
      <c r="I162" s="54"/>
      <c r="J162" s="53">
        <f>SUM(Q150:Q165)+SUM(V150:V165)+SUM(X150:X165)+SUM(Y150:Y165)</f>
        <v>1.6</v>
      </c>
      <c r="K162" s="54"/>
      <c r="L162" s="53">
        <f>SUM(U150:U165)+SUM(W150:W165)+SUM(Z150:Z165)+SUM(AA150:AA165)</f>
        <v>58.35</v>
      </c>
    </row>
    <row r="163" spans="1:12" ht="28.5">
      <c r="A163" s="69"/>
      <c r="B163" s="69" t="s">
        <v>437</v>
      </c>
      <c r="C163" s="69" t="s">
        <v>438</v>
      </c>
      <c r="D163" s="52" t="s">
        <v>415</v>
      </c>
      <c r="E163" s="47">
        <f>Source!BZ88</f>
        <v>109</v>
      </c>
      <c r="F163" s="47">
        <f>ROUND(0.9,7)</f>
        <v>0.9</v>
      </c>
      <c r="G163" s="47">
        <f>Source!AT88</f>
        <v>98.1</v>
      </c>
      <c r="H163" s="53"/>
      <c r="I163" s="54"/>
      <c r="J163" s="53">
        <f>SUM(AG150:AG165)</f>
        <v>1.57</v>
      </c>
      <c r="K163" s="54"/>
      <c r="L163" s="53">
        <f>SUM(AH150:AH165)</f>
        <v>57.24</v>
      </c>
    </row>
    <row r="164" spans="1:12" ht="28.5">
      <c r="A164" s="71"/>
      <c r="B164" s="71" t="s">
        <v>439</v>
      </c>
      <c r="C164" s="71" t="s">
        <v>440</v>
      </c>
      <c r="D164" s="56" t="s">
        <v>415</v>
      </c>
      <c r="E164" s="57">
        <f>Source!CA88</f>
        <v>57</v>
      </c>
      <c r="F164" s="57">
        <f>ROUND(0.85,7)</f>
        <v>0.85</v>
      </c>
      <c r="G164" s="57">
        <f>Source!AU88</f>
        <v>48.45</v>
      </c>
      <c r="H164" s="58"/>
      <c r="I164" s="59"/>
      <c r="J164" s="58">
        <f>SUM(AI150:AI165)</f>
        <v>0.78</v>
      </c>
      <c r="K164" s="59"/>
      <c r="L164" s="58">
        <f>SUM(AJ150:AJ165)</f>
        <v>28.27</v>
      </c>
    </row>
    <row r="165" spans="3:53" ht="15">
      <c r="C165" s="136" t="s">
        <v>417</v>
      </c>
      <c r="D165" s="136"/>
      <c r="E165" s="136"/>
      <c r="F165" s="136"/>
      <c r="G165" s="136"/>
      <c r="H165" s="136"/>
      <c r="I165" s="136">
        <f>J153+J154+J156+J163+J164+SUM(J160:J161)</f>
        <v>60.55</v>
      </c>
      <c r="J165" s="136"/>
      <c r="O165" s="45">
        <f>I165</f>
        <v>60.55</v>
      </c>
      <c r="P165">
        <f>K165</f>
        <v>0</v>
      </c>
      <c r="Q165" s="45">
        <f>J153</f>
        <v>1.55</v>
      </c>
      <c r="R165" s="45">
        <f>J153</f>
        <v>1.55</v>
      </c>
      <c r="U165" s="45">
        <f>L153</f>
        <v>56.53</v>
      </c>
      <c r="X165" s="45">
        <f>J155</f>
        <v>0.05</v>
      </c>
      <c r="Z165" s="45">
        <f>L155</f>
        <v>1.82</v>
      </c>
      <c r="AB165" s="45">
        <f>J154</f>
        <v>0.31</v>
      </c>
      <c r="AD165" s="45">
        <f>L154</f>
        <v>0</v>
      </c>
      <c r="AF165" s="45">
        <f>J156</f>
        <v>1.82</v>
      </c>
      <c r="AN165">
        <f>IF(Source!BI88&lt;=1,J153+J154+J156+J163+J164,0)</f>
        <v>6.03</v>
      </c>
      <c r="AO165">
        <f>IF(Source!BI88&lt;=1,J156,0)</f>
        <v>1.82</v>
      </c>
      <c r="AP165">
        <f>IF(Source!BI88&lt;=1,J154,0)</f>
        <v>0.31</v>
      </c>
      <c r="AQ165">
        <f>IF(Source!BI88&lt;=1,J153,0)</f>
        <v>1.55</v>
      </c>
      <c r="AX165">
        <f>IF(Source!BI88=2,J153+J154+J156+J163+J164,0)</f>
        <v>0</v>
      </c>
      <c r="AY165">
        <f>IF(Source!BI88=2,J156,0)</f>
        <v>0</v>
      </c>
      <c r="AZ165">
        <f>IF(Source!BI88=2,J154,0)</f>
        <v>0</v>
      </c>
      <c r="BA165">
        <f>IF(Source!BI88=2,J153,0)</f>
        <v>0</v>
      </c>
    </row>
    <row r="166" spans="1:56" ht="159">
      <c r="A166" s="69">
        <v>8</v>
      </c>
      <c r="B166" s="69" t="str">
        <f>Source!F94</f>
        <v>12-01-004-05</v>
      </c>
      <c r="C166" s="69" t="s">
        <v>445</v>
      </c>
      <c r="D166" s="52" t="str">
        <f>Source!H94</f>
        <v>100 м</v>
      </c>
      <c r="E166" s="47">
        <f>Source!K94</f>
        <v>1.704</v>
      </c>
      <c r="F166" s="47"/>
      <c r="G166" s="47">
        <f>Source!I94</f>
        <v>1.704</v>
      </c>
      <c r="H166" s="53"/>
      <c r="I166" s="54"/>
      <c r="J166" s="53"/>
      <c r="K166" s="54"/>
      <c r="L166" s="53"/>
      <c r="AG166">
        <f>Source!X94</f>
        <v>945.12</v>
      </c>
      <c r="AH166">
        <f>Source!HK94</f>
        <v>34468.35</v>
      </c>
      <c r="AI166">
        <f>Source!Y94</f>
        <v>466.78</v>
      </c>
      <c r="AJ166">
        <f>Source!HL94</f>
        <v>17023.36</v>
      </c>
      <c r="AS166">
        <f>IF(Source!BI94&lt;=1,AH166,0)</f>
        <v>34468.35</v>
      </c>
      <c r="AT166">
        <f>IF(Source!BI94&lt;=1,AJ166,0)</f>
        <v>17023.36</v>
      </c>
      <c r="BC166">
        <f>IF(Source!BI94=2,AH166,0)</f>
        <v>0</v>
      </c>
      <c r="BD166">
        <f>IF(Source!BI94=2,AJ166,0)</f>
        <v>0</v>
      </c>
    </row>
    <row r="167" spans="2:3" ht="165.75">
      <c r="B167" s="46" t="str">
        <f>Source!EO94</f>
        <v>Поправка: М-ка 421/пр 04.08.20 п.58 п.п. б)</v>
      </c>
      <c r="C167" s="46" t="str">
        <f>Source!CN94</f>
        <v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v>
      </c>
    </row>
    <row r="168" ht="12.75">
      <c r="C168" s="43" t="str">
        <f>"Объем: "&amp;Source!K94&amp;"=170,4/"&amp;"100"</f>
        <v>Объем: 1,704=170,4/100</v>
      </c>
    </row>
    <row r="169" spans="1:12" ht="14.25">
      <c r="A169" s="69"/>
      <c r="B169" s="70">
        <v>1</v>
      </c>
      <c r="C169" s="69" t="s">
        <v>405</v>
      </c>
      <c r="D169" s="52"/>
      <c r="E169" s="47"/>
      <c r="F169" s="47"/>
      <c r="G169" s="47"/>
      <c r="H169" s="53">
        <f>Source!AO94</f>
        <v>479.29</v>
      </c>
      <c r="I169" s="54">
        <f>ROUND(1.15,7)</f>
        <v>1.15</v>
      </c>
      <c r="J169" s="53">
        <f>ROUND(Source!AF94*Source!I94,2)</f>
        <v>939.21</v>
      </c>
      <c r="K169" s="54">
        <f>IF(Source!BA94&lt;&gt;0,Source!BA94,1)</f>
        <v>36.47</v>
      </c>
      <c r="L169" s="53">
        <f>Source!HJ94</f>
        <v>34252.99</v>
      </c>
    </row>
    <row r="170" spans="1:12" ht="14.25">
      <c r="A170" s="69"/>
      <c r="B170" s="70">
        <v>3</v>
      </c>
      <c r="C170" s="69" t="s">
        <v>406</v>
      </c>
      <c r="D170" s="52"/>
      <c r="E170" s="47"/>
      <c r="F170" s="47"/>
      <c r="G170" s="47"/>
      <c r="H170" s="53">
        <f>Source!AM94</f>
        <v>74.8</v>
      </c>
      <c r="I170" s="54">
        <f>ROUND(1.25,7)</f>
        <v>1.25</v>
      </c>
      <c r="J170" s="53">
        <f>ROUND(Source!AD94*Source!I94,2)</f>
        <v>159.32</v>
      </c>
      <c r="K170" s="54"/>
      <c r="L170" s="53"/>
    </row>
    <row r="171" spans="1:12" ht="14.25">
      <c r="A171" s="69"/>
      <c r="B171" s="70">
        <v>2</v>
      </c>
      <c r="C171" s="69" t="s">
        <v>407</v>
      </c>
      <c r="D171" s="52"/>
      <c r="E171" s="47"/>
      <c r="F171" s="47"/>
      <c r="G171" s="47"/>
      <c r="H171" s="53">
        <f>Source!AN94</f>
        <v>11.37</v>
      </c>
      <c r="I171" s="54">
        <f>ROUND(1.25,7)</f>
        <v>1.25</v>
      </c>
      <c r="J171" s="55">
        <f>ROUND(Source!AE94*Source!I94,2)</f>
        <v>24.21</v>
      </c>
      <c r="K171" s="54">
        <f>IF(Source!BS94&lt;&gt;0,Source!BS94,1)</f>
        <v>36.47</v>
      </c>
      <c r="L171" s="55">
        <f>Source!HI94</f>
        <v>882.94</v>
      </c>
    </row>
    <row r="172" spans="1:12" ht="14.25">
      <c r="A172" s="69"/>
      <c r="B172" s="70">
        <v>4</v>
      </c>
      <c r="C172" s="69" t="s">
        <v>408</v>
      </c>
      <c r="D172" s="52"/>
      <c r="E172" s="47"/>
      <c r="F172" s="47"/>
      <c r="G172" s="47"/>
      <c r="H172" s="53">
        <f>Source!AL94</f>
        <v>3302.45</v>
      </c>
      <c r="I172" s="54"/>
      <c r="J172" s="53">
        <f>ROUND(Source!AC94*Source!I94,2)</f>
        <v>5627.37</v>
      </c>
      <c r="K172" s="54"/>
      <c r="L172" s="53"/>
    </row>
    <row r="173" spans="1:12" ht="14.25">
      <c r="A173" s="69"/>
      <c r="B173" s="69"/>
      <c r="C173" s="69" t="s">
        <v>409</v>
      </c>
      <c r="D173" s="52" t="s">
        <v>410</v>
      </c>
      <c r="E173" s="47">
        <f>Source!AQ94</f>
        <v>52.21</v>
      </c>
      <c r="F173" s="47">
        <f>ROUND(1.15,7)</f>
        <v>1.15</v>
      </c>
      <c r="G173" s="98">
        <f>ROUND(Source!U94,7)</f>
        <v>102.310716</v>
      </c>
      <c r="H173" s="53"/>
      <c r="I173" s="54"/>
      <c r="J173" s="53"/>
      <c r="K173" s="54"/>
      <c r="L173" s="53"/>
    </row>
    <row r="174" spans="1:12" ht="14.25">
      <c r="A174" s="69"/>
      <c r="B174" s="69"/>
      <c r="C174" s="71" t="s">
        <v>411</v>
      </c>
      <c r="D174" s="56" t="s">
        <v>410</v>
      </c>
      <c r="E174" s="57">
        <f>Source!AR94</f>
        <v>0.87</v>
      </c>
      <c r="F174" s="57">
        <f>ROUND(1.25,7)</f>
        <v>1.25</v>
      </c>
      <c r="G174" s="100">
        <f>ROUND(Source!V94,7)</f>
        <v>1.8531</v>
      </c>
      <c r="H174" s="58"/>
      <c r="I174" s="59"/>
      <c r="J174" s="58"/>
      <c r="K174" s="59"/>
      <c r="L174" s="58"/>
    </row>
    <row r="175" spans="1:12" ht="14.25">
      <c r="A175" s="69"/>
      <c r="B175" s="69"/>
      <c r="C175" s="69" t="s">
        <v>412</v>
      </c>
      <c r="D175" s="52"/>
      <c r="E175" s="47"/>
      <c r="F175" s="47"/>
      <c r="G175" s="47"/>
      <c r="H175" s="53">
        <f>H169+H170+H172</f>
        <v>3856.54</v>
      </c>
      <c r="I175" s="54"/>
      <c r="J175" s="53">
        <f>J169+J170+J172</f>
        <v>6725.9</v>
      </c>
      <c r="K175" s="54"/>
      <c r="L175" s="53"/>
    </row>
    <row r="176" spans="1:56" ht="14.25">
      <c r="A176" s="69" t="s">
        <v>159</v>
      </c>
      <c r="B176" s="69" t="str">
        <f>Source!F96</f>
        <v>12.1.02.08-0095</v>
      </c>
      <c r="C176" s="69" t="str">
        <f>Source!G96</f>
        <v>Линокром: ТПП</v>
      </c>
      <c r="D176" s="52" t="str">
        <f>Source!H96</f>
        <v>м2</v>
      </c>
      <c r="E176" s="47">
        <f>SmtRes!AT107</f>
        <v>116</v>
      </c>
      <c r="F176" s="47"/>
      <c r="G176" s="98">
        <f>Source!I96</f>
        <v>197.664</v>
      </c>
      <c r="H176" s="53">
        <f>Source!AL96+Source!AO96+Source!AM96</f>
        <v>19.75</v>
      </c>
      <c r="I176" s="54"/>
      <c r="J176" s="53">
        <f>ROUND(Source!AC96*Source!I96,2)+ROUND(Source!AD96*Source!I96,2)+ROUND(Source!AF96*Source!I96,2)</f>
        <v>3903.86</v>
      </c>
      <c r="K176" s="54"/>
      <c r="L176" s="53"/>
      <c r="AF176" s="45">
        <f aca="true" t="shared" si="0" ref="AF176:AF181">J176</f>
        <v>3903.86</v>
      </c>
      <c r="AG176">
        <f>Source!X96</f>
        <v>0</v>
      </c>
      <c r="AH176">
        <f>Source!HK96</f>
        <v>0</v>
      </c>
      <c r="AI176">
        <f>Source!Y96</f>
        <v>0</v>
      </c>
      <c r="AJ176">
        <f>Source!HL96</f>
        <v>0</v>
      </c>
      <c r="AN176">
        <f>IF(Source!BI96&lt;=1,J176,0)</f>
        <v>3903.86</v>
      </c>
      <c r="AO176">
        <f>IF(Source!BI96&lt;=1,J176,0)</f>
        <v>3903.86</v>
      </c>
      <c r="AS176">
        <f>IF(Source!BI96&lt;=1,AH176,0)</f>
        <v>0</v>
      </c>
      <c r="AT176">
        <f>IF(Source!BI96&lt;=1,AJ176,0)</f>
        <v>0</v>
      </c>
      <c r="AX176">
        <f>IF(Source!BI96=2,J176,0)</f>
        <v>0</v>
      </c>
      <c r="AY176">
        <f>IF(Source!BI96=2,J176,0)</f>
        <v>0</v>
      </c>
      <c r="BC176">
        <f>IF(Source!BI96=2,AH176,0)</f>
        <v>0</v>
      </c>
      <c r="BD176">
        <f>IF(Source!BI96=2,AJ176,0)</f>
        <v>0</v>
      </c>
    </row>
    <row r="177" spans="1:56" ht="42.75">
      <c r="A177" s="69" t="s">
        <v>160</v>
      </c>
      <c r="B177" s="69" t="str">
        <f>Source!F98</f>
        <v>08.3.05.05-0053</v>
      </c>
      <c r="C177" s="69" t="s">
        <v>446</v>
      </c>
      <c r="D177" s="52" t="str">
        <f>Source!H98</f>
        <v>т</v>
      </c>
      <c r="E177" s="47">
        <f>SmtRes!AT105</f>
        <v>-0.2</v>
      </c>
      <c r="F177" s="47"/>
      <c r="G177" s="98">
        <f>Source!I98</f>
        <v>-0.3408</v>
      </c>
      <c r="H177" s="53">
        <f>Source!AL98+Source!AO98+Source!AM98</f>
        <v>11200</v>
      </c>
      <c r="I177" s="54"/>
      <c r="J177" s="53">
        <f>ROUND(Source!AC98*Source!I98,2)+ROUND(Source!AD98*Source!I98,2)+ROUND(Source!AF98*Source!I98,2)</f>
        <v>-3816.96</v>
      </c>
      <c r="K177" s="54"/>
      <c r="L177" s="53"/>
      <c r="AF177" s="45">
        <f t="shared" si="0"/>
        <v>-3816.96</v>
      </c>
      <c r="AG177">
        <f>Source!X98</f>
        <v>0</v>
      </c>
      <c r="AH177">
        <f>Source!HK98</f>
        <v>0</v>
      </c>
      <c r="AI177">
        <f>Source!Y98</f>
        <v>0</v>
      </c>
      <c r="AJ177">
        <f>Source!HL98</f>
        <v>0</v>
      </c>
      <c r="AN177">
        <f>IF(Source!BI98&lt;=1,J177,0)</f>
        <v>-3816.96</v>
      </c>
      <c r="AO177">
        <f>IF(Source!BI98&lt;=1,J177,0)</f>
        <v>-3816.96</v>
      </c>
      <c r="AS177">
        <f>IF(Source!BI98&lt;=1,AH177,0)</f>
        <v>0</v>
      </c>
      <c r="AT177">
        <f>IF(Source!BI98&lt;=1,AJ177,0)</f>
        <v>0</v>
      </c>
      <c r="AX177">
        <f>IF(Source!BI98=2,J177,0)</f>
        <v>0</v>
      </c>
      <c r="AY177">
        <f>IF(Source!BI98=2,J177,0)</f>
        <v>0</v>
      </c>
      <c r="BC177">
        <f>IF(Source!BI98=2,AH177,0)</f>
        <v>0</v>
      </c>
      <c r="BD177">
        <f>IF(Source!BI98=2,AJ177,0)</f>
        <v>0</v>
      </c>
    </row>
    <row r="178" spans="1:56" ht="57">
      <c r="A178" s="69" t="s">
        <v>164</v>
      </c>
      <c r="B178" s="69" t="str">
        <f>Source!F100</f>
        <v>08.3.07.01-0076</v>
      </c>
      <c r="C178" s="69" t="s">
        <v>447</v>
      </c>
      <c r="D178" s="52" t="str">
        <f>Source!H100</f>
        <v>т</v>
      </c>
      <c r="E178" s="98">
        <f>SmtRes!AT106</f>
        <v>-0.013</v>
      </c>
      <c r="F178" s="47"/>
      <c r="G178" s="98">
        <f>Source!I100</f>
        <v>-0.022152</v>
      </c>
      <c r="H178" s="53">
        <f>Source!AL100+Source!AO100+Source!AM100</f>
        <v>5000</v>
      </c>
      <c r="I178" s="54"/>
      <c r="J178" s="53">
        <f>ROUND(Source!AC100*Source!I100,2)+ROUND(Source!AD100*Source!I100,2)+ROUND(Source!AF100*Source!I100,2)</f>
        <v>-110.76</v>
      </c>
      <c r="K178" s="54"/>
      <c r="L178" s="53"/>
      <c r="AF178" s="45">
        <f t="shared" si="0"/>
        <v>-110.76</v>
      </c>
      <c r="AG178">
        <f>Source!X100</f>
        <v>0</v>
      </c>
      <c r="AH178">
        <f>Source!HK100</f>
        <v>0</v>
      </c>
      <c r="AI178">
        <f>Source!Y100</f>
        <v>0</v>
      </c>
      <c r="AJ178">
        <f>Source!HL100</f>
        <v>0</v>
      </c>
      <c r="AN178">
        <f>IF(Source!BI100&lt;=1,J178,0)</f>
        <v>-110.76</v>
      </c>
      <c r="AO178">
        <f>IF(Source!BI100&lt;=1,J178,0)</f>
        <v>-110.76</v>
      </c>
      <c r="AS178">
        <f>IF(Source!BI100&lt;=1,AH178,0)</f>
        <v>0</v>
      </c>
      <c r="AT178">
        <f>IF(Source!BI100&lt;=1,AJ178,0)</f>
        <v>0</v>
      </c>
      <c r="AX178">
        <f>IF(Source!BI100=2,J178,0)</f>
        <v>0</v>
      </c>
      <c r="AY178">
        <f>IF(Source!BI100=2,J178,0)</f>
        <v>0</v>
      </c>
      <c r="BC178">
        <f>IF(Source!BI100=2,AH178,0)</f>
        <v>0</v>
      </c>
      <c r="BD178">
        <f>IF(Source!BI100=2,AJ178,0)</f>
        <v>0</v>
      </c>
    </row>
    <row r="179" spans="1:56" ht="42.75">
      <c r="A179" s="69" t="s">
        <v>168</v>
      </c>
      <c r="B179" s="69" t="str">
        <f>Source!F102</f>
        <v>04.3.01.09-0014</v>
      </c>
      <c r="C179" s="69" t="s">
        <v>448</v>
      </c>
      <c r="D179" s="52" t="str">
        <f>Source!H102</f>
        <v>м3</v>
      </c>
      <c r="E179" s="47">
        <f>SmtRes!AT104</f>
        <v>-0.51</v>
      </c>
      <c r="F179" s="47"/>
      <c r="G179" s="98">
        <f>Source!I102</f>
        <v>-0.86904</v>
      </c>
      <c r="H179" s="53">
        <f>Source!AL102+Source!AO102+Source!AM102</f>
        <v>519.8</v>
      </c>
      <c r="I179" s="54"/>
      <c r="J179" s="53">
        <f>ROUND(Source!AC102*Source!I102,2)+ROUND(Source!AD102*Source!I102,2)+ROUND(Source!AF102*Source!I102,2)</f>
        <v>-451.73</v>
      </c>
      <c r="K179" s="54"/>
      <c r="L179" s="53"/>
      <c r="AF179" s="45">
        <f t="shared" si="0"/>
        <v>-451.73</v>
      </c>
      <c r="AG179">
        <f>Source!X102</f>
        <v>0</v>
      </c>
      <c r="AH179">
        <f>Source!HK102</f>
        <v>0</v>
      </c>
      <c r="AI179">
        <f>Source!Y102</f>
        <v>0</v>
      </c>
      <c r="AJ179">
        <f>Source!HL102</f>
        <v>0</v>
      </c>
      <c r="AN179">
        <f>IF(Source!BI102&lt;=1,J179,0)</f>
        <v>-451.73</v>
      </c>
      <c r="AO179">
        <f>IF(Source!BI102&lt;=1,J179,0)</f>
        <v>-451.73</v>
      </c>
      <c r="AS179">
        <f>IF(Source!BI102&lt;=1,AH179,0)</f>
        <v>0</v>
      </c>
      <c r="AT179">
        <f>IF(Source!BI102&lt;=1,AJ179,0)</f>
        <v>0</v>
      </c>
      <c r="AX179">
        <f>IF(Source!BI102=2,J179,0)</f>
        <v>0</v>
      </c>
      <c r="AY179">
        <f>IF(Source!BI102=2,J179,0)</f>
        <v>0</v>
      </c>
      <c r="BC179">
        <f>IF(Source!BI102=2,AH179,0)</f>
        <v>0</v>
      </c>
      <c r="BD179">
        <f>IF(Source!BI102=2,AJ179,0)</f>
        <v>0</v>
      </c>
    </row>
    <row r="180" spans="1:56" ht="71.25">
      <c r="A180" s="69" t="s">
        <v>172</v>
      </c>
      <c r="B180" s="69" t="str">
        <f>Source!F104</f>
        <v>01.7.15.07-0052</v>
      </c>
      <c r="C180" s="69" t="s">
        <v>449</v>
      </c>
      <c r="D180" s="52" t="str">
        <f>Source!H104</f>
        <v>т</v>
      </c>
      <c r="E180" s="97">
        <f>SmtRes!AT103</f>
        <v>-0.00159</v>
      </c>
      <c r="F180" s="47"/>
      <c r="G180" s="98">
        <f>Source!I104</f>
        <v>-0.002709</v>
      </c>
      <c r="H180" s="53">
        <f>Source!AL104+Source!AO104+Source!AM104</f>
        <v>22558</v>
      </c>
      <c r="I180" s="54"/>
      <c r="J180" s="53">
        <f>ROUND(Source!AC104*Source!I104,2)+ROUND(Source!AD104*Source!I104,2)+ROUND(Source!AF104*Source!I104,2)</f>
        <v>-61.11</v>
      </c>
      <c r="K180" s="54"/>
      <c r="L180" s="53"/>
      <c r="AF180" s="45">
        <f t="shared" si="0"/>
        <v>-61.11</v>
      </c>
      <c r="AG180">
        <f>Source!X104</f>
        <v>0</v>
      </c>
      <c r="AH180">
        <f>Source!HK104</f>
        <v>0</v>
      </c>
      <c r="AI180">
        <f>Source!Y104</f>
        <v>0</v>
      </c>
      <c r="AJ180">
        <f>Source!HL104</f>
        <v>0</v>
      </c>
      <c r="AN180">
        <f>IF(Source!BI104&lt;=1,J180,0)</f>
        <v>-61.11</v>
      </c>
      <c r="AO180">
        <f>IF(Source!BI104&lt;=1,J180,0)</f>
        <v>-61.11</v>
      </c>
      <c r="AS180">
        <f>IF(Source!BI104&lt;=1,AH180,0)</f>
        <v>0</v>
      </c>
      <c r="AT180">
        <f>IF(Source!BI104&lt;=1,AJ180,0)</f>
        <v>0</v>
      </c>
      <c r="AX180">
        <f>IF(Source!BI104=2,J180,0)</f>
        <v>0</v>
      </c>
      <c r="AY180">
        <f>IF(Source!BI104=2,J180,0)</f>
        <v>0</v>
      </c>
      <c r="BC180">
        <f>IF(Source!BI104=2,AH180,0)</f>
        <v>0</v>
      </c>
      <c r="BD180">
        <f>IF(Source!BI104=2,AJ180,0)</f>
        <v>0</v>
      </c>
    </row>
    <row r="181" spans="1:56" ht="42.75">
      <c r="A181" s="69" t="s">
        <v>176</v>
      </c>
      <c r="B181" s="69" t="str">
        <f>Source!F106</f>
        <v>01.7.07.10-0001</v>
      </c>
      <c r="C181" s="69" t="s">
        <v>450</v>
      </c>
      <c r="D181" s="52" t="str">
        <f>Source!H106</f>
        <v>1000 ШТ</v>
      </c>
      <c r="E181" s="47">
        <f>SmtRes!AT102</f>
        <v>-0.187</v>
      </c>
      <c r="F181" s="47"/>
      <c r="G181" s="98">
        <f>Source!I106</f>
        <v>-0.318648</v>
      </c>
      <c r="H181" s="53">
        <f>Source!AL106+Source!AO106+Source!AM106</f>
        <v>253.8</v>
      </c>
      <c r="I181" s="54"/>
      <c r="J181" s="53">
        <f>ROUND(Source!AC106*Source!I106,2)+ROUND(Source!AD106*Source!I106,2)+ROUND(Source!AF106*Source!I106,2)</f>
        <v>-80.87</v>
      </c>
      <c r="K181" s="54"/>
      <c r="L181" s="53"/>
      <c r="AF181" s="45">
        <f t="shared" si="0"/>
        <v>-80.87</v>
      </c>
      <c r="AG181">
        <f>Source!X106</f>
        <v>0</v>
      </c>
      <c r="AH181">
        <f>Source!HK106</f>
        <v>0</v>
      </c>
      <c r="AI181">
        <f>Source!Y106</f>
        <v>0</v>
      </c>
      <c r="AJ181">
        <f>Source!HL106</f>
        <v>0</v>
      </c>
      <c r="AN181">
        <f>IF(Source!BI106&lt;=1,J181,0)</f>
        <v>-80.87</v>
      </c>
      <c r="AO181">
        <f>IF(Source!BI106&lt;=1,J181,0)</f>
        <v>-80.87</v>
      </c>
      <c r="AS181">
        <f>IF(Source!BI106&lt;=1,AH181,0)</f>
        <v>0</v>
      </c>
      <c r="AT181">
        <f>IF(Source!BI106&lt;=1,AJ181,0)</f>
        <v>0</v>
      </c>
      <c r="AX181">
        <f>IF(Source!BI106=2,J181,0)</f>
        <v>0</v>
      </c>
      <c r="AY181">
        <f>IF(Source!BI106=2,J181,0)</f>
        <v>0</v>
      </c>
      <c r="BC181">
        <f>IF(Source!BI106=2,AH181,0)</f>
        <v>0</v>
      </c>
      <c r="BD181">
        <f>IF(Source!BI106=2,AJ181,0)</f>
        <v>0</v>
      </c>
    </row>
    <row r="182" spans="1:12" ht="14.25">
      <c r="A182" s="69"/>
      <c r="B182" s="69"/>
      <c r="C182" s="69" t="s">
        <v>413</v>
      </c>
      <c r="D182" s="52"/>
      <c r="E182" s="47"/>
      <c r="F182" s="47"/>
      <c r="G182" s="47"/>
      <c r="H182" s="53"/>
      <c r="I182" s="54"/>
      <c r="J182" s="53">
        <f>SUM(Q166:Q185)+SUM(V166:V185)+SUM(X166:X185)+SUM(Y166:Y185)</f>
        <v>963.4200000000001</v>
      </c>
      <c r="K182" s="54"/>
      <c r="L182" s="53">
        <f>SUM(U166:U185)+SUM(W166:W185)+SUM(Z166:Z185)+SUM(AA166:AA185)</f>
        <v>35135.93</v>
      </c>
    </row>
    <row r="183" spans="1:12" ht="28.5">
      <c r="A183" s="69"/>
      <c r="B183" s="69" t="s">
        <v>437</v>
      </c>
      <c r="C183" s="69" t="s">
        <v>438</v>
      </c>
      <c r="D183" s="52" t="s">
        <v>415</v>
      </c>
      <c r="E183" s="47">
        <f>Source!BZ94</f>
        <v>109</v>
      </c>
      <c r="F183" s="47">
        <f>ROUND(0.9,7)</f>
        <v>0.9</v>
      </c>
      <c r="G183" s="47">
        <f>Source!AT94</f>
        <v>98.1</v>
      </c>
      <c r="H183" s="53"/>
      <c r="I183" s="54"/>
      <c r="J183" s="53">
        <f>SUM(AG166:AG185)</f>
        <v>945.12</v>
      </c>
      <c r="K183" s="54"/>
      <c r="L183" s="53">
        <f>SUM(AH166:AH185)</f>
        <v>34468.35</v>
      </c>
    </row>
    <row r="184" spans="1:12" ht="28.5">
      <c r="A184" s="71"/>
      <c r="B184" s="71" t="s">
        <v>439</v>
      </c>
      <c r="C184" s="71" t="s">
        <v>440</v>
      </c>
      <c r="D184" s="56" t="s">
        <v>415</v>
      </c>
      <c r="E184" s="57">
        <f>Source!CA94</f>
        <v>57</v>
      </c>
      <c r="F184" s="57">
        <f>ROUND(0.85,7)</f>
        <v>0.85</v>
      </c>
      <c r="G184" s="57">
        <f>Source!AU94</f>
        <v>48.45</v>
      </c>
      <c r="H184" s="58"/>
      <c r="I184" s="59"/>
      <c r="J184" s="58">
        <f>SUM(AI166:AI185)</f>
        <v>466.78</v>
      </c>
      <c r="K184" s="59"/>
      <c r="L184" s="58">
        <f>SUM(AJ166:AJ185)</f>
        <v>17023.36</v>
      </c>
    </row>
    <row r="185" spans="3:53" ht="15">
      <c r="C185" s="136" t="s">
        <v>417</v>
      </c>
      <c r="D185" s="136"/>
      <c r="E185" s="136"/>
      <c r="F185" s="136"/>
      <c r="G185" s="136"/>
      <c r="H185" s="136"/>
      <c r="I185" s="136">
        <f>J169+J170+J172+J183+J184+SUM(J176:J181)</f>
        <v>7520.23</v>
      </c>
      <c r="J185" s="136"/>
      <c r="O185" s="45">
        <f>I185</f>
        <v>7520.23</v>
      </c>
      <c r="P185">
        <f>K185</f>
        <v>0</v>
      </c>
      <c r="Q185" s="45">
        <f>J169</f>
        <v>939.21</v>
      </c>
      <c r="R185" s="45">
        <f>J169</f>
        <v>939.21</v>
      </c>
      <c r="U185" s="45">
        <f>L169</f>
        <v>34252.99</v>
      </c>
      <c r="X185" s="45">
        <f>J171</f>
        <v>24.21</v>
      </c>
      <c r="Z185" s="45">
        <f>L171</f>
        <v>882.94</v>
      </c>
      <c r="AB185" s="45">
        <f>J170</f>
        <v>159.32</v>
      </c>
      <c r="AD185" s="45">
        <f>L170</f>
        <v>0</v>
      </c>
      <c r="AF185" s="45">
        <f>J172</f>
        <v>5627.37</v>
      </c>
      <c r="AN185">
        <f>IF(Source!BI94&lt;=1,J169+J170+J172+J183+J184,0)</f>
        <v>8137.799999999999</v>
      </c>
      <c r="AO185">
        <f>IF(Source!BI94&lt;=1,J172,0)</f>
        <v>5627.37</v>
      </c>
      <c r="AP185">
        <f>IF(Source!BI94&lt;=1,J170,0)</f>
        <v>159.32</v>
      </c>
      <c r="AQ185">
        <f>IF(Source!BI94&lt;=1,J169,0)</f>
        <v>939.21</v>
      </c>
      <c r="AX185">
        <f>IF(Source!BI94=2,J169+J170+J172+J183+J184,0)</f>
        <v>0</v>
      </c>
      <c r="AY185">
        <f>IF(Source!BI94=2,J172,0)</f>
        <v>0</v>
      </c>
      <c r="AZ185">
        <f>IF(Source!BI94=2,J170,0)</f>
        <v>0</v>
      </c>
      <c r="BA185">
        <f>IF(Source!BI94=2,J169,0)</f>
        <v>0</v>
      </c>
    </row>
    <row r="186" spans="1:56" ht="42.75">
      <c r="A186" s="69">
        <v>9</v>
      </c>
      <c r="B186" s="69" t="str">
        <f>Source!F108</f>
        <v>46-08-022-05</v>
      </c>
      <c r="C186" s="69" t="str">
        <f>Source!G108</f>
        <v>Гидроизоляция самоклеящейся лентой: горизонтальных швов (Применительно)</v>
      </c>
      <c r="D186" s="52" t="str">
        <f>Source!H108</f>
        <v>100 м</v>
      </c>
      <c r="E186" s="47">
        <f>Source!K108</f>
        <v>0.5</v>
      </c>
      <c r="F186" s="47"/>
      <c r="G186" s="47">
        <f>Source!I108</f>
        <v>0.5</v>
      </c>
      <c r="H186" s="53"/>
      <c r="I186" s="54"/>
      <c r="J186" s="53"/>
      <c r="K186" s="54"/>
      <c r="L186" s="53"/>
      <c r="AG186">
        <f>Source!X108</f>
        <v>18.34</v>
      </c>
      <c r="AH186">
        <f>Source!HK108</f>
        <v>669.02</v>
      </c>
      <c r="AI186">
        <f>Source!Y108</f>
        <v>10.51</v>
      </c>
      <c r="AJ186">
        <f>Source!HL108</f>
        <v>383.22</v>
      </c>
      <c r="AS186">
        <f>IF(Source!BI108&lt;=1,AH186,0)</f>
        <v>669.02</v>
      </c>
      <c r="AT186">
        <f>IF(Source!BI108&lt;=1,AJ186,0)</f>
        <v>383.22</v>
      </c>
      <c r="BC186">
        <f>IF(Source!BI108=2,AH186,0)</f>
        <v>0</v>
      </c>
      <c r="BD186">
        <f>IF(Source!BI108=2,AJ186,0)</f>
        <v>0</v>
      </c>
    </row>
    <row r="188" ht="12.75">
      <c r="C188" s="43" t="str">
        <f>"Объем: "&amp;Source!K108&amp;"=50/"&amp;"100"</f>
        <v>Объем: 0,5=50/100</v>
      </c>
    </row>
    <row r="189" spans="1:12" ht="14.25">
      <c r="A189" s="69"/>
      <c r="B189" s="70">
        <v>1</v>
      </c>
      <c r="C189" s="69" t="s">
        <v>405</v>
      </c>
      <c r="D189" s="52"/>
      <c r="E189" s="47"/>
      <c r="F189" s="47"/>
      <c r="G189" s="47"/>
      <c r="H189" s="53">
        <f>Source!AO108</f>
        <v>31.55</v>
      </c>
      <c r="I189" s="54"/>
      <c r="J189" s="53">
        <f>ROUND(Source!AF108*Source!I108,2)</f>
        <v>15.78</v>
      </c>
      <c r="K189" s="54">
        <f>IF(Source!BA108&lt;&gt;0,Source!BA108,1)</f>
        <v>36.47</v>
      </c>
      <c r="L189" s="53">
        <f>Source!HJ108</f>
        <v>575.5</v>
      </c>
    </row>
    <row r="190" spans="1:12" ht="14.25">
      <c r="A190" s="69"/>
      <c r="B190" s="70">
        <v>3</v>
      </c>
      <c r="C190" s="69" t="s">
        <v>406</v>
      </c>
      <c r="D190" s="52"/>
      <c r="E190" s="47"/>
      <c r="F190" s="47"/>
      <c r="G190" s="47"/>
      <c r="H190" s="53">
        <f>Source!AM108</f>
        <v>99.38</v>
      </c>
      <c r="I190" s="54"/>
      <c r="J190" s="53">
        <f>ROUND(Source!AD108*Source!I108,2)</f>
        <v>49.69</v>
      </c>
      <c r="K190" s="54"/>
      <c r="L190" s="53"/>
    </row>
    <row r="191" spans="1:12" ht="14.25">
      <c r="A191" s="69"/>
      <c r="B191" s="70">
        <v>2</v>
      </c>
      <c r="C191" s="69" t="s">
        <v>407</v>
      </c>
      <c r="D191" s="52"/>
      <c r="E191" s="47"/>
      <c r="F191" s="47"/>
      <c r="G191" s="47"/>
      <c r="H191" s="53">
        <f>Source!AN108</f>
        <v>4.06</v>
      </c>
      <c r="I191" s="54"/>
      <c r="J191" s="55">
        <f>ROUND(Source!AE108*Source!I108,2)</f>
        <v>2.03</v>
      </c>
      <c r="K191" s="54">
        <f>IF(Source!BS108&lt;&gt;0,Source!BS108,1)</f>
        <v>36.47</v>
      </c>
      <c r="L191" s="55">
        <f>Source!HI108</f>
        <v>74.03</v>
      </c>
    </row>
    <row r="192" spans="1:12" ht="14.25">
      <c r="A192" s="69"/>
      <c r="B192" s="70">
        <v>4</v>
      </c>
      <c r="C192" s="69" t="s">
        <v>408</v>
      </c>
      <c r="D192" s="52"/>
      <c r="E192" s="47"/>
      <c r="F192" s="47"/>
      <c r="G192" s="47"/>
      <c r="H192" s="53">
        <f>Source!AL108</f>
        <v>0</v>
      </c>
      <c r="I192" s="54"/>
      <c r="J192" s="53">
        <f>ROUND(Source!AC108*Source!I108,2)</f>
        <v>0</v>
      </c>
      <c r="K192" s="54"/>
      <c r="L192" s="53"/>
    </row>
    <row r="193" spans="1:12" ht="14.25">
      <c r="A193" s="69"/>
      <c r="B193" s="69"/>
      <c r="C193" s="69" t="s">
        <v>409</v>
      </c>
      <c r="D193" s="52" t="s">
        <v>410</v>
      </c>
      <c r="E193" s="47">
        <f>Source!AQ108</f>
        <v>3.28</v>
      </c>
      <c r="F193" s="47"/>
      <c r="G193" s="47">
        <f>ROUND(Source!U108,7)</f>
        <v>1.64</v>
      </c>
      <c r="H193" s="53"/>
      <c r="I193" s="54"/>
      <c r="J193" s="53"/>
      <c r="K193" s="54"/>
      <c r="L193" s="53"/>
    </row>
    <row r="194" spans="1:12" ht="14.25">
      <c r="A194" s="69"/>
      <c r="B194" s="69"/>
      <c r="C194" s="71" t="s">
        <v>411</v>
      </c>
      <c r="D194" s="56" t="s">
        <v>410</v>
      </c>
      <c r="E194" s="57">
        <f>Source!AR108</f>
        <v>0.35</v>
      </c>
      <c r="F194" s="57"/>
      <c r="G194" s="100">
        <f>ROUND(Source!V108,7)</f>
        <v>0.175</v>
      </c>
      <c r="H194" s="58"/>
      <c r="I194" s="59"/>
      <c r="J194" s="58"/>
      <c r="K194" s="59"/>
      <c r="L194" s="58"/>
    </row>
    <row r="195" spans="1:12" ht="14.25">
      <c r="A195" s="69"/>
      <c r="B195" s="69"/>
      <c r="C195" s="69" t="s">
        <v>412</v>
      </c>
      <c r="D195" s="52"/>
      <c r="E195" s="47"/>
      <c r="F195" s="47"/>
      <c r="G195" s="47"/>
      <c r="H195" s="53">
        <f>H189+H190+H192</f>
        <v>130.93</v>
      </c>
      <c r="I195" s="54"/>
      <c r="J195" s="53">
        <f>J189+J190+J192</f>
        <v>65.47</v>
      </c>
      <c r="K195" s="54"/>
      <c r="L195" s="53"/>
    </row>
    <row r="196" spans="1:56" ht="33.75" customHeight="1">
      <c r="A196" s="69" t="s">
        <v>185</v>
      </c>
      <c r="B196" s="69" t="str">
        <f>Source!F110</f>
        <v>01.7.06.01-0012</v>
      </c>
      <c r="C196" s="69" t="str">
        <f>Source!G110</f>
        <v>Лента герметизирующая самоклеящая Герлен-Д шириной: 100 мм толщиной 3 мм</v>
      </c>
      <c r="D196" s="52" t="str">
        <f>Source!H110</f>
        <v>кг</v>
      </c>
      <c r="E196" s="47">
        <f>SmtRes!AT118</f>
        <v>19.5</v>
      </c>
      <c r="F196" s="47"/>
      <c r="G196" s="47">
        <f>Source!I110</f>
        <v>9.75</v>
      </c>
      <c r="H196" s="53">
        <f>Source!AL110+Source!AO110+Source!AM110</f>
        <v>31.08</v>
      </c>
      <c r="I196" s="54"/>
      <c r="J196" s="53">
        <f>ROUND(Source!AC110*Source!I110,2)+ROUND(Source!AD110*Source!I110,2)+ROUND(Source!AF110*Source!I110,2)</f>
        <v>303.03</v>
      </c>
      <c r="K196" s="54"/>
      <c r="L196" s="53"/>
      <c r="AF196" s="45">
        <f>J196</f>
        <v>303.03</v>
      </c>
      <c r="AG196">
        <f>Source!X110</f>
        <v>0</v>
      </c>
      <c r="AH196">
        <f>Source!HK110</f>
        <v>0</v>
      </c>
      <c r="AI196">
        <f>Source!Y110</f>
        <v>0</v>
      </c>
      <c r="AJ196">
        <f>Source!HL110</f>
        <v>0</v>
      </c>
      <c r="AN196">
        <f>IF(Source!BI110&lt;=1,J196,0)</f>
        <v>303.03</v>
      </c>
      <c r="AO196">
        <f>IF(Source!BI110&lt;=1,J196,0)</f>
        <v>303.03</v>
      </c>
      <c r="AS196">
        <f>IF(Source!BI110&lt;=1,AH196,0)</f>
        <v>0</v>
      </c>
      <c r="AT196">
        <f>IF(Source!BI110&lt;=1,AJ196,0)</f>
        <v>0</v>
      </c>
      <c r="AX196">
        <f>IF(Source!BI110=2,J196,0)</f>
        <v>0</v>
      </c>
      <c r="AY196">
        <f>IF(Source!BI110=2,J196,0)</f>
        <v>0</v>
      </c>
      <c r="BC196">
        <f>IF(Source!BI110=2,AH196,0)</f>
        <v>0</v>
      </c>
      <c r="BD196">
        <f>IF(Source!BI110=2,AJ196,0)</f>
        <v>0</v>
      </c>
    </row>
    <row r="197" spans="1:12" ht="14.25">
      <c r="A197" s="69"/>
      <c r="B197" s="69"/>
      <c r="C197" s="69" t="s">
        <v>413</v>
      </c>
      <c r="D197" s="52"/>
      <c r="E197" s="47"/>
      <c r="F197" s="47"/>
      <c r="G197" s="47"/>
      <c r="H197" s="53"/>
      <c r="I197" s="54"/>
      <c r="J197" s="53">
        <f>SUM(Q186:Q200)+SUM(V186:V200)+SUM(X186:X200)+SUM(Y186:Y200)</f>
        <v>17.81</v>
      </c>
      <c r="K197" s="54"/>
      <c r="L197" s="53">
        <f>SUM(U186:U200)+SUM(W186:W200)+SUM(Z186:Z200)+SUM(AA186:AA200)</f>
        <v>649.53</v>
      </c>
    </row>
    <row r="198" spans="1:12" ht="71.25">
      <c r="A198" s="69"/>
      <c r="B198" s="69" t="s">
        <v>29</v>
      </c>
      <c r="C198" s="69" t="s">
        <v>414</v>
      </c>
      <c r="D198" s="52" t="s">
        <v>415</v>
      </c>
      <c r="E198" s="47">
        <f>Source!BZ108</f>
        <v>103</v>
      </c>
      <c r="F198" s="47"/>
      <c r="G198" s="47">
        <f>Source!AT108</f>
        <v>103</v>
      </c>
      <c r="H198" s="53"/>
      <c r="I198" s="54"/>
      <c r="J198" s="53">
        <f>SUM(AG186:AG200)</f>
        <v>18.34</v>
      </c>
      <c r="K198" s="54"/>
      <c r="L198" s="53">
        <f>SUM(AH186:AH200)</f>
        <v>669.02</v>
      </c>
    </row>
    <row r="199" spans="1:12" ht="71.25">
      <c r="A199" s="71"/>
      <c r="B199" s="71" t="s">
        <v>30</v>
      </c>
      <c r="C199" s="71" t="s">
        <v>416</v>
      </c>
      <c r="D199" s="56" t="s">
        <v>415</v>
      </c>
      <c r="E199" s="57">
        <f>Source!CA108</f>
        <v>59</v>
      </c>
      <c r="F199" s="57"/>
      <c r="G199" s="57">
        <f>Source!AU108</f>
        <v>59</v>
      </c>
      <c r="H199" s="58"/>
      <c r="I199" s="59"/>
      <c r="J199" s="58">
        <f>SUM(AI186:AI200)</f>
        <v>10.51</v>
      </c>
      <c r="K199" s="59"/>
      <c r="L199" s="58">
        <f>SUM(AJ186:AJ200)</f>
        <v>383.22</v>
      </c>
    </row>
    <row r="200" spans="3:53" ht="15">
      <c r="C200" s="136" t="s">
        <v>417</v>
      </c>
      <c r="D200" s="136"/>
      <c r="E200" s="136"/>
      <c r="F200" s="136"/>
      <c r="G200" s="136"/>
      <c r="H200" s="136"/>
      <c r="I200" s="136">
        <f>J189+J190+J192+J198+J199+SUM(J196:J196)</f>
        <v>397.34999999999997</v>
      </c>
      <c r="J200" s="136"/>
      <c r="O200" s="45">
        <f>I200</f>
        <v>397.34999999999997</v>
      </c>
      <c r="P200">
        <f>K200</f>
        <v>0</v>
      </c>
      <c r="Q200" s="45">
        <f>J189</f>
        <v>15.78</v>
      </c>
      <c r="R200" s="45">
        <f>J189</f>
        <v>15.78</v>
      </c>
      <c r="U200" s="45">
        <f>L189</f>
        <v>575.5</v>
      </c>
      <c r="X200" s="45">
        <f>J191</f>
        <v>2.03</v>
      </c>
      <c r="Z200" s="45">
        <f>L191</f>
        <v>74.03</v>
      </c>
      <c r="AB200" s="45">
        <f>J190</f>
        <v>49.69</v>
      </c>
      <c r="AD200" s="45">
        <f>L190</f>
        <v>0</v>
      </c>
      <c r="AF200" s="45">
        <f>J192</f>
        <v>0</v>
      </c>
      <c r="AN200">
        <f>IF(Source!BI108&lt;=1,J189+J190+J192+J198+J199,0)</f>
        <v>94.32000000000001</v>
      </c>
      <c r="AO200">
        <f>IF(Source!BI108&lt;=1,J192,0)</f>
        <v>0</v>
      </c>
      <c r="AP200">
        <f>IF(Source!BI108&lt;=1,J190,0)</f>
        <v>49.69</v>
      </c>
      <c r="AQ200">
        <f>IF(Source!BI108&lt;=1,J189,0)</f>
        <v>15.78</v>
      </c>
      <c r="AX200">
        <f>IF(Source!BI108=2,J189+J190+J192+J198+J199,0)</f>
        <v>0</v>
      </c>
      <c r="AY200">
        <f>IF(Source!BI108=2,J192,0)</f>
        <v>0</v>
      </c>
      <c r="AZ200">
        <f>IF(Source!BI108=2,J190,0)</f>
        <v>0</v>
      </c>
      <c r="BA200">
        <f>IF(Source!BI108=2,J189,0)</f>
        <v>0</v>
      </c>
    </row>
    <row r="202" spans="1:95" ht="15">
      <c r="A202" s="61"/>
      <c r="B202" s="62"/>
      <c r="C202" s="126" t="s">
        <v>421</v>
      </c>
      <c r="D202" s="126"/>
      <c r="E202" s="126"/>
      <c r="F202" s="126"/>
      <c r="G202" s="126"/>
      <c r="H202" s="126"/>
      <c r="I202" s="63"/>
      <c r="J202" s="64">
        <f>J204+J205+J206+J207</f>
        <v>91437.24</v>
      </c>
      <c r="K202" s="64"/>
      <c r="L202" s="64"/>
      <c r="CQ202" s="73" t="s">
        <v>421</v>
      </c>
    </row>
    <row r="203" spans="1:12" ht="14.25">
      <c r="A203" s="65"/>
      <c r="B203" s="66"/>
      <c r="C203" s="125" t="s">
        <v>422</v>
      </c>
      <c r="D203" s="124"/>
      <c r="E203" s="124"/>
      <c r="F203" s="124"/>
      <c r="G203" s="124"/>
      <c r="H203" s="124"/>
      <c r="I203" s="67"/>
      <c r="J203" s="68"/>
      <c r="K203" s="68"/>
      <c r="L203" s="68"/>
    </row>
    <row r="204" spans="1:12" ht="14.25">
      <c r="A204" s="65"/>
      <c r="B204" s="66"/>
      <c r="C204" s="124" t="s">
        <v>423</v>
      </c>
      <c r="D204" s="124"/>
      <c r="E204" s="124"/>
      <c r="F204" s="124"/>
      <c r="G204" s="124"/>
      <c r="H204" s="124"/>
      <c r="I204" s="67"/>
      <c r="J204" s="68">
        <f>SUM(Q89:Q200)</f>
        <v>4036.1000000000004</v>
      </c>
      <c r="K204" s="68"/>
      <c r="L204" s="68"/>
    </row>
    <row r="205" spans="1:12" ht="14.25">
      <c r="A205" s="65"/>
      <c r="B205" s="66"/>
      <c r="C205" s="124" t="s">
        <v>424</v>
      </c>
      <c r="D205" s="124"/>
      <c r="E205" s="124"/>
      <c r="F205" s="124"/>
      <c r="G205" s="124"/>
      <c r="H205" s="124"/>
      <c r="I205" s="67"/>
      <c r="J205" s="68">
        <f>SUM(AB89:AB200)</f>
        <v>1464.1499999999999</v>
      </c>
      <c r="K205" s="68"/>
      <c r="L205" s="68"/>
    </row>
    <row r="206" spans="1:12" ht="14.25">
      <c r="A206" s="65"/>
      <c r="B206" s="66"/>
      <c r="C206" s="124" t="s">
        <v>425</v>
      </c>
      <c r="D206" s="124"/>
      <c r="E206" s="124"/>
      <c r="F206" s="124"/>
      <c r="G206" s="124"/>
      <c r="H206" s="124"/>
      <c r="I206" s="67"/>
      <c r="J206" s="68">
        <f>Source!F115-J211</f>
        <v>85936.99</v>
      </c>
      <c r="K206" s="68"/>
      <c r="L206" s="68"/>
    </row>
    <row r="207" spans="1:12" ht="13.5" customHeight="1" hidden="1">
      <c r="A207" s="65"/>
      <c r="B207" s="66"/>
      <c r="C207" s="124" t="s">
        <v>426</v>
      </c>
      <c r="D207" s="124"/>
      <c r="E207" s="124"/>
      <c r="F207" s="124"/>
      <c r="G207" s="124"/>
      <c r="H207" s="124"/>
      <c r="I207" s="67"/>
      <c r="J207" s="68">
        <f>Source!F137</f>
        <v>0</v>
      </c>
      <c r="K207" s="68"/>
      <c r="L207" s="68"/>
    </row>
    <row r="208" spans="1:12" ht="14.25">
      <c r="A208" s="65"/>
      <c r="B208" s="66"/>
      <c r="C208" s="124" t="s">
        <v>427</v>
      </c>
      <c r="D208" s="124"/>
      <c r="E208" s="124"/>
      <c r="F208" s="124"/>
      <c r="G208" s="124"/>
      <c r="H208" s="124"/>
      <c r="I208" s="67"/>
      <c r="J208" s="68">
        <f>SUM(Q89:Q200)+SUM(X89:X200)</f>
        <v>4222.88</v>
      </c>
      <c r="K208" s="68"/>
      <c r="L208" s="68"/>
    </row>
    <row r="209" spans="1:12" ht="14.25">
      <c r="A209" s="65"/>
      <c r="B209" s="66"/>
      <c r="C209" s="124" t="s">
        <v>428</v>
      </c>
      <c r="D209" s="124"/>
      <c r="E209" s="124"/>
      <c r="F209" s="124"/>
      <c r="G209" s="124"/>
      <c r="H209" s="124"/>
      <c r="I209" s="67"/>
      <c r="J209" s="68">
        <f>Source!F138</f>
        <v>4143.51</v>
      </c>
      <c r="K209" s="68"/>
      <c r="L209" s="68"/>
    </row>
    <row r="210" spans="1:12" ht="14.25">
      <c r="A210" s="65"/>
      <c r="B210" s="66"/>
      <c r="C210" s="124" t="s">
        <v>429</v>
      </c>
      <c r="D210" s="124"/>
      <c r="E210" s="124"/>
      <c r="F210" s="124"/>
      <c r="G210" s="124"/>
      <c r="H210" s="124"/>
      <c r="I210" s="67"/>
      <c r="J210" s="68">
        <f>Source!F139</f>
        <v>2047.88</v>
      </c>
      <c r="K210" s="68"/>
      <c r="L210" s="68"/>
    </row>
    <row r="211" spans="1:12" ht="13.5" customHeight="1" hidden="1">
      <c r="A211" s="65"/>
      <c r="B211" s="66"/>
      <c r="C211" s="124" t="s">
        <v>430</v>
      </c>
      <c r="D211" s="124"/>
      <c r="E211" s="124"/>
      <c r="F211" s="124"/>
      <c r="G211" s="124"/>
      <c r="H211" s="124"/>
      <c r="I211" s="67"/>
      <c r="J211" s="68">
        <f>Source!F121</f>
        <v>0</v>
      </c>
      <c r="K211" s="68"/>
      <c r="L211" s="68"/>
    </row>
    <row r="212" spans="1:12" ht="13.5" customHeight="1" hidden="1">
      <c r="A212" s="65"/>
      <c r="B212" s="66"/>
      <c r="C212" s="124" t="s">
        <v>431</v>
      </c>
      <c r="D212" s="124"/>
      <c r="E212" s="124"/>
      <c r="F212" s="124"/>
      <c r="G212" s="124"/>
      <c r="H212" s="124"/>
      <c r="I212" s="67"/>
      <c r="J212" s="68">
        <f>Source!F131</f>
        <v>0</v>
      </c>
      <c r="K212" s="68"/>
      <c r="L212" s="68"/>
    </row>
    <row r="213" spans="1:12" ht="15">
      <c r="A213" s="61"/>
      <c r="B213" s="62"/>
      <c r="C213" s="126" t="s">
        <v>432</v>
      </c>
      <c r="D213" s="126"/>
      <c r="E213" s="126"/>
      <c r="F213" s="126"/>
      <c r="G213" s="126"/>
      <c r="H213" s="126"/>
      <c r="I213" s="63"/>
      <c r="J213" s="64">
        <f>Source!F140</f>
        <v>97628.63</v>
      </c>
      <c r="K213" s="64"/>
      <c r="L213" s="64"/>
    </row>
    <row r="214" spans="1:12" ht="13.5" customHeight="1" hidden="1">
      <c r="A214" s="65"/>
      <c r="B214" s="66"/>
      <c r="C214" s="125" t="s">
        <v>422</v>
      </c>
      <c r="D214" s="124"/>
      <c r="E214" s="124"/>
      <c r="F214" s="124"/>
      <c r="G214" s="124"/>
      <c r="H214" s="124"/>
      <c r="I214" s="67"/>
      <c r="J214" s="68"/>
      <c r="K214" s="68"/>
      <c r="L214" s="68"/>
    </row>
    <row r="215" spans="1:12" ht="13.5" customHeight="1" hidden="1">
      <c r="A215" s="65"/>
      <c r="B215" s="66"/>
      <c r="C215" s="124" t="s">
        <v>433</v>
      </c>
      <c r="D215" s="124"/>
      <c r="E215" s="124"/>
      <c r="F215" s="124"/>
      <c r="G215" s="124"/>
      <c r="H215" s="124"/>
      <c r="I215" s="67"/>
      <c r="J215" s="68"/>
      <c r="K215" s="68"/>
      <c r="L215" s="68">
        <f>SUM(BS89:BS200)</f>
        <v>0</v>
      </c>
    </row>
    <row r="216" spans="1:12" ht="13.5" customHeight="1" hidden="1">
      <c r="A216" s="65"/>
      <c r="B216" s="66"/>
      <c r="C216" s="124" t="s">
        <v>434</v>
      </c>
      <c r="D216" s="124"/>
      <c r="E216" s="124"/>
      <c r="F216" s="124"/>
      <c r="G216" s="124"/>
      <c r="H216" s="124"/>
      <c r="I216" s="67"/>
      <c r="J216" s="68"/>
      <c r="K216" s="68"/>
      <c r="L216" s="68">
        <f>SUM(BT89:BT200)</f>
        <v>0</v>
      </c>
    </row>
    <row r="218" spans="1:12" ht="16.5">
      <c r="A218" s="137" t="s">
        <v>451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1:56" ht="28.5">
      <c r="A219" s="69">
        <v>10</v>
      </c>
      <c r="B219" s="69" t="str">
        <f>Source!F147</f>
        <v>69-15-1</v>
      </c>
      <c r="C219" s="69" t="str">
        <f>Source!G147</f>
        <v>Затаривание строительного мусора в мешки</v>
      </c>
      <c r="D219" s="52" t="str">
        <f>Source!H147</f>
        <v>т</v>
      </c>
      <c r="E219" s="47">
        <f>Source!K147</f>
        <v>12.29</v>
      </c>
      <c r="F219" s="47"/>
      <c r="G219" s="47">
        <f>Source!I147</f>
        <v>12.29</v>
      </c>
      <c r="H219" s="53"/>
      <c r="I219" s="54"/>
      <c r="J219" s="53"/>
      <c r="K219" s="54"/>
      <c r="L219" s="53"/>
      <c r="AG219">
        <f>Source!X147</f>
        <v>83.78</v>
      </c>
      <c r="AH219">
        <f>Source!HK147</f>
        <v>3055.61</v>
      </c>
      <c r="AI219">
        <f>Source!Y147</f>
        <v>40.07</v>
      </c>
      <c r="AJ219">
        <f>Source!HL147</f>
        <v>1461.38</v>
      </c>
      <c r="AS219">
        <f>IF(Source!BI147&lt;=1,AH219,0)</f>
        <v>3055.61</v>
      </c>
      <c r="AT219">
        <f>IF(Source!BI147&lt;=1,AJ219,0)</f>
        <v>1461.38</v>
      </c>
      <c r="BC219">
        <f>IF(Source!BI147=2,AH219,0)</f>
        <v>0</v>
      </c>
      <c r="BD219">
        <f>IF(Source!BI147=2,AJ219,0)</f>
        <v>0</v>
      </c>
    </row>
    <row r="221" spans="1:12" ht="14.25">
      <c r="A221" s="69"/>
      <c r="B221" s="70">
        <v>1</v>
      </c>
      <c r="C221" s="69" t="s">
        <v>405</v>
      </c>
      <c r="D221" s="52"/>
      <c r="E221" s="47"/>
      <c r="F221" s="47"/>
      <c r="G221" s="47"/>
      <c r="H221" s="53">
        <f>Source!AO147</f>
        <v>7.41</v>
      </c>
      <c r="I221" s="54"/>
      <c r="J221" s="53">
        <f>ROUND(Source!AF147*Source!I147,2)</f>
        <v>91.07</v>
      </c>
      <c r="K221" s="54">
        <f>IF(Source!BA147&lt;&gt;0,Source!BA147,1)</f>
        <v>36.47</v>
      </c>
      <c r="L221" s="53">
        <f>Source!HJ147</f>
        <v>3321.32</v>
      </c>
    </row>
    <row r="222" spans="1:12" ht="14.25">
      <c r="A222" s="69"/>
      <c r="B222" s="70">
        <v>3</v>
      </c>
      <c r="C222" s="69" t="s">
        <v>406</v>
      </c>
      <c r="D222" s="52"/>
      <c r="E222" s="47"/>
      <c r="F222" s="47"/>
      <c r="G222" s="47"/>
      <c r="H222" s="53">
        <f>Source!AM147</f>
        <v>0</v>
      </c>
      <c r="I222" s="54"/>
      <c r="J222" s="53">
        <f>ROUND(Source!AD147*Source!I147,2)</f>
        <v>0</v>
      </c>
      <c r="K222" s="54"/>
      <c r="L222" s="53"/>
    </row>
    <row r="223" spans="1:12" ht="14.25">
      <c r="A223" s="69"/>
      <c r="B223" s="70">
        <v>2</v>
      </c>
      <c r="C223" s="69" t="s">
        <v>407</v>
      </c>
      <c r="D223" s="52"/>
      <c r="E223" s="47"/>
      <c r="F223" s="47"/>
      <c r="G223" s="47"/>
      <c r="H223" s="53">
        <f>Source!AN147</f>
        <v>0</v>
      </c>
      <c r="I223" s="54"/>
      <c r="J223" s="55">
        <f>ROUND(Source!AE147*Source!I147,2)</f>
        <v>0</v>
      </c>
      <c r="K223" s="54">
        <f>IF(Source!BS147&lt;&gt;0,Source!BS147,1)</f>
        <v>36.47</v>
      </c>
      <c r="L223" s="55">
        <f>Source!HI147</f>
        <v>0</v>
      </c>
    </row>
    <row r="224" spans="1:12" ht="14.25">
      <c r="A224" s="69"/>
      <c r="B224" s="70">
        <v>4</v>
      </c>
      <c r="C224" s="69" t="s">
        <v>408</v>
      </c>
      <c r="D224" s="52"/>
      <c r="E224" s="47"/>
      <c r="F224" s="47"/>
      <c r="G224" s="47"/>
      <c r="H224" s="53">
        <f>Source!AL147</f>
        <v>16.4</v>
      </c>
      <c r="I224" s="54"/>
      <c r="J224" s="53">
        <f>ROUND(Source!AC147*Source!I147,2)</f>
        <v>201.56</v>
      </c>
      <c r="K224" s="54"/>
      <c r="L224" s="53"/>
    </row>
    <row r="225" spans="1:12" ht="14.25">
      <c r="A225" s="69"/>
      <c r="B225" s="69"/>
      <c r="C225" s="69" t="s">
        <v>409</v>
      </c>
      <c r="D225" s="52" t="s">
        <v>410</v>
      </c>
      <c r="E225" s="47">
        <f>Source!AQ147</f>
        <v>1.03</v>
      </c>
      <c r="F225" s="47"/>
      <c r="G225" s="98">
        <f>ROUND(Source!U147,7)</f>
        <v>12.6587</v>
      </c>
      <c r="H225" s="53"/>
      <c r="I225" s="54"/>
      <c r="J225" s="53"/>
      <c r="K225" s="54"/>
      <c r="L225" s="53"/>
    </row>
    <row r="226" spans="1:12" ht="14.25">
      <c r="A226" s="69"/>
      <c r="B226" s="69"/>
      <c r="C226" s="71" t="s">
        <v>411</v>
      </c>
      <c r="D226" s="56" t="s">
        <v>410</v>
      </c>
      <c r="E226" s="57">
        <f>Source!AR147</f>
        <v>0</v>
      </c>
      <c r="F226" s="57"/>
      <c r="G226" s="57">
        <f>ROUND(Source!V147,7)</f>
        <v>0</v>
      </c>
      <c r="H226" s="58"/>
      <c r="I226" s="59"/>
      <c r="J226" s="58"/>
      <c r="K226" s="59"/>
      <c r="L226" s="58"/>
    </row>
    <row r="227" spans="1:12" ht="14.25">
      <c r="A227" s="69"/>
      <c r="B227" s="69"/>
      <c r="C227" s="69" t="s">
        <v>412</v>
      </c>
      <c r="D227" s="52"/>
      <c r="E227" s="47"/>
      <c r="F227" s="47"/>
      <c r="G227" s="47"/>
      <c r="H227" s="53">
        <f>H221+H222+H224</f>
        <v>23.81</v>
      </c>
      <c r="I227" s="54"/>
      <c r="J227" s="53">
        <f>J221+J222+J224</f>
        <v>292.63</v>
      </c>
      <c r="K227" s="54"/>
      <c r="L227" s="53"/>
    </row>
    <row r="228" spans="1:12" ht="14.25">
      <c r="A228" s="69"/>
      <c r="B228" s="69"/>
      <c r="C228" s="69" t="s">
        <v>413</v>
      </c>
      <c r="D228" s="52"/>
      <c r="E228" s="47"/>
      <c r="F228" s="47"/>
      <c r="G228" s="47"/>
      <c r="H228" s="53"/>
      <c r="I228" s="54"/>
      <c r="J228" s="53">
        <f>SUM(Q219:Q231)+SUM(V219:V231)+SUM(X219:X231)+SUM(Y219:Y231)</f>
        <v>91.07</v>
      </c>
      <c r="K228" s="54"/>
      <c r="L228" s="53">
        <f>SUM(U219:U231)+SUM(W219:W231)+SUM(Z219:Z231)+SUM(AA219:AA231)</f>
        <v>3321.32</v>
      </c>
    </row>
    <row r="229" spans="1:12" ht="28.5">
      <c r="A229" s="69"/>
      <c r="B229" s="69" t="s">
        <v>203</v>
      </c>
      <c r="C229" s="69" t="s">
        <v>452</v>
      </c>
      <c r="D229" s="52" t="s">
        <v>415</v>
      </c>
      <c r="E229" s="47">
        <f>Source!BZ147</f>
        <v>92</v>
      </c>
      <c r="F229" s="47"/>
      <c r="G229" s="47">
        <f>Source!AT147</f>
        <v>92</v>
      </c>
      <c r="H229" s="53"/>
      <c r="I229" s="54"/>
      <c r="J229" s="53">
        <f>SUM(AG219:AG231)</f>
        <v>83.78</v>
      </c>
      <c r="K229" s="54"/>
      <c r="L229" s="53">
        <f>SUM(AH219:AH231)</f>
        <v>3055.61</v>
      </c>
    </row>
    <row r="230" spans="1:12" ht="28.5">
      <c r="A230" s="71"/>
      <c r="B230" s="71" t="s">
        <v>204</v>
      </c>
      <c r="C230" s="71" t="s">
        <v>453</v>
      </c>
      <c r="D230" s="56" t="s">
        <v>415</v>
      </c>
      <c r="E230" s="57">
        <f>Source!CA147</f>
        <v>44</v>
      </c>
      <c r="F230" s="57"/>
      <c r="G230" s="57">
        <f>Source!AU147</f>
        <v>44</v>
      </c>
      <c r="H230" s="58"/>
      <c r="I230" s="59"/>
      <c r="J230" s="58">
        <f>SUM(AI219:AI231)</f>
        <v>40.07</v>
      </c>
      <c r="K230" s="59"/>
      <c r="L230" s="58">
        <f>SUM(AJ219:AJ231)</f>
        <v>1461.38</v>
      </c>
    </row>
    <row r="231" spans="3:53" ht="15">
      <c r="C231" s="136" t="s">
        <v>417</v>
      </c>
      <c r="D231" s="136"/>
      <c r="E231" s="136"/>
      <c r="F231" s="136"/>
      <c r="G231" s="136"/>
      <c r="H231" s="136"/>
      <c r="I231" s="136">
        <f>J221+J222+J224+J229+J230</f>
        <v>416.47999999999996</v>
      </c>
      <c r="J231" s="136"/>
      <c r="O231" s="45">
        <f>I231</f>
        <v>416.47999999999996</v>
      </c>
      <c r="P231">
        <f>K231</f>
        <v>0</v>
      </c>
      <c r="Q231" s="45">
        <f>J221</f>
        <v>91.07</v>
      </c>
      <c r="R231" s="45">
        <f>J221</f>
        <v>91.07</v>
      </c>
      <c r="U231" s="45">
        <f>L221</f>
        <v>3321.32</v>
      </c>
      <c r="X231" s="45">
        <f>J223</f>
        <v>0</v>
      </c>
      <c r="Z231" s="45">
        <f>L223</f>
        <v>0</v>
      </c>
      <c r="AB231" s="45">
        <f>J222</f>
        <v>0</v>
      </c>
      <c r="AD231" s="45">
        <f>L222</f>
        <v>0</v>
      </c>
      <c r="AF231" s="45">
        <f>J224</f>
        <v>201.56</v>
      </c>
      <c r="AN231">
        <f>IF(Source!BI147&lt;=1,J221+J222+J224+J229+J230,0)</f>
        <v>416.47999999999996</v>
      </c>
      <c r="AO231">
        <f>IF(Source!BI147&lt;=1,J224,0)</f>
        <v>201.56</v>
      </c>
      <c r="AP231">
        <f>IF(Source!BI147&lt;=1,J222,0)</f>
        <v>0</v>
      </c>
      <c r="AQ231">
        <f>IF(Source!BI147&lt;=1,J221,0)</f>
        <v>91.07</v>
      </c>
      <c r="AX231">
        <f>IF(Source!BI147=2,J221+J222+J224+J229+J230,0)</f>
        <v>0</v>
      </c>
      <c r="AY231">
        <f>IF(Source!BI147=2,J224,0)</f>
        <v>0</v>
      </c>
      <c r="AZ231">
        <f>IF(Source!BI147=2,J222,0)</f>
        <v>0</v>
      </c>
      <c r="BA231">
        <f>IF(Source!BI147=2,J221,0)</f>
        <v>0</v>
      </c>
    </row>
    <row r="232" spans="1:56" ht="42.75">
      <c r="A232" s="69">
        <v>11</v>
      </c>
      <c r="B232" s="69" t="str">
        <f>Source!F149</f>
        <v>т01-01-01-041</v>
      </c>
      <c r="C232" s="69" t="str">
        <f>Source!G149</f>
        <v>Погрузочные работы при автомобильных перевозках мусора строительного с погрузкой вручную</v>
      </c>
      <c r="D232" s="52" t="str">
        <f>Source!H149</f>
        <v>1 Т ГРУЗА</v>
      </c>
      <c r="E232" s="47">
        <f>Source!K149</f>
        <v>20</v>
      </c>
      <c r="F232" s="47"/>
      <c r="G232" s="47">
        <f>Source!I149</f>
        <v>20</v>
      </c>
      <c r="H232" s="53">
        <f>Source!AK149</f>
        <v>42.98</v>
      </c>
      <c r="I232" s="54"/>
      <c r="J232" s="53">
        <f>ROUND(Source!AB149*Source!I149,2)</f>
        <v>859.6</v>
      </c>
      <c r="K232" s="54"/>
      <c r="L232" s="53"/>
      <c r="AG232">
        <f>Source!X149</f>
        <v>0</v>
      </c>
      <c r="AH232">
        <f>Source!HK149</f>
        <v>0</v>
      </c>
      <c r="AI232">
        <f>Source!Y149</f>
        <v>0</v>
      </c>
      <c r="AJ232">
        <f>Source!HL149</f>
        <v>0</v>
      </c>
      <c r="AS232">
        <f>IF(Source!BI149&lt;=1,AH232,0)</f>
        <v>0</v>
      </c>
      <c r="AT232">
        <f>IF(Source!BI149&lt;=1,AJ232,0)</f>
        <v>0</v>
      </c>
      <c r="BC232">
        <f>IF(Source!BI149=2,AH232,0)</f>
        <v>0</v>
      </c>
      <c r="BD232">
        <f>IF(Source!BI149=2,AJ232,0)</f>
        <v>0</v>
      </c>
    </row>
    <row r="234" spans="1:12" ht="14.25">
      <c r="A234" s="69"/>
      <c r="B234" s="70">
        <v>1</v>
      </c>
      <c r="C234" s="69" t="s">
        <v>405</v>
      </c>
      <c r="D234" s="52"/>
      <c r="E234" s="47"/>
      <c r="F234" s="47"/>
      <c r="G234" s="47"/>
      <c r="H234" s="53">
        <f>Source!AO149</f>
        <v>0</v>
      </c>
      <c r="I234" s="54"/>
      <c r="J234" s="53">
        <f>ROUND(0*Source!I149,2)</f>
        <v>0</v>
      </c>
      <c r="K234" s="54">
        <f>IF(Source!AZ149&lt;&gt;0,Source!AZ149,1)</f>
        <v>1</v>
      </c>
      <c r="L234" s="53">
        <f>Source!HJ149</f>
        <v>0</v>
      </c>
    </row>
    <row r="235" spans="1:12" ht="14.25">
      <c r="A235" s="69"/>
      <c r="B235" s="70">
        <v>3</v>
      </c>
      <c r="C235" s="69" t="s">
        <v>406</v>
      </c>
      <c r="D235" s="52"/>
      <c r="E235" s="47"/>
      <c r="F235" s="47"/>
      <c r="G235" s="47"/>
      <c r="H235" s="53">
        <f>Source!AM149</f>
        <v>0</v>
      </c>
      <c r="I235" s="54"/>
      <c r="J235" s="53">
        <f>ROUND(0*Source!I149,2)</f>
        <v>0</v>
      </c>
      <c r="K235" s="54"/>
      <c r="L235" s="53"/>
    </row>
    <row r="236" spans="1:12" ht="14.25">
      <c r="A236" s="69"/>
      <c r="B236" s="70">
        <v>2</v>
      </c>
      <c r="C236" s="69" t="s">
        <v>407</v>
      </c>
      <c r="D236" s="52"/>
      <c r="E236" s="47"/>
      <c r="F236" s="47"/>
      <c r="G236" s="47"/>
      <c r="H236" s="53">
        <f>Source!AN149</f>
        <v>0</v>
      </c>
      <c r="I236" s="54"/>
      <c r="J236" s="55">
        <f>ROUND(0*Source!I149,2)</f>
        <v>0</v>
      </c>
      <c r="K236" s="54">
        <f>IF(Source!AZ149&lt;&gt;0,Source!AZ149,1)</f>
        <v>1</v>
      </c>
      <c r="L236" s="55">
        <f>Source!HI149</f>
        <v>0</v>
      </c>
    </row>
    <row r="237" spans="1:12" ht="14.25">
      <c r="A237" s="69"/>
      <c r="B237" s="70">
        <v>4</v>
      </c>
      <c r="C237" s="69" t="s">
        <v>408</v>
      </c>
      <c r="D237" s="52"/>
      <c r="E237" s="47"/>
      <c r="F237" s="47"/>
      <c r="G237" s="47"/>
      <c r="H237" s="53">
        <f>Source!AL149</f>
        <v>0</v>
      </c>
      <c r="I237" s="54"/>
      <c r="J237" s="53">
        <f>ROUND(0*Source!I149,2)</f>
        <v>0</v>
      </c>
      <c r="K237" s="54"/>
      <c r="L237" s="53"/>
    </row>
    <row r="238" spans="1:12" ht="14.25">
      <c r="A238" s="69"/>
      <c r="B238" s="69"/>
      <c r="C238" s="69" t="s">
        <v>409</v>
      </c>
      <c r="D238" s="52" t="s">
        <v>410</v>
      </c>
      <c r="E238" s="47">
        <f>Source!AQ149</f>
        <v>0</v>
      </c>
      <c r="F238" s="47"/>
      <c r="G238" s="47">
        <f>ROUND(Source!U149,7)</f>
        <v>0</v>
      </c>
      <c r="H238" s="53"/>
      <c r="I238" s="54"/>
      <c r="J238" s="53"/>
      <c r="K238" s="54"/>
      <c r="L238" s="53"/>
    </row>
    <row r="239" spans="1:12" ht="14.25">
      <c r="A239" s="69"/>
      <c r="B239" s="69"/>
      <c r="C239" s="71" t="s">
        <v>411</v>
      </c>
      <c r="D239" s="56" t="s">
        <v>410</v>
      </c>
      <c r="E239" s="57">
        <f>Source!AR149</f>
        <v>0</v>
      </c>
      <c r="F239" s="57"/>
      <c r="G239" s="57">
        <f>ROUND(Source!V149,7)</f>
        <v>0</v>
      </c>
      <c r="H239" s="58"/>
      <c r="I239" s="59"/>
      <c r="J239" s="58"/>
      <c r="K239" s="59"/>
      <c r="L239" s="58"/>
    </row>
    <row r="240" spans="1:12" ht="14.25">
      <c r="A240" s="69"/>
      <c r="B240" s="69"/>
      <c r="C240" s="69" t="s">
        <v>412</v>
      </c>
      <c r="D240" s="52"/>
      <c r="E240" s="47"/>
      <c r="F240" s="47"/>
      <c r="G240" s="47"/>
      <c r="H240" s="53">
        <f>H234+H235+H237</f>
        <v>0</v>
      </c>
      <c r="I240" s="54"/>
      <c r="J240" s="53">
        <f>J234+J235+J237</f>
        <v>0</v>
      </c>
      <c r="K240" s="54"/>
      <c r="L240" s="53"/>
    </row>
    <row r="241" spans="1:12" ht="14.25">
      <c r="A241" s="69"/>
      <c r="B241" s="69"/>
      <c r="C241" s="69" t="s">
        <v>413</v>
      </c>
      <c r="D241" s="52"/>
      <c r="E241" s="47"/>
      <c r="F241" s="47"/>
      <c r="G241" s="47"/>
      <c r="H241" s="53"/>
      <c r="I241" s="54"/>
      <c r="J241" s="53">
        <f>SUM(Q232:Q244)+SUM(V232:V244)+SUM(X232:X244)+SUM(Y232:Y244)</f>
        <v>0</v>
      </c>
      <c r="K241" s="54"/>
      <c r="L241" s="53">
        <f>SUM(U232:U244)+SUM(W232:W244)+SUM(Z232:Z244)+SUM(AA232:AA244)</f>
        <v>0</v>
      </c>
    </row>
    <row r="242" spans="1:12" ht="14.25">
      <c r="A242" s="69"/>
      <c r="B242" s="69"/>
      <c r="C242" s="69" t="s">
        <v>454</v>
      </c>
      <c r="D242" s="52" t="s">
        <v>415</v>
      </c>
      <c r="E242" s="47">
        <f>Source!BZ149</f>
        <v>0</v>
      </c>
      <c r="F242" s="47"/>
      <c r="G242" s="47">
        <f>Source!AT149</f>
        <v>0</v>
      </c>
      <c r="H242" s="53"/>
      <c r="I242" s="54"/>
      <c r="J242" s="53">
        <f>SUM(AG232:AG244)</f>
        <v>0</v>
      </c>
      <c r="K242" s="54"/>
      <c r="L242" s="53">
        <f>SUM(AH232:AH244)</f>
        <v>0</v>
      </c>
    </row>
    <row r="243" spans="1:12" ht="14.25">
      <c r="A243" s="71"/>
      <c r="B243" s="71"/>
      <c r="C243" s="71" t="s">
        <v>455</v>
      </c>
      <c r="D243" s="56" t="s">
        <v>415</v>
      </c>
      <c r="E243" s="57">
        <f>Source!CA149</f>
        <v>0</v>
      </c>
      <c r="F243" s="57"/>
      <c r="G243" s="57">
        <f>Source!AU149</f>
        <v>0</v>
      </c>
      <c r="H243" s="58"/>
      <c r="I243" s="59"/>
      <c r="J243" s="58">
        <f>SUM(AI232:AI244)</f>
        <v>0</v>
      </c>
      <c r="K243" s="59"/>
      <c r="L243" s="58">
        <f>SUM(AJ232:AJ244)</f>
        <v>0</v>
      </c>
    </row>
    <row r="244" spans="3:61" ht="15">
      <c r="C244" s="136" t="s">
        <v>417</v>
      </c>
      <c r="D244" s="136"/>
      <c r="E244" s="136"/>
      <c r="F244" s="136"/>
      <c r="G244" s="136"/>
      <c r="H244" s="136"/>
      <c r="I244" s="136">
        <f>J232</f>
        <v>859.6</v>
      </c>
      <c r="J244" s="136"/>
      <c r="O244" s="45">
        <f>I244</f>
        <v>859.6</v>
      </c>
      <c r="P244">
        <f>K244</f>
        <v>0</v>
      </c>
      <c r="R244" s="45">
        <f>J234</f>
        <v>0</v>
      </c>
      <c r="V244" s="45">
        <f>J234</f>
        <v>0</v>
      </c>
      <c r="W244" s="45">
        <f>L234</f>
        <v>0</v>
      </c>
      <c r="Y244" s="45">
        <f>J236</f>
        <v>0</v>
      </c>
      <c r="AA244" s="45">
        <f>L236</f>
        <v>0</v>
      </c>
      <c r="AC244" s="45">
        <f>J235</f>
        <v>0</v>
      </c>
      <c r="AE244" s="45">
        <f>L235</f>
        <v>0</v>
      </c>
      <c r="AF244" s="45">
        <f>J237</f>
        <v>0</v>
      </c>
      <c r="AO244">
        <f>IF(Source!BI149&lt;=1,J237,0)</f>
        <v>0</v>
      </c>
      <c r="AR244">
        <f>IF(Source!BI149&lt;=1,J232,0)</f>
        <v>859.6</v>
      </c>
      <c r="AY244">
        <f>IF(Source!BI149=2,J237,0)</f>
        <v>0</v>
      </c>
      <c r="BB244">
        <f>IF(Source!BI149=2,J232,0)</f>
        <v>0</v>
      </c>
      <c r="BI244">
        <f>IF(Source!BI149=3,J232,0)</f>
        <v>0</v>
      </c>
    </row>
    <row r="245" spans="1:56" ht="85.5">
      <c r="A245" s="69">
        <v>12</v>
      </c>
      <c r="B245" s="69" t="str">
        <f>Source!F151</f>
        <v>т03-01-01-050</v>
      </c>
      <c r="C245" s="69" t="str">
        <f>Source!G151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245" s="52" t="str">
        <f>Source!H151</f>
        <v>1 Т ГРУЗА</v>
      </c>
      <c r="E245" s="47">
        <f>Source!K151</f>
        <v>20</v>
      </c>
      <c r="F245" s="47"/>
      <c r="G245" s="47">
        <f>Source!I151</f>
        <v>20</v>
      </c>
      <c r="H245" s="53">
        <f>Source!AK151</f>
        <v>23.67</v>
      </c>
      <c r="I245" s="54"/>
      <c r="J245" s="53">
        <f>ROUND(Source!AB151*Source!I151,2)</f>
        <v>473.4</v>
      </c>
      <c r="K245" s="54"/>
      <c r="L245" s="53"/>
      <c r="AG245">
        <f>Source!X151</f>
        <v>0</v>
      </c>
      <c r="AH245">
        <f>Source!HK151</f>
        <v>0</v>
      </c>
      <c r="AI245">
        <f>Source!Y151</f>
        <v>0</v>
      </c>
      <c r="AJ245">
        <f>Source!HL151</f>
        <v>0</v>
      </c>
      <c r="AS245">
        <f>IF(Source!BI151&lt;=1,AH245,0)</f>
        <v>0</v>
      </c>
      <c r="AT245">
        <f>IF(Source!BI151&lt;=1,AJ245,0)</f>
        <v>0</v>
      </c>
      <c r="BC245">
        <f>IF(Source!BI151=2,AH245,0)</f>
        <v>0</v>
      </c>
      <c r="BD245">
        <f>IF(Source!BI151=2,AJ245,0)</f>
        <v>0</v>
      </c>
    </row>
    <row r="247" spans="1:12" ht="14.25">
      <c r="A247" s="69"/>
      <c r="B247" s="70">
        <v>1</v>
      </c>
      <c r="C247" s="69" t="s">
        <v>405</v>
      </c>
      <c r="D247" s="52"/>
      <c r="E247" s="47"/>
      <c r="F247" s="47"/>
      <c r="G247" s="47"/>
      <c r="H247" s="53">
        <f>Source!AO151</f>
        <v>0</v>
      </c>
      <c r="I247" s="54"/>
      <c r="J247" s="53">
        <f>ROUND(0*Source!I151,2)</f>
        <v>0</v>
      </c>
      <c r="K247" s="54">
        <f>IF(Source!AZ151&lt;&gt;0,Source!AZ151,1)</f>
        <v>1</v>
      </c>
      <c r="L247" s="53">
        <f>Source!HJ151</f>
        <v>0</v>
      </c>
    </row>
    <row r="248" spans="1:12" ht="14.25">
      <c r="A248" s="69"/>
      <c r="B248" s="70">
        <v>3</v>
      </c>
      <c r="C248" s="69" t="s">
        <v>406</v>
      </c>
      <c r="D248" s="52"/>
      <c r="E248" s="47"/>
      <c r="F248" s="47"/>
      <c r="G248" s="47"/>
      <c r="H248" s="53">
        <f>Source!AM151</f>
        <v>0</v>
      </c>
      <c r="I248" s="54"/>
      <c r="J248" s="53">
        <f>ROUND(0*Source!I151,2)</f>
        <v>0</v>
      </c>
      <c r="K248" s="54"/>
      <c r="L248" s="53"/>
    </row>
    <row r="249" spans="1:12" ht="14.25">
      <c r="A249" s="69"/>
      <c r="B249" s="70">
        <v>2</v>
      </c>
      <c r="C249" s="69" t="s">
        <v>407</v>
      </c>
      <c r="D249" s="52"/>
      <c r="E249" s="47"/>
      <c r="F249" s="47"/>
      <c r="G249" s="47"/>
      <c r="H249" s="53">
        <f>Source!AN151</f>
        <v>0</v>
      </c>
      <c r="I249" s="54"/>
      <c r="J249" s="55">
        <f>ROUND(0*Source!I151,2)</f>
        <v>0</v>
      </c>
      <c r="K249" s="54">
        <f>IF(Source!AZ151&lt;&gt;0,Source!AZ151,1)</f>
        <v>1</v>
      </c>
      <c r="L249" s="55">
        <f>Source!HI151</f>
        <v>0</v>
      </c>
    </row>
    <row r="250" spans="1:12" ht="14.25">
      <c r="A250" s="69"/>
      <c r="B250" s="70">
        <v>4</v>
      </c>
      <c r="C250" s="69" t="s">
        <v>408</v>
      </c>
      <c r="D250" s="52"/>
      <c r="E250" s="47"/>
      <c r="F250" s="47"/>
      <c r="G250" s="47"/>
      <c r="H250" s="53">
        <f>Source!AL151</f>
        <v>0</v>
      </c>
      <c r="I250" s="54"/>
      <c r="J250" s="53">
        <f>ROUND(0*Source!I151,2)</f>
        <v>0</v>
      </c>
      <c r="K250" s="54"/>
      <c r="L250" s="53"/>
    </row>
    <row r="251" spans="1:12" ht="14.25">
      <c r="A251" s="69"/>
      <c r="B251" s="69"/>
      <c r="C251" s="69" t="s">
        <v>409</v>
      </c>
      <c r="D251" s="52" t="s">
        <v>410</v>
      </c>
      <c r="E251" s="47">
        <f>Source!AQ151</f>
        <v>0</v>
      </c>
      <c r="F251" s="47"/>
      <c r="G251" s="47">
        <f>ROUND(Source!U151,7)</f>
        <v>0</v>
      </c>
      <c r="H251" s="53"/>
      <c r="I251" s="54"/>
      <c r="J251" s="53"/>
      <c r="K251" s="54"/>
      <c r="L251" s="53"/>
    </row>
    <row r="252" spans="1:12" ht="14.25">
      <c r="A252" s="69"/>
      <c r="B252" s="69"/>
      <c r="C252" s="71" t="s">
        <v>411</v>
      </c>
      <c r="D252" s="56" t="s">
        <v>410</v>
      </c>
      <c r="E252" s="57">
        <f>Source!AR151</f>
        <v>0</v>
      </c>
      <c r="F252" s="57"/>
      <c r="G252" s="57">
        <f>ROUND(Source!V151,7)</f>
        <v>0</v>
      </c>
      <c r="H252" s="58"/>
      <c r="I252" s="59"/>
      <c r="J252" s="58"/>
      <c r="K252" s="59"/>
      <c r="L252" s="58"/>
    </row>
    <row r="253" spans="1:12" ht="14.25">
      <c r="A253" s="69"/>
      <c r="B253" s="69"/>
      <c r="C253" s="69" t="s">
        <v>412</v>
      </c>
      <c r="D253" s="52"/>
      <c r="E253" s="47"/>
      <c r="F253" s="47"/>
      <c r="G253" s="47"/>
      <c r="H253" s="53">
        <f>H247+H248+H250</f>
        <v>0</v>
      </c>
      <c r="I253" s="54"/>
      <c r="J253" s="53">
        <f>J247+J248+J250</f>
        <v>0</v>
      </c>
      <c r="K253" s="54"/>
      <c r="L253" s="53"/>
    </row>
    <row r="254" spans="1:12" ht="14.25">
      <c r="A254" s="69"/>
      <c r="B254" s="69"/>
      <c r="C254" s="69" t="s">
        <v>413</v>
      </c>
      <c r="D254" s="52"/>
      <c r="E254" s="47"/>
      <c r="F254" s="47"/>
      <c r="G254" s="47"/>
      <c r="H254" s="53"/>
      <c r="I254" s="54"/>
      <c r="J254" s="53">
        <f>SUM(Q245:Q257)+SUM(V245:V257)+SUM(X245:X257)+SUM(Y245:Y257)</f>
        <v>0</v>
      </c>
      <c r="K254" s="54"/>
      <c r="L254" s="53">
        <f>SUM(U245:U257)+SUM(W245:W257)+SUM(Z245:Z257)+SUM(AA245:AA257)</f>
        <v>0</v>
      </c>
    </row>
    <row r="255" spans="1:12" ht="28.5">
      <c r="A255" s="69"/>
      <c r="B255" s="69"/>
      <c r="C255" s="69" t="s">
        <v>456</v>
      </c>
      <c r="D255" s="52" t="s">
        <v>415</v>
      </c>
      <c r="E255" s="47">
        <f>Source!BZ151</f>
        <v>0</v>
      </c>
      <c r="F255" s="47"/>
      <c r="G255" s="47">
        <f>Source!AT151</f>
        <v>0</v>
      </c>
      <c r="H255" s="53"/>
      <c r="I255" s="54"/>
      <c r="J255" s="53">
        <f>SUM(AG245:AG257)</f>
        <v>0</v>
      </c>
      <c r="K255" s="54"/>
      <c r="L255" s="53">
        <f>SUM(AH245:AH257)</f>
        <v>0</v>
      </c>
    </row>
    <row r="256" spans="1:12" ht="28.5">
      <c r="A256" s="71"/>
      <c r="B256" s="71"/>
      <c r="C256" s="71" t="s">
        <v>457</v>
      </c>
      <c r="D256" s="56" t="s">
        <v>415</v>
      </c>
      <c r="E256" s="57">
        <f>Source!CA151</f>
        <v>0</v>
      </c>
      <c r="F256" s="57"/>
      <c r="G256" s="57">
        <f>Source!AU151</f>
        <v>0</v>
      </c>
      <c r="H256" s="58"/>
      <c r="I256" s="59"/>
      <c r="J256" s="58">
        <f>SUM(AI245:AI257)</f>
        <v>0</v>
      </c>
      <c r="K256" s="59"/>
      <c r="L256" s="58">
        <f>SUM(AJ245:AJ257)</f>
        <v>0</v>
      </c>
    </row>
    <row r="257" spans="3:61" ht="15">
      <c r="C257" s="136" t="s">
        <v>417</v>
      </c>
      <c r="D257" s="136"/>
      <c r="E257" s="136"/>
      <c r="F257" s="136"/>
      <c r="G257" s="136"/>
      <c r="H257" s="136"/>
      <c r="I257" s="136">
        <f>J245</f>
        <v>473.4</v>
      </c>
      <c r="J257" s="136"/>
      <c r="O257" s="45">
        <f>I257</f>
        <v>473.4</v>
      </c>
      <c r="P257">
        <f>K257</f>
        <v>0</v>
      </c>
      <c r="R257" s="45">
        <f>J247</f>
        <v>0</v>
      </c>
      <c r="V257" s="45">
        <f>J247</f>
        <v>0</v>
      </c>
      <c r="W257" s="45">
        <f>L247</f>
        <v>0</v>
      </c>
      <c r="Y257" s="45">
        <f>J249</f>
        <v>0</v>
      </c>
      <c r="AA257" s="45">
        <f>L249</f>
        <v>0</v>
      </c>
      <c r="AC257" s="45">
        <f>J248</f>
        <v>0</v>
      </c>
      <c r="AE257" s="45">
        <f>L248</f>
        <v>0</v>
      </c>
      <c r="AF257" s="45">
        <f>J250</f>
        <v>0</v>
      </c>
      <c r="AO257">
        <f>IF(Source!BI151&lt;=1,J250,0)</f>
        <v>0</v>
      </c>
      <c r="AR257">
        <f>IF(Source!BI151&lt;=1,J245,0)</f>
        <v>473.4</v>
      </c>
      <c r="AY257">
        <f>IF(Source!BI151=2,J250,0)</f>
        <v>0</v>
      </c>
      <c r="BB257">
        <f>IF(Source!BI151=2,J245,0)</f>
        <v>0</v>
      </c>
      <c r="BI257">
        <f>IF(Source!BI151=3,J245,0)</f>
        <v>0</v>
      </c>
    </row>
    <row r="259" spans="1:95" ht="15">
      <c r="A259" s="61"/>
      <c r="B259" s="62"/>
      <c r="C259" s="126" t="s">
        <v>421</v>
      </c>
      <c r="D259" s="126"/>
      <c r="E259" s="126"/>
      <c r="F259" s="126"/>
      <c r="G259" s="126"/>
      <c r="H259" s="126"/>
      <c r="I259" s="63"/>
      <c r="J259" s="64">
        <f>J261+J262+J263+J264</f>
        <v>1625.63</v>
      </c>
      <c r="K259" s="64"/>
      <c r="L259" s="64"/>
      <c r="CQ259" s="73" t="s">
        <v>421</v>
      </c>
    </row>
    <row r="260" spans="1:12" ht="14.25">
      <c r="A260" s="65"/>
      <c r="B260" s="66"/>
      <c r="C260" s="125" t="s">
        <v>422</v>
      </c>
      <c r="D260" s="124"/>
      <c r="E260" s="124"/>
      <c r="F260" s="124"/>
      <c r="G260" s="124"/>
      <c r="H260" s="124"/>
      <c r="I260" s="67"/>
      <c r="J260" s="68"/>
      <c r="K260" s="68"/>
      <c r="L260" s="68"/>
    </row>
    <row r="261" spans="1:12" ht="14.25">
      <c r="A261" s="65"/>
      <c r="B261" s="66"/>
      <c r="C261" s="124" t="s">
        <v>423</v>
      </c>
      <c r="D261" s="124"/>
      <c r="E261" s="124"/>
      <c r="F261" s="124"/>
      <c r="G261" s="124"/>
      <c r="H261" s="124"/>
      <c r="I261" s="67"/>
      <c r="J261" s="68">
        <f>SUM(Q218:Q257)</f>
        <v>91.07</v>
      </c>
      <c r="K261" s="68"/>
      <c r="L261" s="68"/>
    </row>
    <row r="262" spans="1:12" ht="13.5" customHeight="1" hidden="1">
      <c r="A262" s="65"/>
      <c r="B262" s="66"/>
      <c r="C262" s="124" t="s">
        <v>424</v>
      </c>
      <c r="D262" s="124"/>
      <c r="E262" s="124"/>
      <c r="F262" s="124"/>
      <c r="G262" s="124"/>
      <c r="H262" s="124"/>
      <c r="I262" s="67"/>
      <c r="J262" s="68">
        <f>SUM(AB218:AB257)</f>
        <v>0</v>
      </c>
      <c r="K262" s="68"/>
      <c r="L262" s="68"/>
    </row>
    <row r="263" spans="1:12" ht="14.25">
      <c r="A263" s="65"/>
      <c r="B263" s="66"/>
      <c r="C263" s="124" t="s">
        <v>425</v>
      </c>
      <c r="D263" s="124"/>
      <c r="E263" s="124"/>
      <c r="F263" s="124"/>
      <c r="G263" s="124"/>
      <c r="H263" s="124"/>
      <c r="I263" s="67"/>
      <c r="J263" s="68">
        <f>Source!F156-J268</f>
        <v>201.56</v>
      </c>
      <c r="K263" s="68"/>
      <c r="L263" s="68"/>
    </row>
    <row r="264" spans="1:12" ht="14.25">
      <c r="A264" s="65"/>
      <c r="B264" s="66"/>
      <c r="C264" s="124" t="s">
        <v>426</v>
      </c>
      <c r="D264" s="124"/>
      <c r="E264" s="124"/>
      <c r="F264" s="124"/>
      <c r="G264" s="124"/>
      <c r="H264" s="124"/>
      <c r="I264" s="67"/>
      <c r="J264" s="68">
        <f>Source!F178</f>
        <v>1333</v>
      </c>
      <c r="K264" s="68"/>
      <c r="L264" s="68"/>
    </row>
    <row r="265" spans="1:12" ht="14.25">
      <c r="A265" s="65"/>
      <c r="B265" s="66"/>
      <c r="C265" s="124" t="s">
        <v>427</v>
      </c>
      <c r="D265" s="124"/>
      <c r="E265" s="124"/>
      <c r="F265" s="124"/>
      <c r="G265" s="124"/>
      <c r="H265" s="124"/>
      <c r="I265" s="67"/>
      <c r="J265" s="68">
        <f>SUM(Q218:Q257)+SUM(X218:X257)</f>
        <v>91.07</v>
      </c>
      <c r="K265" s="68"/>
      <c r="L265" s="68"/>
    </row>
    <row r="266" spans="1:12" ht="14.25">
      <c r="A266" s="65"/>
      <c r="B266" s="66"/>
      <c r="C266" s="124" t="s">
        <v>428</v>
      </c>
      <c r="D266" s="124"/>
      <c r="E266" s="124"/>
      <c r="F266" s="124"/>
      <c r="G266" s="124"/>
      <c r="H266" s="124"/>
      <c r="I266" s="67"/>
      <c r="J266" s="68">
        <f>Source!F179</f>
        <v>83.78</v>
      </c>
      <c r="K266" s="68"/>
      <c r="L266" s="68"/>
    </row>
    <row r="267" spans="1:12" ht="14.25">
      <c r="A267" s="65"/>
      <c r="B267" s="66"/>
      <c r="C267" s="124" t="s">
        <v>429</v>
      </c>
      <c r="D267" s="124"/>
      <c r="E267" s="124"/>
      <c r="F267" s="124"/>
      <c r="G267" s="124"/>
      <c r="H267" s="124"/>
      <c r="I267" s="67"/>
      <c r="J267" s="68">
        <f>Source!F180</f>
        <v>40.07</v>
      </c>
      <c r="K267" s="68"/>
      <c r="L267" s="68"/>
    </row>
    <row r="268" spans="1:12" ht="13.5" customHeight="1" hidden="1">
      <c r="A268" s="65"/>
      <c r="B268" s="66"/>
      <c r="C268" s="124" t="s">
        <v>430</v>
      </c>
      <c r="D268" s="124"/>
      <c r="E268" s="124"/>
      <c r="F268" s="124"/>
      <c r="G268" s="124"/>
      <c r="H268" s="124"/>
      <c r="I268" s="67"/>
      <c r="J268" s="68">
        <f>Source!F162</f>
        <v>0</v>
      </c>
      <c r="K268" s="68"/>
      <c r="L268" s="68"/>
    </row>
    <row r="269" spans="1:12" ht="13.5" customHeight="1" hidden="1">
      <c r="A269" s="65"/>
      <c r="B269" s="66"/>
      <c r="C269" s="124" t="s">
        <v>431</v>
      </c>
      <c r="D269" s="124"/>
      <c r="E269" s="124"/>
      <c r="F269" s="124"/>
      <c r="G269" s="124"/>
      <c r="H269" s="124"/>
      <c r="I269" s="67"/>
      <c r="J269" s="68">
        <f>Source!F172</f>
        <v>0</v>
      </c>
      <c r="K269" s="68"/>
      <c r="L269" s="68"/>
    </row>
    <row r="270" spans="1:12" ht="15">
      <c r="A270" s="61"/>
      <c r="B270" s="62"/>
      <c r="C270" s="126" t="s">
        <v>432</v>
      </c>
      <c r="D270" s="126"/>
      <c r="E270" s="126"/>
      <c r="F270" s="126"/>
      <c r="G270" s="126"/>
      <c r="H270" s="126"/>
      <c r="I270" s="63"/>
      <c r="J270" s="64">
        <f>Source!F181</f>
        <v>1749.48</v>
      </c>
      <c r="K270" s="64"/>
      <c r="L270" s="64"/>
    </row>
    <row r="271" spans="1:12" ht="13.5" customHeight="1" hidden="1">
      <c r="A271" s="65"/>
      <c r="B271" s="66"/>
      <c r="C271" s="125" t="s">
        <v>422</v>
      </c>
      <c r="D271" s="124"/>
      <c r="E271" s="124"/>
      <c r="F271" s="124"/>
      <c r="G271" s="124"/>
      <c r="H271" s="124"/>
      <c r="I271" s="67"/>
      <c r="J271" s="68"/>
      <c r="K271" s="68"/>
      <c r="L271" s="68"/>
    </row>
    <row r="272" spans="1:12" ht="13.5" customHeight="1" hidden="1">
      <c r="A272" s="65"/>
      <c r="B272" s="66"/>
      <c r="C272" s="124" t="s">
        <v>433</v>
      </c>
      <c r="D272" s="124"/>
      <c r="E272" s="124"/>
      <c r="F272" s="124"/>
      <c r="G272" s="124"/>
      <c r="H272" s="124"/>
      <c r="I272" s="67"/>
      <c r="J272" s="68"/>
      <c r="K272" s="68"/>
      <c r="L272" s="68">
        <f>SUM(BS218:BS257)</f>
        <v>0</v>
      </c>
    </row>
    <row r="273" spans="1:12" ht="13.5" customHeight="1" hidden="1">
      <c r="A273" s="65"/>
      <c r="B273" s="66"/>
      <c r="C273" s="124" t="s">
        <v>434</v>
      </c>
      <c r="D273" s="124"/>
      <c r="E273" s="124"/>
      <c r="F273" s="124"/>
      <c r="G273" s="124"/>
      <c r="H273" s="124"/>
      <c r="I273" s="67"/>
      <c r="J273" s="68"/>
      <c r="K273" s="68"/>
      <c r="L273" s="68">
        <f>SUM(BT218:BT257)</f>
        <v>0</v>
      </c>
    </row>
    <row r="275" spans="1:12" ht="15">
      <c r="A275" s="61"/>
      <c r="B275" s="62"/>
      <c r="C275" s="126" t="s">
        <v>458</v>
      </c>
      <c r="D275" s="126"/>
      <c r="E275" s="126"/>
      <c r="F275" s="126"/>
      <c r="G275" s="126"/>
      <c r="H275" s="126"/>
      <c r="I275" s="63"/>
      <c r="J275" s="64"/>
      <c r="K275" s="64"/>
      <c r="L275" s="64"/>
    </row>
    <row r="276" spans="1:12" ht="15">
      <c r="A276" s="61"/>
      <c r="B276" s="62"/>
      <c r="C276" s="126" t="s">
        <v>459</v>
      </c>
      <c r="D276" s="126"/>
      <c r="E276" s="126"/>
      <c r="F276" s="126"/>
      <c r="G276" s="126"/>
      <c r="H276" s="126"/>
      <c r="I276" s="63"/>
      <c r="J276" s="64">
        <f>J278+J279+J280+J281</f>
        <v>95700.92000000001</v>
      </c>
      <c r="K276" s="64"/>
      <c r="L276" s="64">
        <f>L278+L279+L280+L281</f>
        <v>856597.6000000001</v>
      </c>
    </row>
    <row r="277" spans="1:12" ht="14.25">
      <c r="A277" s="65"/>
      <c r="B277" s="66"/>
      <c r="C277" s="125" t="s">
        <v>422</v>
      </c>
      <c r="D277" s="124"/>
      <c r="E277" s="124"/>
      <c r="F277" s="124"/>
      <c r="G277" s="124"/>
      <c r="H277" s="124"/>
      <c r="I277" s="67"/>
      <c r="J277" s="68"/>
      <c r="K277" s="68"/>
      <c r="L277" s="68"/>
    </row>
    <row r="278" spans="1:12" ht="14.25">
      <c r="A278" s="65"/>
      <c r="B278" s="66"/>
      <c r="C278" s="124" t="s">
        <v>423</v>
      </c>
      <c r="D278" s="124"/>
      <c r="E278" s="124"/>
      <c r="F278" s="124"/>
      <c r="G278" s="124"/>
      <c r="H278" s="124"/>
      <c r="I278" s="67"/>
      <c r="J278" s="68">
        <f>SUM(Q42:Q273)</f>
        <v>6174.839999999999</v>
      </c>
      <c r="K278" s="68"/>
      <c r="L278" s="68">
        <f>SUM(U42:U273)</f>
        <v>225196.43</v>
      </c>
    </row>
    <row r="279" spans="1:12" ht="14.25">
      <c r="A279" s="65"/>
      <c r="B279" s="66">
        <f>Source!V277</f>
      </c>
      <c r="C279" s="124" t="s">
        <v>424</v>
      </c>
      <c r="D279" s="124"/>
      <c r="E279" s="124"/>
      <c r="F279" s="124"/>
      <c r="G279" s="124"/>
      <c r="H279" s="124"/>
      <c r="I279" s="67"/>
      <c r="J279" s="68">
        <f>SUM(AB42:AB273)</f>
        <v>2054.5299999999997</v>
      </c>
      <c r="K279" s="68">
        <f>Source!E277</f>
        <v>12.97</v>
      </c>
      <c r="L279" s="68">
        <f>ROUND(J279*K279,2)</f>
        <v>26647.25</v>
      </c>
    </row>
    <row r="280" spans="1:12" ht="14.25">
      <c r="A280" s="65"/>
      <c r="B280" s="66">
        <f>Source!U277</f>
      </c>
      <c r="C280" s="124" t="s">
        <v>425</v>
      </c>
      <c r="D280" s="124"/>
      <c r="E280" s="124"/>
      <c r="F280" s="124"/>
      <c r="G280" s="124"/>
      <c r="H280" s="124"/>
      <c r="I280" s="67"/>
      <c r="J280" s="68">
        <f>SUM(AF42:AF273)-J285</f>
        <v>86138.55000000002</v>
      </c>
      <c r="K280" s="68">
        <f>Source!D277</f>
        <v>6.82</v>
      </c>
      <c r="L280" s="68">
        <f>ROUND(J280*K280,2)</f>
        <v>587464.91</v>
      </c>
    </row>
    <row r="281" spans="1:12" ht="14.25">
      <c r="A281" s="65"/>
      <c r="B281" s="66">
        <f>Source!AB277</f>
      </c>
      <c r="C281" s="124" t="s">
        <v>426</v>
      </c>
      <c r="D281" s="124"/>
      <c r="E281" s="124"/>
      <c r="F281" s="124"/>
      <c r="G281" s="124"/>
      <c r="H281" s="124"/>
      <c r="I281" s="67"/>
      <c r="J281" s="68">
        <f>SUM(AR42:AR273)+SUM(BB42:BB273)+SUM(BI42:BI273)+SUM(BP42:BP273)</f>
        <v>1333</v>
      </c>
      <c r="K281" s="68">
        <f>Source!L277</f>
        <v>12.97</v>
      </c>
      <c r="L281" s="68">
        <f>ROUND(J281*K281,2)</f>
        <v>17289.01</v>
      </c>
    </row>
    <row r="282" spans="1:12" ht="14.25">
      <c r="A282" s="65"/>
      <c r="B282" s="66"/>
      <c r="C282" s="124" t="s">
        <v>460</v>
      </c>
      <c r="D282" s="124"/>
      <c r="E282" s="124"/>
      <c r="F282" s="124"/>
      <c r="G282" s="124"/>
      <c r="H282" s="124"/>
      <c r="I282" s="67"/>
      <c r="J282" s="68">
        <f>SUM(Q42:Q273)+SUM(X42:X273)</f>
        <v>6408.44</v>
      </c>
      <c r="K282" s="68"/>
      <c r="L282" s="68">
        <f>SUM(U42:U273)+SUM(Z42:Z273)</f>
        <v>233715.82</v>
      </c>
    </row>
    <row r="283" spans="1:12" ht="14.25">
      <c r="A283" s="65"/>
      <c r="B283" s="66"/>
      <c r="C283" s="124" t="s">
        <v>461</v>
      </c>
      <c r="D283" s="124"/>
      <c r="E283" s="124"/>
      <c r="F283" s="124"/>
      <c r="G283" s="124"/>
      <c r="H283" s="124"/>
      <c r="I283" s="67"/>
      <c r="J283" s="68">
        <f>SUM(AG42:AG273)</f>
        <v>6305.179999999999</v>
      </c>
      <c r="K283" s="68"/>
      <c r="L283" s="68">
        <f>SUM(AH42:AH273)</f>
        <v>229950.14999999997</v>
      </c>
    </row>
    <row r="284" spans="1:12" ht="14.25">
      <c r="A284" s="65"/>
      <c r="B284" s="66"/>
      <c r="C284" s="124" t="s">
        <v>462</v>
      </c>
      <c r="D284" s="124"/>
      <c r="E284" s="124"/>
      <c r="F284" s="124"/>
      <c r="G284" s="124"/>
      <c r="H284" s="124"/>
      <c r="I284" s="67"/>
      <c r="J284" s="68">
        <f>SUM(AI42:AI273)</f>
        <v>3283.4900000000002</v>
      </c>
      <c r="K284" s="68"/>
      <c r="L284" s="68">
        <f>SUM(AJ42:AJ273)</f>
        <v>119748.63000000002</v>
      </c>
    </row>
    <row r="285" spans="1:12" ht="13.5" customHeight="1" hidden="1">
      <c r="A285" s="65"/>
      <c r="B285" s="66">
        <f>Source!Y277</f>
      </c>
      <c r="C285" s="124" t="s">
        <v>463</v>
      </c>
      <c r="D285" s="124"/>
      <c r="E285" s="124"/>
      <c r="F285" s="124"/>
      <c r="G285" s="124"/>
      <c r="H285" s="124"/>
      <c r="I285" s="67"/>
      <c r="J285" s="68">
        <f>SUM(BH42:BH273)</f>
        <v>0</v>
      </c>
      <c r="K285" s="68">
        <f>Source!H277</f>
        <v>1</v>
      </c>
      <c r="L285" s="68">
        <f>ROUND(J285*K285,2)</f>
        <v>0</v>
      </c>
    </row>
    <row r="286" spans="1:12" ht="13.5" customHeight="1" hidden="1">
      <c r="A286" s="65"/>
      <c r="B286" s="66"/>
      <c r="C286" s="124" t="s">
        <v>464</v>
      </c>
      <c r="D286" s="124"/>
      <c r="E286" s="124"/>
      <c r="F286" s="124"/>
      <c r="G286" s="124"/>
      <c r="H286" s="124"/>
      <c r="I286" s="67"/>
      <c r="J286" s="68">
        <f>J289+J288</f>
        <v>0</v>
      </c>
      <c r="K286" s="68"/>
      <c r="L286" s="68">
        <f>ROUND(L289+L288,2)</f>
        <v>0</v>
      </c>
    </row>
    <row r="287" spans="1:12" ht="13.5" customHeight="1" hidden="1">
      <c r="A287" s="65"/>
      <c r="B287" s="66"/>
      <c r="C287" s="125" t="s">
        <v>422</v>
      </c>
      <c r="D287" s="124"/>
      <c r="E287" s="124"/>
      <c r="F287" s="124"/>
      <c r="G287" s="124"/>
      <c r="H287" s="124"/>
      <c r="I287" s="67"/>
      <c r="J287" s="68"/>
      <c r="K287" s="68"/>
      <c r="L287" s="68"/>
    </row>
    <row r="288" spans="1:12" ht="13.5" customHeight="1" hidden="1">
      <c r="A288" s="65"/>
      <c r="B288" s="66">
        <f>Source!AA277</f>
      </c>
      <c r="C288" s="124" t="s">
        <v>465</v>
      </c>
      <c r="D288" s="124"/>
      <c r="E288" s="124"/>
      <c r="F288" s="124"/>
      <c r="G288" s="124"/>
      <c r="H288" s="124"/>
      <c r="I288" s="67"/>
      <c r="J288" s="68">
        <f>SUM(BN42:BN273)</f>
        <v>0</v>
      </c>
      <c r="K288" s="68">
        <f>Source!K277</f>
        <v>1</v>
      </c>
      <c r="L288" s="68">
        <f>SUM(BU42:BU273)</f>
        <v>0</v>
      </c>
    </row>
    <row r="289" spans="1:12" ht="13.5" customHeight="1" hidden="1">
      <c r="A289" s="65"/>
      <c r="B289" s="66">
        <f>Source!Z277</f>
      </c>
      <c r="C289" s="124" t="s">
        <v>466</v>
      </c>
      <c r="D289" s="124"/>
      <c r="E289" s="124"/>
      <c r="F289" s="124"/>
      <c r="G289" s="124"/>
      <c r="H289" s="124"/>
      <c r="I289" s="67"/>
      <c r="J289" s="68">
        <f>SUM(BM42:BM273)</f>
        <v>0</v>
      </c>
      <c r="K289" s="68">
        <f>Source!I277</f>
        <v>1</v>
      </c>
      <c r="L289" s="68">
        <f>ROUND(J289*K289,2)</f>
        <v>0</v>
      </c>
    </row>
    <row r="290" spans="1:12" ht="15">
      <c r="A290" s="61"/>
      <c r="B290" s="62"/>
      <c r="C290" s="126" t="s">
        <v>458</v>
      </c>
      <c r="D290" s="126"/>
      <c r="E290" s="126"/>
      <c r="F290" s="126"/>
      <c r="G290" s="126"/>
      <c r="H290" s="126"/>
      <c r="I290" s="63"/>
      <c r="J290" s="64">
        <f>J276+J283+J284+J285</f>
        <v>105289.59000000001</v>
      </c>
      <c r="K290" s="64"/>
      <c r="L290" s="64">
        <f>L276+L283+L284+L285</f>
        <v>1206296.3800000001</v>
      </c>
    </row>
    <row r="291" spans="1:12" ht="13.5" customHeight="1" hidden="1">
      <c r="A291" s="65"/>
      <c r="B291" s="66"/>
      <c r="C291" s="125" t="s">
        <v>422</v>
      </c>
      <c r="D291" s="124"/>
      <c r="E291" s="124"/>
      <c r="F291" s="124"/>
      <c r="G291" s="124"/>
      <c r="H291" s="124"/>
      <c r="I291" s="67"/>
      <c r="J291" s="68"/>
      <c r="K291" s="68"/>
      <c r="L291" s="68"/>
    </row>
    <row r="292" spans="1:12" ht="13.5" customHeight="1" hidden="1">
      <c r="A292" s="65"/>
      <c r="B292" s="66"/>
      <c r="C292" s="124" t="s">
        <v>433</v>
      </c>
      <c r="D292" s="124"/>
      <c r="E292" s="124"/>
      <c r="F292" s="124"/>
      <c r="G292" s="124"/>
      <c r="H292" s="124"/>
      <c r="I292" s="67"/>
      <c r="J292" s="68"/>
      <c r="K292" s="68"/>
      <c r="L292" s="68">
        <f>SUM(BS42:BS273)</f>
        <v>0</v>
      </c>
    </row>
    <row r="293" spans="1:12" ht="13.5" customHeight="1" hidden="1">
      <c r="A293" s="65"/>
      <c r="B293" s="66"/>
      <c r="C293" s="124" t="s">
        <v>434</v>
      </c>
      <c r="D293" s="124"/>
      <c r="E293" s="124"/>
      <c r="F293" s="124"/>
      <c r="G293" s="124"/>
      <c r="H293" s="124"/>
      <c r="I293" s="67"/>
      <c r="J293" s="68"/>
      <c r="K293" s="68"/>
      <c r="L293" s="68">
        <f>SUM(BT42:BT273)</f>
        <v>0</v>
      </c>
    </row>
    <row r="294" spans="3:12" ht="14.25">
      <c r="C294" s="121" t="str">
        <f>Source!H212</f>
        <v>НДС 20%</v>
      </c>
      <c r="D294" s="121"/>
      <c r="E294" s="121"/>
      <c r="F294" s="121"/>
      <c r="G294" s="121"/>
      <c r="H294" s="121"/>
      <c r="I294" s="121"/>
      <c r="J294" s="53">
        <f>IF(Source!Z212=0,"",Source!Z212)</f>
        <v>21057.92</v>
      </c>
      <c r="K294" s="47">
        <f>IF(OR(Source!AA212=0,Source!AA212=1),"",Source!AA212)</f>
      </c>
      <c r="L294" s="53">
        <f>IF(Source!AB212=0,"",Source!AB212)</f>
        <v>241259.28</v>
      </c>
    </row>
    <row r="295" spans="3:12" ht="15.75">
      <c r="C295" s="122" t="str">
        <f>Source!H213</f>
        <v>Итого с НДС</v>
      </c>
      <c r="D295" s="122"/>
      <c r="E295" s="122"/>
      <c r="F295" s="122"/>
      <c r="G295" s="122"/>
      <c r="H295" s="122"/>
      <c r="I295" s="122"/>
      <c r="J295" s="101">
        <f>IF(Source!Z213=0,"",Source!Z213)</f>
        <v>126347.51</v>
      </c>
      <c r="K295" s="102">
        <f>IF(OR(Source!AA213=0,Source!AA213=1),"",Source!AA213)</f>
      </c>
      <c r="L295" s="103">
        <f>IF(Source!AB213=0,"",Source!AB213)</f>
        <v>1447555.66</v>
      </c>
    </row>
    <row r="297" spans="1:11" ht="14.25">
      <c r="A297" s="123" t="s">
        <v>467</v>
      </c>
      <c r="B297" s="123"/>
      <c r="C297" s="44" t="str">
        <f>IF(Source!AC12&lt;&gt;"",Source!AC12," ")</f>
        <v>Ведущий инженер РЕСО</v>
      </c>
      <c r="D297" s="44"/>
      <c r="E297" s="44"/>
      <c r="F297" s="44"/>
      <c r="G297" s="44"/>
      <c r="H297" s="110" t="str">
        <f>IF(Source!AB12&lt;&gt;"",Source!AB12," ")</f>
        <v>Степанова А.М.</v>
      </c>
      <c r="I297" s="110"/>
      <c r="J297" s="110"/>
      <c r="K297" s="110"/>
    </row>
    <row r="298" spans="1:11" ht="14.25">
      <c r="A298" s="14"/>
      <c r="B298" s="14"/>
      <c r="C298" s="138" t="s">
        <v>468</v>
      </c>
      <c r="D298" s="138"/>
      <c r="E298" s="138"/>
      <c r="F298" s="138"/>
      <c r="G298" s="138"/>
      <c r="H298" s="14"/>
      <c r="I298" s="14"/>
      <c r="J298" s="14"/>
      <c r="K298" s="14"/>
    </row>
    <row r="299" spans="1:11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4.25">
      <c r="A300" s="123" t="s">
        <v>469</v>
      </c>
      <c r="B300" s="123"/>
      <c r="C300" s="44" t="str">
        <f>IF(Source!AE12&lt;&gt;"",Source!AE12," ")</f>
        <v>Заведующий РЕСО</v>
      </c>
      <c r="D300" s="44"/>
      <c r="E300" s="44"/>
      <c r="F300" s="44"/>
      <c r="G300" s="44"/>
      <c r="H300" s="110" t="str">
        <f>IF(Source!AD12&lt;&gt;"",Source!AD12," ")</f>
        <v>Покшин В.И.</v>
      </c>
      <c r="I300" s="110"/>
      <c r="J300" s="110"/>
      <c r="K300" s="110"/>
    </row>
    <row r="301" spans="1:11" ht="14.25">
      <c r="A301" s="14"/>
      <c r="B301" s="14"/>
      <c r="C301" s="138" t="s">
        <v>468</v>
      </c>
      <c r="D301" s="138"/>
      <c r="E301" s="138"/>
      <c r="F301" s="138"/>
      <c r="G301" s="138"/>
      <c r="H301" s="14"/>
      <c r="I301" s="14"/>
      <c r="J301" s="14"/>
      <c r="K301" s="14"/>
    </row>
  </sheetData>
  <sheetProtection/>
  <mergeCells count="132">
    <mergeCell ref="C293:H293"/>
    <mergeCell ref="C292:H292"/>
    <mergeCell ref="C291:H291"/>
    <mergeCell ref="C290:H290"/>
    <mergeCell ref="C289:H289"/>
    <mergeCell ref="C272:H272"/>
    <mergeCell ref="C271:H271"/>
    <mergeCell ref="C270:H270"/>
    <mergeCell ref="C269:H269"/>
    <mergeCell ref="C282:H282"/>
    <mergeCell ref="C281:H281"/>
    <mergeCell ref="C280:H280"/>
    <mergeCell ref="C279:H279"/>
    <mergeCell ref="C288:H288"/>
    <mergeCell ref="C287:H287"/>
    <mergeCell ref="C286:H286"/>
    <mergeCell ref="C285:H285"/>
    <mergeCell ref="C284:H284"/>
    <mergeCell ref="C283:H283"/>
    <mergeCell ref="C209:H209"/>
    <mergeCell ref="C278:H278"/>
    <mergeCell ref="C277:H277"/>
    <mergeCell ref="C276:H276"/>
    <mergeCell ref="C275:H275"/>
    <mergeCell ref="C273:H273"/>
    <mergeCell ref="C261:H261"/>
    <mergeCell ref="C260:H260"/>
    <mergeCell ref="C259:H259"/>
    <mergeCell ref="C266:H266"/>
    <mergeCell ref="C265:H265"/>
    <mergeCell ref="C264:H264"/>
    <mergeCell ref="C263:H263"/>
    <mergeCell ref="C262:H262"/>
    <mergeCell ref="C268:H268"/>
    <mergeCell ref="C267:H267"/>
    <mergeCell ref="I71:J71"/>
    <mergeCell ref="C71:H71"/>
    <mergeCell ref="C83:H83"/>
    <mergeCell ref="C82:H82"/>
    <mergeCell ref="C81:H81"/>
    <mergeCell ref="C80:H80"/>
    <mergeCell ref="C79:H79"/>
    <mergeCell ref="C78:H78"/>
    <mergeCell ref="I257:J257"/>
    <mergeCell ref="C257:H257"/>
    <mergeCell ref="I244:J244"/>
    <mergeCell ref="C244:H244"/>
    <mergeCell ref="I165:J165"/>
    <mergeCell ref="C165:H165"/>
    <mergeCell ref="I149:J149"/>
    <mergeCell ref="C149:H149"/>
    <mergeCell ref="I133:J133"/>
    <mergeCell ref="C133:H133"/>
    <mergeCell ref="I231:J231"/>
    <mergeCell ref="C231:H231"/>
    <mergeCell ref="A218:L218"/>
    <mergeCell ref="C216:H216"/>
    <mergeCell ref="C215:H215"/>
    <mergeCell ref="C214:H214"/>
    <mergeCell ref="C298:G298"/>
    <mergeCell ref="A300:B300"/>
    <mergeCell ref="H300:K300"/>
    <mergeCell ref="C301:G301"/>
    <mergeCell ref="C104:H104"/>
    <mergeCell ref="A89:L89"/>
    <mergeCell ref="I200:J200"/>
    <mergeCell ref="C200:H200"/>
    <mergeCell ref="I185:J185"/>
    <mergeCell ref="C185:H185"/>
    <mergeCell ref="C208:H208"/>
    <mergeCell ref="C207:H207"/>
    <mergeCell ref="C206:H206"/>
    <mergeCell ref="C205:H205"/>
    <mergeCell ref="C204:H204"/>
    <mergeCell ref="C203:H203"/>
    <mergeCell ref="C202:H202"/>
    <mergeCell ref="I119:J119"/>
    <mergeCell ref="C119:H119"/>
    <mergeCell ref="I104:J104"/>
    <mergeCell ref="C213:H213"/>
    <mergeCell ref="C212:H212"/>
    <mergeCell ref="C211:H211"/>
    <mergeCell ref="C210:H210"/>
    <mergeCell ref="K37:K40"/>
    <mergeCell ref="L37:L40"/>
    <mergeCell ref="C294:I294"/>
    <mergeCell ref="C295:I295"/>
    <mergeCell ref="A297:B297"/>
    <mergeCell ref="H297:K297"/>
    <mergeCell ref="C87:H87"/>
    <mergeCell ref="C86:H86"/>
    <mergeCell ref="C85:H85"/>
    <mergeCell ref="C84:H84"/>
    <mergeCell ref="A37:A40"/>
    <mergeCell ref="B37:B40"/>
    <mergeCell ref="C37:C40"/>
    <mergeCell ref="D37:D40"/>
    <mergeCell ref="E37:G39"/>
    <mergeCell ref="H37:J39"/>
    <mergeCell ref="I56:J56"/>
    <mergeCell ref="C56:H56"/>
    <mergeCell ref="A42:L42"/>
    <mergeCell ref="C77:H77"/>
    <mergeCell ref="C76:H76"/>
    <mergeCell ref="C75:H75"/>
    <mergeCell ref="C74:H74"/>
    <mergeCell ref="C73:H73"/>
    <mergeCell ref="C25:G25"/>
    <mergeCell ref="D29:E29"/>
    <mergeCell ref="D32:E32"/>
    <mergeCell ref="D33:E33"/>
    <mergeCell ref="D34:E34"/>
    <mergeCell ref="D35:E35"/>
    <mergeCell ref="B16:K16"/>
    <mergeCell ref="B17:K17"/>
    <mergeCell ref="B18:K18"/>
    <mergeCell ref="B19:K19"/>
    <mergeCell ref="B20:K20"/>
    <mergeCell ref="C24:G24"/>
    <mergeCell ref="I1:L1"/>
    <mergeCell ref="B7:E7"/>
    <mergeCell ref="H7:L7"/>
    <mergeCell ref="A10:L10"/>
    <mergeCell ref="A12:K12"/>
    <mergeCell ref="B14:K14"/>
    <mergeCell ref="B15:K15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  <rowBreaks count="1" manualBreakCount="1">
    <brk id="1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0" t="s">
        <v>365</v>
      </c>
    </row>
    <row r="4" spans="4:5" ht="15">
      <c r="D4" s="60"/>
      <c r="E4" s="60"/>
    </row>
    <row r="5" spans="4:5" ht="15">
      <c r="D5" s="140" t="s">
        <v>470</v>
      </c>
      <c r="E5" s="140"/>
    </row>
    <row r="6" spans="4:5" ht="15">
      <c r="D6" s="74"/>
      <c r="E6" s="74"/>
    </row>
    <row r="7" spans="4:5" ht="15">
      <c r="D7" s="140" t="s">
        <v>470</v>
      </c>
      <c r="E7" s="140"/>
    </row>
    <row r="8" spans="4:5" ht="15">
      <c r="D8" s="74"/>
      <c r="E8" s="74"/>
    </row>
    <row r="9" spans="4:5" ht="15">
      <c r="D9" s="60" t="s">
        <v>471</v>
      </c>
      <c r="E9" s="14"/>
    </row>
    <row r="10" spans="4:5" ht="14.25">
      <c r="D10" s="14"/>
      <c r="E10" s="14"/>
    </row>
    <row r="12" spans="2:5" ht="15.75">
      <c r="B12" s="141" t="str">
        <f>CONCATENATE("Ведомость объемов работ ",IF(Source!AN15&lt;&gt;"",Source!AN15," "))</f>
        <v>Ведомость объемов работ  </v>
      </c>
      <c r="C12" s="141"/>
      <c r="D12" s="141"/>
      <c r="E12" s="141"/>
    </row>
    <row r="13" spans="2:5" ht="15">
      <c r="B13" s="142" t="str">
        <f>CONCATENATE(Source!F12," ",Source!G12)</f>
        <v> Выполнение работ по текущему ремонту кровли строения 1 ИПУ РАН</v>
      </c>
      <c r="C13" s="142"/>
      <c r="D13" s="142"/>
      <c r="E13" s="142"/>
    </row>
    <row r="14" ht="12.75" hidden="1"/>
    <row r="16" spans="1:8" ht="99.75">
      <c r="A16" s="76" t="s">
        <v>389</v>
      </c>
      <c r="B16" s="76" t="s">
        <v>472</v>
      </c>
      <c r="C16" s="76" t="s">
        <v>391</v>
      </c>
      <c r="D16" s="76" t="s">
        <v>392</v>
      </c>
      <c r="E16" s="76" t="s">
        <v>393</v>
      </c>
      <c r="F16" s="76" t="s">
        <v>473</v>
      </c>
      <c r="G16" s="76" t="s">
        <v>474</v>
      </c>
      <c r="H16" s="76" t="s">
        <v>475</v>
      </c>
    </row>
    <row r="17" spans="1:8" ht="14.25">
      <c r="A17" s="76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76">
        <v>8</v>
      </c>
    </row>
    <row r="18" spans="1:8" ht="16.5">
      <c r="A18" s="139" t="str">
        <f>CONCATENATE("Локальная смета: ",Source!G20)</f>
        <v>Локальная смета: </v>
      </c>
      <c r="B18" s="139"/>
      <c r="C18" s="139"/>
      <c r="D18" s="139"/>
      <c r="E18" s="139"/>
      <c r="F18" s="139"/>
      <c r="G18" s="139"/>
      <c r="H18" s="139"/>
    </row>
    <row r="19" spans="1:8" ht="16.5">
      <c r="A19" s="139" t="str">
        <f>CONCATENATE("Раздел: ",Source!G24)</f>
        <v>Раздел: Демонтажные работы</v>
      </c>
      <c r="B19" s="139"/>
      <c r="C19" s="139"/>
      <c r="D19" s="139"/>
      <c r="E19" s="139"/>
      <c r="F19" s="139"/>
      <c r="G19" s="139"/>
      <c r="H19" s="139"/>
    </row>
    <row r="20" spans="1:8" ht="14.25">
      <c r="A20" s="76">
        <v>1</v>
      </c>
      <c r="B20" s="76" t="str">
        <f>Source!E28</f>
        <v>1</v>
      </c>
      <c r="C20" s="79" t="str">
        <f>Source!G28</f>
        <v>Разборка покрытий кровель: из рулонных материалов</v>
      </c>
      <c r="D20" s="76" t="s">
        <v>23</v>
      </c>
      <c r="E20" s="80">
        <f>Source!I28</f>
        <v>11.376</v>
      </c>
      <c r="F20" s="76">
        <f>Source!U24</f>
      </c>
      <c r="G20" s="76" t="str">
        <f>"=1137,6/"&amp;"100"</f>
        <v>=1137,6/100</v>
      </c>
      <c r="H20" s="79"/>
    </row>
    <row r="21" spans="1:8" ht="14.25">
      <c r="A21" s="76">
        <v>2</v>
      </c>
      <c r="B21" s="76" t="str">
        <f>Source!E30</f>
        <v>2</v>
      </c>
      <c r="C21" s="79" t="str">
        <f>Source!G30</f>
        <v>Демонтаж стяжек: цементных толщиной 20 мм (Применительно)</v>
      </c>
      <c r="D21" s="76" t="s">
        <v>23</v>
      </c>
      <c r="E21" s="80">
        <f>Source!I30</f>
        <v>3.4128</v>
      </c>
      <c r="F21" s="76">
        <f>Source!U24</f>
      </c>
      <c r="G21" s="76" t="str">
        <f>"=341,28/"&amp;"100"</f>
        <v>=341,28/100</v>
      </c>
      <c r="H21" s="79"/>
    </row>
    <row r="22" spans="1:8" ht="16.5">
      <c r="A22" s="139" t="str">
        <f>CONCATENATE("Раздел: ",Source!G67)</f>
        <v>Раздел: Монтажные работы</v>
      </c>
      <c r="B22" s="139"/>
      <c r="C22" s="139"/>
      <c r="D22" s="139"/>
      <c r="E22" s="139"/>
      <c r="F22" s="139"/>
      <c r="G22" s="139"/>
      <c r="H22" s="139"/>
    </row>
    <row r="23" spans="1:8" ht="14.25">
      <c r="A23" s="76">
        <v>3</v>
      </c>
      <c r="B23" s="76" t="str">
        <f>Source!E71</f>
        <v>3</v>
      </c>
      <c r="C23" s="79" t="str">
        <f>Source!G71</f>
        <v>Устройство выравнивающих стяжек: цементно-песчаных толщиной 15 мм</v>
      </c>
      <c r="D23" s="76" t="s">
        <v>23</v>
      </c>
      <c r="E23" s="80">
        <f>Source!I71</f>
        <v>3.4128</v>
      </c>
      <c r="F23" s="76">
        <f>Source!U67</f>
      </c>
      <c r="G23" s="76" t="str">
        <f>"=341,28/"&amp;"100"</f>
        <v>=341,28/100</v>
      </c>
      <c r="H23" s="79"/>
    </row>
    <row r="24" spans="1:8" ht="14.25">
      <c r="A24" s="76">
        <v>3.1</v>
      </c>
      <c r="B24" s="76" t="str">
        <f>Source!E73</f>
        <v>3,1</v>
      </c>
      <c r="C24" s="79" t="str">
        <f>Source!G73</f>
        <v>Смеси сухие цементные (пескобетон), класс B22,5 (M300)</v>
      </c>
      <c r="D24" s="76" t="s">
        <v>123</v>
      </c>
      <c r="E24" s="80">
        <f>Source!I73</f>
        <v>9.241743</v>
      </c>
      <c r="F24" s="76">
        <f>Source!U67</f>
      </c>
      <c r="G24" s="76"/>
      <c r="H24" s="79"/>
    </row>
    <row r="25" spans="1:8" ht="28.5">
      <c r="A25" s="76">
        <v>4</v>
      </c>
      <c r="B25" s="76" t="str">
        <f>Source!E75</f>
        <v>4</v>
      </c>
      <c r="C25" s="79" t="str">
        <f>Source!G75</f>
        <v>Устройство выравнивающих стяжек: на каждый 1 мм изменения толщины добавлять или исключать к расценке 12-01-017-01 (К=5, до 20 мм)</v>
      </c>
      <c r="D25" s="76" t="s">
        <v>23</v>
      </c>
      <c r="E25" s="80">
        <f>Source!I75</f>
        <v>3.4128</v>
      </c>
      <c r="F25" s="76">
        <f>Source!U67</f>
      </c>
      <c r="G25" s="76" t="str">
        <f>"=341,28/"&amp;"100"</f>
        <v>=341,28/100</v>
      </c>
      <c r="H25" s="79"/>
    </row>
    <row r="26" spans="1:8" ht="14.25">
      <c r="A26" s="76">
        <v>4.1</v>
      </c>
      <c r="B26" s="76" t="str">
        <f>Source!E77</f>
        <v>4,1</v>
      </c>
      <c r="C26" s="79" t="str">
        <f>Source!G77</f>
        <v>Смеси сухие цементные (пескобетон), класс B22,5 (M300)</v>
      </c>
      <c r="D26" s="76" t="s">
        <v>123</v>
      </c>
      <c r="E26" s="80">
        <f>Source!I77</f>
        <v>3.082929</v>
      </c>
      <c r="F26" s="76">
        <f>Source!U67</f>
      </c>
      <c r="G26" s="76"/>
      <c r="H26" s="79"/>
    </row>
    <row r="27" spans="1:8" ht="28.5">
      <c r="A27" s="76">
        <v>5</v>
      </c>
      <c r="B27" s="76" t="str">
        <f>Source!E79</f>
        <v>5</v>
      </c>
      <c r="C27" s="79" t="str">
        <f>Source!G79</f>
        <v>Огрунтовка оснований из бетона или раствора под водоизоляционный кровельный ковер: готовой эмульсией битумной</v>
      </c>
      <c r="D27" s="76" t="s">
        <v>23</v>
      </c>
      <c r="E27" s="80">
        <f>Source!I79</f>
        <v>11.376</v>
      </c>
      <c r="F27" s="76">
        <f>Source!U67</f>
      </c>
      <c r="G27" s="76" t="str">
        <f>"=1137,6/"&amp;"100"</f>
        <v>=1137,6/100</v>
      </c>
      <c r="H27" s="79"/>
    </row>
    <row r="28" spans="1:8" ht="14.25">
      <c r="A28" s="76">
        <v>6</v>
      </c>
      <c r="B28" s="76" t="str">
        <f>Source!E81</f>
        <v>6</v>
      </c>
      <c r="C28" s="79" t="str">
        <f>Source!G81</f>
        <v>Устройство кровель плоских из наплавляемых материалов в два слоя</v>
      </c>
      <c r="D28" s="76" t="s">
        <v>23</v>
      </c>
      <c r="E28" s="80">
        <f>Source!I81</f>
        <v>11.376</v>
      </c>
      <c r="F28" s="76">
        <f>Source!U67</f>
      </c>
      <c r="G28" s="76" t="str">
        <f>"=1137,6/"&amp;"100"</f>
        <v>=1137,6/100</v>
      </c>
      <c r="H28" s="79"/>
    </row>
    <row r="29" spans="1:8" ht="14.25">
      <c r="A29" s="76">
        <v>6.1</v>
      </c>
      <c r="B29" s="76" t="str">
        <f>Source!E83</f>
        <v>6,1</v>
      </c>
      <c r="C29" s="79" t="str">
        <f>Source!G83</f>
        <v>Линокром: ТКП</v>
      </c>
      <c r="D29" s="76" t="s">
        <v>144</v>
      </c>
      <c r="E29" s="80">
        <f>Source!I83</f>
        <v>1296.864</v>
      </c>
      <c r="F29" s="76">
        <f>Source!U67</f>
      </c>
      <c r="G29" s="76"/>
      <c r="H29" s="79"/>
    </row>
    <row r="30" spans="1:8" ht="14.25">
      <c r="A30" s="76">
        <v>6.2</v>
      </c>
      <c r="B30" s="76" t="str">
        <f>Source!E85</f>
        <v>6,2</v>
      </c>
      <c r="C30" s="79" t="str">
        <f>Source!G85</f>
        <v>Линокром: ТПП</v>
      </c>
      <c r="D30" s="76" t="s">
        <v>144</v>
      </c>
      <c r="E30" s="80">
        <f>Source!I85</f>
        <v>1319.616</v>
      </c>
      <c r="F30" s="76">
        <f>Source!U67</f>
      </c>
      <c r="G30" s="76"/>
      <c r="H30" s="79"/>
    </row>
    <row r="31" spans="1:8" ht="28.5">
      <c r="A31" s="76">
        <v>7</v>
      </c>
      <c r="B31" s="76" t="str">
        <f>Source!E87</f>
        <v>7</v>
      </c>
      <c r="C31" s="79" t="str">
        <f>Source!G87</f>
        <v>Устройство кровель плоских из наплавляемых материалов в два слоя (услиление мест установки водоприемных воронок) (Применительно</v>
      </c>
      <c r="D31" s="76" t="s">
        <v>23</v>
      </c>
      <c r="E31" s="80">
        <f>Source!I87</f>
        <v>0.01</v>
      </c>
      <c r="F31" s="76">
        <f>Source!U67</f>
      </c>
      <c r="G31" s="76" t="str">
        <f>"=1/"&amp;"100"</f>
        <v>=1/100</v>
      </c>
      <c r="H31" s="79"/>
    </row>
    <row r="32" spans="1:8" ht="14.25">
      <c r="A32" s="76">
        <v>7.1</v>
      </c>
      <c r="B32" s="76" t="str">
        <f>Source!E89</f>
        <v>7,1</v>
      </c>
      <c r="C32" s="79" t="str">
        <f>Source!G89</f>
        <v>Линокром: ТКП</v>
      </c>
      <c r="D32" s="76" t="s">
        <v>144</v>
      </c>
      <c r="E32" s="80">
        <f>Source!I89</f>
        <v>1.14</v>
      </c>
      <c r="F32" s="76">
        <f>Source!U67</f>
      </c>
      <c r="G32" s="76"/>
      <c r="H32" s="79"/>
    </row>
    <row r="33" spans="1:8" ht="14.25">
      <c r="A33" s="76">
        <v>7.2</v>
      </c>
      <c r="B33" s="76" t="str">
        <f>Source!E91</f>
        <v>7,2</v>
      </c>
      <c r="C33" s="79" t="str">
        <f>Source!G91</f>
        <v>Линокром: ТПП</v>
      </c>
      <c r="D33" s="76" t="s">
        <v>144</v>
      </c>
      <c r="E33" s="80">
        <f>Source!I91</f>
        <v>1.16</v>
      </c>
      <c r="F33" s="76">
        <f>Source!U67</f>
      </c>
      <c r="G33" s="76"/>
      <c r="H33" s="79"/>
    </row>
    <row r="34" spans="1:8" ht="28.5">
      <c r="A34" s="76">
        <v>8</v>
      </c>
      <c r="B34" s="76" t="str">
        <f>Source!E93</f>
        <v>8</v>
      </c>
      <c r="C34" s="79" t="str">
        <f>Source!G93</f>
        <v>Устройство примыканий кровель из наплавляемых материалов к стенам и парапетам высотой: более 600 мм без фартука (Применительно)</v>
      </c>
      <c r="D34" s="76" t="s">
        <v>157</v>
      </c>
      <c r="E34" s="80">
        <f>Source!I93</f>
        <v>1.704</v>
      </c>
      <c r="F34" s="76">
        <f>Source!U67</f>
      </c>
      <c r="G34" s="76" t="str">
        <f>"=170,4/"&amp;"100"</f>
        <v>=170,4/100</v>
      </c>
      <c r="H34" s="79"/>
    </row>
    <row r="35" spans="1:8" ht="14.25">
      <c r="A35" s="76">
        <v>8.1</v>
      </c>
      <c r="B35" s="76" t="str">
        <f>Source!E95</f>
        <v>8,1</v>
      </c>
      <c r="C35" s="79" t="str">
        <f>Source!G95</f>
        <v>Линокром: ТПП</v>
      </c>
      <c r="D35" s="76" t="s">
        <v>144</v>
      </c>
      <c r="E35" s="80">
        <f>Source!I95</f>
        <v>197.664</v>
      </c>
      <c r="F35" s="76">
        <f>Source!U67</f>
      </c>
      <c r="G35" s="76"/>
      <c r="H35" s="79"/>
    </row>
    <row r="36" spans="1:8" ht="14.25">
      <c r="A36" s="76">
        <v>8.2</v>
      </c>
      <c r="B36" s="76" t="str">
        <f>Source!E97</f>
        <v>8,2</v>
      </c>
      <c r="C36" s="79" t="str">
        <f>Source!G97</f>
        <v>Сталь листовая оцинкованная, толщина 0,7 мм</v>
      </c>
      <c r="D36" s="76" t="s">
        <v>123</v>
      </c>
      <c r="E36" s="80">
        <f>Source!I97</f>
        <v>-0.3408</v>
      </c>
      <c r="F36" s="76">
        <f>Source!U67</f>
      </c>
      <c r="G36" s="76"/>
      <c r="H36" s="79"/>
    </row>
    <row r="37" spans="1:8" ht="28.5">
      <c r="A37" s="76">
        <v>8.3</v>
      </c>
      <c r="B37" s="76" t="str">
        <f>Source!E99</f>
        <v>8,3</v>
      </c>
      <c r="C37" s="79" t="str">
        <f>Source!G99</f>
        <v>Прокат полосовой, горячекатаный, марка стали Ст3сп, ширина 50-200 мм, толщина 4-5 мм</v>
      </c>
      <c r="D37" s="76" t="s">
        <v>123</v>
      </c>
      <c r="E37" s="80">
        <f>Source!I99</f>
        <v>-0.022152</v>
      </c>
      <c r="F37" s="76">
        <f>Source!U67</f>
      </c>
      <c r="G37" s="76"/>
      <c r="H37" s="79"/>
    </row>
    <row r="38" spans="1:8" ht="14.25">
      <c r="A38" s="76">
        <v>8.4</v>
      </c>
      <c r="B38" s="76" t="str">
        <f>Source!E101</f>
        <v>8,4</v>
      </c>
      <c r="C38" s="79" t="str">
        <f>Source!G101</f>
        <v>Раствор готовый кладочный, цементный, М100</v>
      </c>
      <c r="D38" s="76" t="s">
        <v>47</v>
      </c>
      <c r="E38" s="80">
        <f>Source!I101</f>
        <v>-0.86904</v>
      </c>
      <c r="F38" s="76">
        <f>Source!U67</f>
      </c>
      <c r="G38" s="76"/>
      <c r="H38" s="79"/>
    </row>
    <row r="39" spans="1:8" ht="28.5">
      <c r="A39" s="76">
        <v>8.5</v>
      </c>
      <c r="B39" s="76" t="str">
        <f>Source!E103</f>
        <v>8,5</v>
      </c>
      <c r="C39" s="79" t="str">
        <f>Source!G103</f>
        <v>Дюбели с калиброванной головкой (в обоймах) с цинковым хроматированным покрытием, размер 3x58,5 мм</v>
      </c>
      <c r="D39" s="76" t="s">
        <v>123</v>
      </c>
      <c r="E39" s="80">
        <f>Source!I103</f>
        <v>-0.002709</v>
      </c>
      <c r="F39" s="76">
        <f>Source!U67</f>
      </c>
      <c r="G39" s="76"/>
      <c r="H39" s="79"/>
    </row>
    <row r="40" spans="1:8" ht="14.25">
      <c r="A40" s="76">
        <v>8.6</v>
      </c>
      <c r="B40" s="76" t="str">
        <f>Source!E105</f>
        <v>8,6</v>
      </c>
      <c r="C40" s="79" t="str">
        <f>Source!G105</f>
        <v>Патроны для строительно-монтажного пистолета</v>
      </c>
      <c r="D40" s="76" t="s">
        <v>179</v>
      </c>
      <c r="E40" s="80">
        <f>Source!I105</f>
        <v>-0.318648</v>
      </c>
      <c r="F40" s="76">
        <f>Source!U67</f>
      </c>
      <c r="G40" s="76"/>
      <c r="H40" s="79"/>
    </row>
    <row r="41" spans="1:8" ht="28.5">
      <c r="A41" s="76">
        <v>9</v>
      </c>
      <c r="B41" s="76" t="str">
        <f>Source!E107</f>
        <v>9</v>
      </c>
      <c r="C41" s="79" t="str">
        <f>Source!G107</f>
        <v>Гидроизоляция самоклеящейся лентой: горизонтальных швов (Применительно)</v>
      </c>
      <c r="D41" s="76" t="s">
        <v>157</v>
      </c>
      <c r="E41" s="80">
        <f>Source!I107</f>
        <v>0.5</v>
      </c>
      <c r="F41" s="76">
        <f>Source!U67</f>
      </c>
      <c r="G41" s="76" t="str">
        <f>"=50/"&amp;"100"</f>
        <v>=50/100</v>
      </c>
      <c r="H41" s="79"/>
    </row>
    <row r="42" spans="1:8" ht="28.5">
      <c r="A42" s="76">
        <v>9.1</v>
      </c>
      <c r="B42" s="76" t="str">
        <f>Source!E109</f>
        <v>9,1</v>
      </c>
      <c r="C42" s="79" t="str">
        <f>Source!G109</f>
        <v>Лента герметизирующая самоклеящая Герлен-Д шириной: 100 мм толщиной 3 мм</v>
      </c>
      <c r="D42" s="76" t="s">
        <v>188</v>
      </c>
      <c r="E42" s="80">
        <f>Source!I109</f>
        <v>9.75</v>
      </c>
      <c r="F42" s="76">
        <f>Source!U67</f>
      </c>
      <c r="G42" s="76"/>
      <c r="H42" s="79"/>
    </row>
    <row r="43" spans="1:8" ht="16.5">
      <c r="A43" s="139" t="str">
        <f>CONCATENATE("Раздел: ",Source!G142)</f>
        <v>Раздел: Разные работы</v>
      </c>
      <c r="B43" s="139"/>
      <c r="C43" s="139"/>
      <c r="D43" s="139"/>
      <c r="E43" s="139"/>
      <c r="F43" s="139"/>
      <c r="G43" s="139"/>
      <c r="H43" s="139"/>
    </row>
    <row r="44" spans="1:8" ht="14.25">
      <c r="A44" s="76">
        <v>10</v>
      </c>
      <c r="B44" s="76" t="str">
        <f>Source!E146</f>
        <v>10</v>
      </c>
      <c r="C44" s="79" t="str">
        <f>Source!G146</f>
        <v>Затаривание строительного мусора в мешки</v>
      </c>
      <c r="D44" s="76" t="s">
        <v>123</v>
      </c>
      <c r="E44" s="80">
        <f>Source!I146</f>
        <v>12.29</v>
      </c>
      <c r="F44" s="76">
        <f>Source!U142</f>
      </c>
      <c r="G44" s="76">
        <f>Source!I146</f>
        <v>12.29</v>
      </c>
      <c r="H44" s="79"/>
    </row>
    <row r="45" spans="1:8" ht="28.5">
      <c r="A45" s="76">
        <v>11</v>
      </c>
      <c r="B45" s="76" t="str">
        <f>Source!E148</f>
        <v>11</v>
      </c>
      <c r="C45" s="79" t="str">
        <f>Source!G148</f>
        <v>Погрузочные работы при автомобильных перевозках мусора строительного с погрузкой вручную</v>
      </c>
      <c r="D45" s="76" t="s">
        <v>208</v>
      </c>
      <c r="E45" s="80">
        <f>Source!I148</f>
        <v>20</v>
      </c>
      <c r="F45" s="76">
        <f>Source!U142</f>
      </c>
      <c r="G45" s="76">
        <f>Source!I148</f>
        <v>20</v>
      </c>
      <c r="H45" s="79"/>
    </row>
    <row r="46" spans="1:8" ht="42.75">
      <c r="A46" s="75">
        <v>12</v>
      </c>
      <c r="B46" s="75" t="str">
        <f>Source!E150</f>
        <v>12</v>
      </c>
      <c r="C46" s="77" t="str">
        <f>Source!G150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46" s="75" t="s">
        <v>208</v>
      </c>
      <c r="E46" s="78">
        <f>Source!I150</f>
        <v>20</v>
      </c>
      <c r="F46" s="75">
        <f>Source!U142</f>
      </c>
      <c r="G46" s="75">
        <f>Source!I150</f>
        <v>20</v>
      </c>
      <c r="H46" s="77"/>
    </row>
    <row r="49" spans="2:5" ht="15">
      <c r="B49" s="81" t="s">
        <v>476</v>
      </c>
      <c r="C49" s="14"/>
      <c r="D49" s="82" t="s">
        <v>477</v>
      </c>
      <c r="E49" s="83"/>
    </row>
  </sheetData>
  <sheetProtection/>
  <mergeCells count="8">
    <mergeCell ref="A22:H22"/>
    <mergeCell ref="A43:H43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>
        <v>110</v>
      </c>
      <c r="B1">
        <v>73</v>
      </c>
      <c r="C1">
        <v>1</v>
      </c>
      <c r="D1">
        <v>0</v>
      </c>
      <c r="E1">
        <v>7001</v>
      </c>
      <c r="F1" t="s">
        <v>190</v>
      </c>
      <c r="G1" s="84" t="s">
        <v>3</v>
      </c>
      <c r="H1" s="84" t="s">
        <v>3</v>
      </c>
      <c r="I1">
        <f>Source!BZ110</f>
        <v>110</v>
      </c>
      <c r="J1">
        <f>Source!CA110</f>
        <v>73</v>
      </c>
      <c r="K1">
        <v>183</v>
      </c>
      <c r="L1">
        <v>303.03</v>
      </c>
      <c r="M1">
        <v>0</v>
      </c>
      <c r="N1">
        <v>0</v>
      </c>
      <c r="O1">
        <v>0</v>
      </c>
      <c r="P1">
        <v>303.03</v>
      </c>
      <c r="Q1">
        <v>0</v>
      </c>
      <c r="R1">
        <v>0</v>
      </c>
      <c r="S1">
        <v>0</v>
      </c>
      <c r="T1">
        <v>0</v>
      </c>
    </row>
    <row r="2" spans="1:20" ht="12.75">
      <c r="A2">
        <v>112</v>
      </c>
      <c r="B2">
        <v>65</v>
      </c>
      <c r="C2">
        <v>1</v>
      </c>
      <c r="D2">
        <v>2</v>
      </c>
      <c r="E2">
        <v>11001</v>
      </c>
      <c r="F2" t="s">
        <v>39</v>
      </c>
      <c r="G2" s="84" t="s">
        <v>3</v>
      </c>
      <c r="H2" s="84" t="s">
        <v>3</v>
      </c>
      <c r="I2">
        <f>Source!BZ31</f>
        <v>112</v>
      </c>
      <c r="J2">
        <f>Source!CA31</f>
        <v>65</v>
      </c>
      <c r="K2">
        <v>177</v>
      </c>
      <c r="L2">
        <v>890.81</v>
      </c>
      <c r="M2">
        <v>771.74</v>
      </c>
      <c r="N2">
        <v>119.07</v>
      </c>
      <c r="O2">
        <v>46.82</v>
      </c>
      <c r="P2">
        <v>0</v>
      </c>
      <c r="Q2">
        <v>97</v>
      </c>
      <c r="R2">
        <v>3</v>
      </c>
      <c r="S2">
        <v>916.79</v>
      </c>
      <c r="T2">
        <v>532.06</v>
      </c>
    </row>
    <row r="3" spans="1:20" ht="12.75">
      <c r="A3">
        <v>112</v>
      </c>
      <c r="B3">
        <v>65</v>
      </c>
      <c r="C3">
        <v>1</v>
      </c>
      <c r="D3">
        <v>0</v>
      </c>
      <c r="E3">
        <v>11001</v>
      </c>
      <c r="F3" t="s">
        <v>39</v>
      </c>
      <c r="G3" s="84" t="s">
        <v>3</v>
      </c>
      <c r="H3" s="84" t="s">
        <v>3</v>
      </c>
      <c r="I3">
        <f>Source!BZ33</f>
        <v>112</v>
      </c>
      <c r="J3">
        <f>Source!CA33</f>
        <v>65</v>
      </c>
      <c r="K3">
        <v>177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2.75">
      <c r="A4">
        <v>112</v>
      </c>
      <c r="B4">
        <v>65</v>
      </c>
      <c r="C4">
        <v>1</v>
      </c>
      <c r="D4">
        <v>0</v>
      </c>
      <c r="E4">
        <v>11001</v>
      </c>
      <c r="F4" t="s">
        <v>39</v>
      </c>
      <c r="G4" s="84" t="s">
        <v>3</v>
      </c>
      <c r="H4" s="84" t="s">
        <v>3</v>
      </c>
      <c r="I4">
        <f>Source!BZ35</f>
        <v>112</v>
      </c>
      <c r="J4">
        <f>Source!CA35</f>
        <v>65</v>
      </c>
      <c r="K4">
        <v>177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>
        <v>109</v>
      </c>
      <c r="B5">
        <v>57</v>
      </c>
      <c r="C5">
        <v>1</v>
      </c>
      <c r="D5">
        <v>0</v>
      </c>
      <c r="E5">
        <v>12001</v>
      </c>
      <c r="F5" t="s">
        <v>115</v>
      </c>
      <c r="G5" s="84" t="s">
        <v>3</v>
      </c>
      <c r="H5" s="84" t="s">
        <v>3</v>
      </c>
      <c r="I5">
        <f>Source!BZ74</f>
        <v>109</v>
      </c>
      <c r="J5">
        <f>Source!CA74</f>
        <v>57</v>
      </c>
      <c r="K5">
        <v>166</v>
      </c>
      <c r="L5">
        <v>11487.95</v>
      </c>
      <c r="M5">
        <v>0</v>
      </c>
      <c r="N5">
        <v>0</v>
      </c>
      <c r="O5">
        <v>0</v>
      </c>
      <c r="P5">
        <v>11487.95</v>
      </c>
      <c r="Q5">
        <v>0</v>
      </c>
      <c r="R5">
        <v>0</v>
      </c>
      <c r="S5">
        <v>0</v>
      </c>
      <c r="T5">
        <v>0</v>
      </c>
    </row>
    <row r="6" spans="1:20" ht="12.75">
      <c r="A6">
        <v>109</v>
      </c>
      <c r="B6">
        <v>57</v>
      </c>
      <c r="C6">
        <v>1</v>
      </c>
      <c r="D6">
        <v>0</v>
      </c>
      <c r="E6">
        <v>12001</v>
      </c>
      <c r="F6" t="s">
        <v>115</v>
      </c>
      <c r="G6" s="84" t="s">
        <v>3</v>
      </c>
      <c r="H6" s="84" t="s">
        <v>3</v>
      </c>
      <c r="I6">
        <f>Source!BZ78</f>
        <v>109</v>
      </c>
      <c r="J6">
        <f>Source!CA78</f>
        <v>57</v>
      </c>
      <c r="K6">
        <v>166</v>
      </c>
      <c r="L6">
        <v>3832.23</v>
      </c>
      <c r="M6">
        <v>0</v>
      </c>
      <c r="N6">
        <v>0</v>
      </c>
      <c r="O6">
        <v>0</v>
      </c>
      <c r="P6">
        <v>3832.23</v>
      </c>
      <c r="Q6">
        <v>0</v>
      </c>
      <c r="R6">
        <v>0</v>
      </c>
      <c r="S6">
        <v>0</v>
      </c>
      <c r="T6">
        <v>0</v>
      </c>
    </row>
    <row r="7" spans="1:20" ht="12.75">
      <c r="A7">
        <v>109</v>
      </c>
      <c r="B7">
        <v>57</v>
      </c>
      <c r="C7">
        <v>1</v>
      </c>
      <c r="D7">
        <v>0</v>
      </c>
      <c r="E7">
        <v>12001</v>
      </c>
      <c r="F7" t="s">
        <v>115</v>
      </c>
      <c r="G7" s="84" t="s">
        <v>3</v>
      </c>
      <c r="H7" s="84" t="s">
        <v>3</v>
      </c>
      <c r="I7">
        <f>Source!BZ84</f>
        <v>109</v>
      </c>
      <c r="J7">
        <f>Source!CA84</f>
        <v>57</v>
      </c>
      <c r="K7">
        <v>166</v>
      </c>
      <c r="L7">
        <v>35962.04</v>
      </c>
      <c r="M7">
        <v>0</v>
      </c>
      <c r="N7">
        <v>0</v>
      </c>
      <c r="O7">
        <v>0</v>
      </c>
      <c r="P7">
        <v>35962.04</v>
      </c>
      <c r="Q7">
        <v>0</v>
      </c>
      <c r="R7">
        <v>0</v>
      </c>
      <c r="S7">
        <v>0</v>
      </c>
      <c r="T7">
        <v>0</v>
      </c>
    </row>
    <row r="8" spans="1:20" ht="12.75">
      <c r="A8">
        <v>109</v>
      </c>
      <c r="B8">
        <v>57</v>
      </c>
      <c r="C8">
        <v>1</v>
      </c>
      <c r="D8">
        <v>0</v>
      </c>
      <c r="E8">
        <v>12001</v>
      </c>
      <c r="F8" t="s">
        <v>115</v>
      </c>
      <c r="G8" s="84" t="s">
        <v>3</v>
      </c>
      <c r="H8" s="84" t="s">
        <v>3</v>
      </c>
      <c r="I8">
        <f>Source!BZ86</f>
        <v>109</v>
      </c>
      <c r="J8">
        <f>Source!CA86</f>
        <v>57</v>
      </c>
      <c r="K8">
        <v>166</v>
      </c>
      <c r="L8">
        <v>26062.42</v>
      </c>
      <c r="M8">
        <v>0</v>
      </c>
      <c r="N8">
        <v>0</v>
      </c>
      <c r="O8">
        <v>0</v>
      </c>
      <c r="P8">
        <v>26062.42</v>
      </c>
      <c r="Q8">
        <v>0</v>
      </c>
      <c r="R8">
        <v>0</v>
      </c>
      <c r="S8">
        <v>0</v>
      </c>
      <c r="T8">
        <v>0</v>
      </c>
    </row>
    <row r="9" spans="1:20" ht="12.75">
      <c r="A9">
        <v>109</v>
      </c>
      <c r="B9">
        <v>57</v>
      </c>
      <c r="C9">
        <v>1</v>
      </c>
      <c r="D9">
        <v>0</v>
      </c>
      <c r="E9">
        <v>12001</v>
      </c>
      <c r="F9" t="s">
        <v>115</v>
      </c>
      <c r="G9" s="84" t="s">
        <v>3</v>
      </c>
      <c r="H9" s="84" t="s">
        <v>3</v>
      </c>
      <c r="I9">
        <f>Source!BZ90</f>
        <v>109</v>
      </c>
      <c r="J9">
        <f>Source!CA90</f>
        <v>57</v>
      </c>
      <c r="K9">
        <v>166</v>
      </c>
      <c r="L9">
        <v>31.61</v>
      </c>
      <c r="M9">
        <v>0</v>
      </c>
      <c r="N9">
        <v>0</v>
      </c>
      <c r="O9">
        <v>0</v>
      </c>
      <c r="P9">
        <v>31.61</v>
      </c>
      <c r="Q9">
        <v>0</v>
      </c>
      <c r="R9">
        <v>0</v>
      </c>
      <c r="S9">
        <v>0</v>
      </c>
      <c r="T9">
        <v>0</v>
      </c>
    </row>
    <row r="10" spans="1:20" ht="12.75">
      <c r="A10">
        <v>109</v>
      </c>
      <c r="B10">
        <v>57</v>
      </c>
      <c r="C10">
        <v>1</v>
      </c>
      <c r="D10">
        <v>0</v>
      </c>
      <c r="E10">
        <v>12001</v>
      </c>
      <c r="F10" t="s">
        <v>115</v>
      </c>
      <c r="G10" s="84" t="s">
        <v>3</v>
      </c>
      <c r="H10" s="84" t="s">
        <v>3</v>
      </c>
      <c r="I10">
        <f>Source!BZ92</f>
        <v>109</v>
      </c>
      <c r="J10">
        <f>Source!CA92</f>
        <v>57</v>
      </c>
      <c r="K10">
        <v>166</v>
      </c>
      <c r="L10">
        <v>22.91</v>
      </c>
      <c r="M10">
        <v>0</v>
      </c>
      <c r="N10">
        <v>0</v>
      </c>
      <c r="O10">
        <v>0</v>
      </c>
      <c r="P10">
        <v>22.91</v>
      </c>
      <c r="Q10">
        <v>0</v>
      </c>
      <c r="R10">
        <v>0</v>
      </c>
      <c r="S10">
        <v>0</v>
      </c>
      <c r="T10">
        <v>0</v>
      </c>
    </row>
    <row r="11" spans="1:20" ht="12.75">
      <c r="A11">
        <v>109</v>
      </c>
      <c r="B11">
        <v>57</v>
      </c>
      <c r="C11">
        <v>1</v>
      </c>
      <c r="D11">
        <v>0</v>
      </c>
      <c r="E11">
        <v>12001</v>
      </c>
      <c r="F11" t="s">
        <v>115</v>
      </c>
      <c r="G11" s="84" t="s">
        <v>3</v>
      </c>
      <c r="H11" s="84" t="s">
        <v>3</v>
      </c>
      <c r="I11">
        <f>Source!BZ96</f>
        <v>109</v>
      </c>
      <c r="J11">
        <f>Source!CA96</f>
        <v>57</v>
      </c>
      <c r="K11">
        <v>166</v>
      </c>
      <c r="L11">
        <v>3903.86</v>
      </c>
      <c r="M11">
        <v>0</v>
      </c>
      <c r="N11">
        <v>0</v>
      </c>
      <c r="O11">
        <v>0</v>
      </c>
      <c r="P11">
        <v>3903.86</v>
      </c>
      <c r="Q11">
        <v>0</v>
      </c>
      <c r="R11">
        <v>0</v>
      </c>
      <c r="S11">
        <v>0</v>
      </c>
      <c r="T11">
        <v>0</v>
      </c>
    </row>
    <row r="12" spans="1:20" ht="12.75">
      <c r="A12">
        <v>109</v>
      </c>
      <c r="B12">
        <v>57</v>
      </c>
      <c r="C12">
        <v>1</v>
      </c>
      <c r="D12">
        <v>0</v>
      </c>
      <c r="E12">
        <v>12001</v>
      </c>
      <c r="F12" t="s">
        <v>115</v>
      </c>
      <c r="G12" s="84" t="s">
        <v>3</v>
      </c>
      <c r="H12" s="84" t="s">
        <v>3</v>
      </c>
      <c r="I12">
        <f>Source!BZ98</f>
        <v>109</v>
      </c>
      <c r="J12">
        <f>Source!CA98</f>
        <v>57</v>
      </c>
      <c r="K12">
        <v>166</v>
      </c>
      <c r="L12">
        <v>-3816.96</v>
      </c>
      <c r="M12">
        <v>0</v>
      </c>
      <c r="N12">
        <v>0</v>
      </c>
      <c r="O12">
        <v>0</v>
      </c>
      <c r="P12">
        <v>-3816.96</v>
      </c>
      <c r="Q12">
        <v>0</v>
      </c>
      <c r="R12">
        <v>0</v>
      </c>
      <c r="S12">
        <v>0</v>
      </c>
      <c r="T12">
        <v>0</v>
      </c>
    </row>
    <row r="13" spans="1:20" ht="12.75">
      <c r="A13">
        <v>109</v>
      </c>
      <c r="B13">
        <v>57</v>
      </c>
      <c r="C13">
        <v>1</v>
      </c>
      <c r="D13">
        <v>0</v>
      </c>
      <c r="E13">
        <v>12001</v>
      </c>
      <c r="F13" t="s">
        <v>115</v>
      </c>
      <c r="G13" s="84" t="s">
        <v>3</v>
      </c>
      <c r="H13" s="84" t="s">
        <v>3</v>
      </c>
      <c r="I13">
        <f>Source!BZ100</f>
        <v>109</v>
      </c>
      <c r="J13">
        <f>Source!CA100</f>
        <v>57</v>
      </c>
      <c r="K13">
        <v>166</v>
      </c>
      <c r="L13">
        <v>-110.76</v>
      </c>
      <c r="M13">
        <v>0</v>
      </c>
      <c r="N13">
        <v>0</v>
      </c>
      <c r="O13">
        <v>0</v>
      </c>
      <c r="P13">
        <v>-110.76</v>
      </c>
      <c r="Q13">
        <v>0</v>
      </c>
      <c r="R13">
        <v>0</v>
      </c>
      <c r="S13">
        <v>0</v>
      </c>
      <c r="T13">
        <v>0</v>
      </c>
    </row>
    <row r="14" spans="1:20" ht="12.75">
      <c r="A14">
        <v>109</v>
      </c>
      <c r="B14">
        <v>57</v>
      </c>
      <c r="C14">
        <v>1</v>
      </c>
      <c r="D14">
        <v>0</v>
      </c>
      <c r="E14">
        <v>12001</v>
      </c>
      <c r="F14" t="s">
        <v>115</v>
      </c>
      <c r="G14" s="84" t="s">
        <v>3</v>
      </c>
      <c r="H14" s="84" t="s">
        <v>3</v>
      </c>
      <c r="I14">
        <f>Source!BZ102</f>
        <v>109</v>
      </c>
      <c r="J14">
        <f>Source!CA102</f>
        <v>57</v>
      </c>
      <c r="K14">
        <v>166</v>
      </c>
      <c r="L14">
        <v>-451.73</v>
      </c>
      <c r="M14">
        <v>0</v>
      </c>
      <c r="N14">
        <v>0</v>
      </c>
      <c r="O14">
        <v>0</v>
      </c>
      <c r="P14">
        <v>-451.73</v>
      </c>
      <c r="Q14">
        <v>0</v>
      </c>
      <c r="R14">
        <v>0</v>
      </c>
      <c r="S14">
        <v>0</v>
      </c>
      <c r="T14">
        <v>0</v>
      </c>
    </row>
    <row r="15" spans="1:20" ht="12.75">
      <c r="A15">
        <v>109</v>
      </c>
      <c r="B15">
        <v>57</v>
      </c>
      <c r="C15">
        <v>1</v>
      </c>
      <c r="D15">
        <v>0</v>
      </c>
      <c r="E15">
        <v>12001</v>
      </c>
      <c r="F15" t="s">
        <v>115</v>
      </c>
      <c r="G15" s="84" t="s">
        <v>3</v>
      </c>
      <c r="H15" s="84" t="s">
        <v>3</v>
      </c>
      <c r="I15">
        <f>Source!BZ104</f>
        <v>109</v>
      </c>
      <c r="J15">
        <f>Source!CA104</f>
        <v>57</v>
      </c>
      <c r="K15">
        <v>166</v>
      </c>
      <c r="L15">
        <v>-61.11</v>
      </c>
      <c r="M15">
        <v>0</v>
      </c>
      <c r="N15">
        <v>0</v>
      </c>
      <c r="O15">
        <v>0</v>
      </c>
      <c r="P15">
        <v>-61.11</v>
      </c>
      <c r="Q15">
        <v>0</v>
      </c>
      <c r="R15">
        <v>0</v>
      </c>
      <c r="S15">
        <v>0</v>
      </c>
      <c r="T15">
        <v>0</v>
      </c>
    </row>
    <row r="16" spans="1:20" ht="12.75">
      <c r="A16">
        <v>109</v>
      </c>
      <c r="B16">
        <v>57</v>
      </c>
      <c r="C16">
        <v>1</v>
      </c>
      <c r="D16">
        <v>0</v>
      </c>
      <c r="E16">
        <v>12001</v>
      </c>
      <c r="F16" t="s">
        <v>115</v>
      </c>
      <c r="G16" s="84" t="s">
        <v>3</v>
      </c>
      <c r="H16" s="84" t="s">
        <v>3</v>
      </c>
      <c r="I16">
        <f>Source!BZ106</f>
        <v>109</v>
      </c>
      <c r="J16">
        <f>Source!CA106</f>
        <v>57</v>
      </c>
      <c r="K16">
        <v>166</v>
      </c>
      <c r="L16">
        <v>-80.87</v>
      </c>
      <c r="M16">
        <v>0</v>
      </c>
      <c r="N16">
        <v>0</v>
      </c>
      <c r="O16">
        <v>0</v>
      </c>
      <c r="P16">
        <v>-80.87</v>
      </c>
      <c r="Q16">
        <v>0</v>
      </c>
      <c r="R16">
        <v>0</v>
      </c>
      <c r="S16">
        <v>0</v>
      </c>
      <c r="T16">
        <v>0</v>
      </c>
    </row>
    <row r="17" spans="1:20" ht="12.75">
      <c r="A17">
        <v>98.1</v>
      </c>
      <c r="B17">
        <v>48.45</v>
      </c>
      <c r="C17">
        <v>1</v>
      </c>
      <c r="D17">
        <v>3</v>
      </c>
      <c r="E17">
        <v>12001</v>
      </c>
      <c r="F17" t="s">
        <v>115</v>
      </c>
      <c r="G17" s="84" t="s">
        <v>113</v>
      </c>
      <c r="H17" s="84" t="s">
        <v>114</v>
      </c>
      <c r="I17">
        <f>Source!BZ72</f>
        <v>109</v>
      </c>
      <c r="J17">
        <f>Source!CA72</f>
        <v>57</v>
      </c>
      <c r="K17">
        <v>146.55</v>
      </c>
      <c r="L17">
        <v>1759.41</v>
      </c>
      <c r="M17">
        <v>823.99</v>
      </c>
      <c r="N17">
        <v>810.27</v>
      </c>
      <c r="O17">
        <v>93.27</v>
      </c>
      <c r="P17">
        <v>125.15</v>
      </c>
      <c r="Q17">
        <v>95</v>
      </c>
      <c r="R17">
        <v>8</v>
      </c>
      <c r="S17">
        <v>899.83</v>
      </c>
      <c r="T17">
        <v>444.41</v>
      </c>
    </row>
    <row r="18" spans="1:20" ht="12.75">
      <c r="A18">
        <v>98.1</v>
      </c>
      <c r="B18">
        <v>48.45</v>
      </c>
      <c r="C18">
        <v>1</v>
      </c>
      <c r="D18">
        <v>4</v>
      </c>
      <c r="E18">
        <v>12001</v>
      </c>
      <c r="F18" t="s">
        <v>115</v>
      </c>
      <c r="G18" s="84" t="s">
        <v>113</v>
      </c>
      <c r="H18" s="84" t="s">
        <v>114</v>
      </c>
      <c r="I18">
        <f>Source!BZ76</f>
        <v>109</v>
      </c>
      <c r="J18">
        <f>Source!CA76</f>
        <v>57</v>
      </c>
      <c r="K18">
        <v>146.55</v>
      </c>
      <c r="L18">
        <v>226.3</v>
      </c>
      <c r="M18">
        <v>169.55</v>
      </c>
      <c r="N18">
        <v>56.75</v>
      </c>
      <c r="O18">
        <v>7.27</v>
      </c>
      <c r="P18">
        <v>0</v>
      </c>
      <c r="Q18">
        <v>20</v>
      </c>
      <c r="R18">
        <v>1</v>
      </c>
      <c r="S18">
        <v>173.46</v>
      </c>
      <c r="T18">
        <v>85.67</v>
      </c>
    </row>
    <row r="19" spans="1:20" ht="12.75">
      <c r="A19">
        <v>98.1</v>
      </c>
      <c r="B19">
        <v>48.45</v>
      </c>
      <c r="C19">
        <v>1</v>
      </c>
      <c r="D19">
        <v>5</v>
      </c>
      <c r="E19">
        <v>12001</v>
      </c>
      <c r="F19" t="s">
        <v>115</v>
      </c>
      <c r="G19" s="84" t="s">
        <v>113</v>
      </c>
      <c r="H19" s="84" t="s">
        <v>114</v>
      </c>
      <c r="I19">
        <f>Source!BZ80</f>
        <v>109</v>
      </c>
      <c r="J19">
        <f>Source!CA80</f>
        <v>57</v>
      </c>
      <c r="K19">
        <v>146.55</v>
      </c>
      <c r="L19">
        <v>1381.39</v>
      </c>
      <c r="M19">
        <v>320.12</v>
      </c>
      <c r="N19">
        <v>37.43</v>
      </c>
      <c r="O19">
        <v>6.6</v>
      </c>
      <c r="P19">
        <v>1023.84</v>
      </c>
      <c r="Q19">
        <v>37</v>
      </c>
      <c r="R19">
        <v>1</v>
      </c>
      <c r="S19">
        <v>320.51</v>
      </c>
      <c r="T19">
        <v>158.3</v>
      </c>
    </row>
    <row r="20" spans="1:20" ht="12.75">
      <c r="A20">
        <v>98.1</v>
      </c>
      <c r="B20">
        <v>48.45</v>
      </c>
      <c r="C20">
        <v>1</v>
      </c>
      <c r="D20">
        <v>6</v>
      </c>
      <c r="E20">
        <v>12001</v>
      </c>
      <c r="F20" t="s">
        <v>115</v>
      </c>
      <c r="G20" s="84" t="s">
        <v>113</v>
      </c>
      <c r="H20" s="84" t="s">
        <v>114</v>
      </c>
      <c r="I20">
        <f>Source!BZ82</f>
        <v>109</v>
      </c>
      <c r="J20">
        <f>Source!CA82</f>
        <v>57</v>
      </c>
      <c r="K20">
        <v>146.55</v>
      </c>
      <c r="L20">
        <v>4190.47</v>
      </c>
      <c r="M20">
        <v>1765.9</v>
      </c>
      <c r="N20">
        <v>350.38</v>
      </c>
      <c r="O20">
        <v>53.35</v>
      </c>
      <c r="P20">
        <v>2074.19</v>
      </c>
      <c r="Q20">
        <v>188</v>
      </c>
      <c r="R20">
        <v>4</v>
      </c>
      <c r="S20">
        <v>1784.68</v>
      </c>
      <c r="T20">
        <v>881.43</v>
      </c>
    </row>
    <row r="21" spans="1:20" ht="12.75">
      <c r="A21">
        <v>98.1</v>
      </c>
      <c r="B21">
        <v>48.45</v>
      </c>
      <c r="C21">
        <v>1</v>
      </c>
      <c r="D21">
        <v>7</v>
      </c>
      <c r="E21">
        <v>12001</v>
      </c>
      <c r="F21" t="s">
        <v>115</v>
      </c>
      <c r="G21" s="84" t="s">
        <v>113</v>
      </c>
      <c r="H21" s="84" t="s">
        <v>114</v>
      </c>
      <c r="I21">
        <f>Source!BZ88</f>
        <v>109</v>
      </c>
      <c r="J21">
        <f>Source!CA88</f>
        <v>57</v>
      </c>
      <c r="K21">
        <v>146.55</v>
      </c>
      <c r="L21">
        <v>3.68</v>
      </c>
      <c r="M21">
        <v>1.55</v>
      </c>
      <c r="N21">
        <v>0.31</v>
      </c>
      <c r="O21">
        <v>0.05</v>
      </c>
      <c r="P21">
        <v>1.82</v>
      </c>
      <c r="Q21">
        <v>0</v>
      </c>
      <c r="R21">
        <v>0</v>
      </c>
      <c r="S21">
        <v>1.57</v>
      </c>
      <c r="T21">
        <v>0.78</v>
      </c>
    </row>
    <row r="22" spans="1:20" ht="12.75">
      <c r="A22">
        <v>98.1</v>
      </c>
      <c r="B22">
        <v>48.45</v>
      </c>
      <c r="C22">
        <v>1</v>
      </c>
      <c r="D22">
        <v>8</v>
      </c>
      <c r="E22">
        <v>12001</v>
      </c>
      <c r="F22" t="s">
        <v>115</v>
      </c>
      <c r="G22" s="84" t="s">
        <v>113</v>
      </c>
      <c r="H22" s="84" t="s">
        <v>114</v>
      </c>
      <c r="I22">
        <f>Source!BZ94</f>
        <v>109</v>
      </c>
      <c r="J22">
        <f>Source!CA94</f>
        <v>57</v>
      </c>
      <c r="K22">
        <v>146.55</v>
      </c>
      <c r="L22">
        <v>6725.9</v>
      </c>
      <c r="M22">
        <v>939.21</v>
      </c>
      <c r="N22">
        <v>159.32</v>
      </c>
      <c r="O22">
        <v>24.21</v>
      </c>
      <c r="P22">
        <v>5627.37</v>
      </c>
      <c r="Q22">
        <v>102</v>
      </c>
      <c r="R22">
        <v>2</v>
      </c>
      <c r="S22">
        <v>945.12</v>
      </c>
      <c r="T22">
        <v>466.78</v>
      </c>
    </row>
    <row r="23" spans="1:20" ht="12.75">
      <c r="A23">
        <v>103</v>
      </c>
      <c r="B23">
        <v>59</v>
      </c>
      <c r="C23">
        <v>1</v>
      </c>
      <c r="D23">
        <v>9</v>
      </c>
      <c r="E23">
        <v>46001</v>
      </c>
      <c r="F23" t="s">
        <v>27</v>
      </c>
      <c r="G23" s="84" t="s">
        <v>3</v>
      </c>
      <c r="H23" s="84" t="s">
        <v>3</v>
      </c>
      <c r="I23">
        <f>Source!BZ108</f>
        <v>103</v>
      </c>
      <c r="J23">
        <f>Source!CA108</f>
        <v>59</v>
      </c>
      <c r="K23">
        <v>162</v>
      </c>
      <c r="L23">
        <v>65.47</v>
      </c>
      <c r="M23">
        <v>15.78</v>
      </c>
      <c r="N23">
        <v>49.69</v>
      </c>
      <c r="O23">
        <v>2.03</v>
      </c>
      <c r="P23">
        <v>0</v>
      </c>
      <c r="Q23">
        <v>2</v>
      </c>
      <c r="R23">
        <v>0</v>
      </c>
      <c r="S23">
        <v>18.34</v>
      </c>
      <c r="T23">
        <v>10.51</v>
      </c>
    </row>
    <row r="24" spans="1:20" ht="12.75">
      <c r="A24">
        <v>91</v>
      </c>
      <c r="B24">
        <v>52</v>
      </c>
      <c r="C24">
        <v>1</v>
      </c>
      <c r="D24">
        <v>1</v>
      </c>
      <c r="E24">
        <v>46001</v>
      </c>
      <c r="F24" t="s">
        <v>27</v>
      </c>
      <c r="G24" s="84" t="s">
        <v>3</v>
      </c>
      <c r="H24" s="84" t="s">
        <v>3</v>
      </c>
      <c r="I24">
        <f>Source!BZ29</f>
        <v>91</v>
      </c>
      <c r="J24">
        <f>Source!CA29</f>
        <v>52</v>
      </c>
      <c r="K24">
        <v>143</v>
      </c>
      <c r="L24">
        <v>1747.24</v>
      </c>
      <c r="M24">
        <v>1275.93</v>
      </c>
      <c r="N24">
        <v>471.31</v>
      </c>
      <c r="O24">
        <v>0</v>
      </c>
      <c r="P24">
        <v>0</v>
      </c>
      <c r="Q24">
        <v>164</v>
      </c>
      <c r="R24">
        <v>0</v>
      </c>
      <c r="S24">
        <v>1161.1</v>
      </c>
      <c r="T24">
        <v>663.48</v>
      </c>
    </row>
    <row r="25" spans="1:20" ht="12.75">
      <c r="A25">
        <v>92</v>
      </c>
      <c r="B25">
        <v>44</v>
      </c>
      <c r="C25">
        <v>1</v>
      </c>
      <c r="D25">
        <v>10</v>
      </c>
      <c r="E25">
        <v>69001</v>
      </c>
      <c r="F25" t="s">
        <v>201</v>
      </c>
      <c r="G25" s="84" t="s">
        <v>3</v>
      </c>
      <c r="H25" s="84" t="s">
        <v>3</v>
      </c>
      <c r="I25">
        <f>Source!BZ147</f>
        <v>92</v>
      </c>
      <c r="J25">
        <f>Source!CA147</f>
        <v>44</v>
      </c>
      <c r="K25">
        <v>136</v>
      </c>
      <c r="L25">
        <v>292.63</v>
      </c>
      <c r="M25">
        <v>91.07</v>
      </c>
      <c r="N25">
        <v>0</v>
      </c>
      <c r="O25">
        <v>0</v>
      </c>
      <c r="P25">
        <v>201.56</v>
      </c>
      <c r="Q25">
        <v>13</v>
      </c>
      <c r="R25">
        <v>0</v>
      </c>
      <c r="S25">
        <v>83.78</v>
      </c>
      <c r="T25">
        <v>40.07</v>
      </c>
    </row>
    <row r="26" spans="1:20" ht="12.75">
      <c r="A26">
        <v>0</v>
      </c>
      <c r="B26">
        <v>0</v>
      </c>
      <c r="C26">
        <v>1</v>
      </c>
      <c r="D26">
        <v>11</v>
      </c>
      <c r="E26">
        <v>700004</v>
      </c>
      <c r="F26" t="s">
        <v>210</v>
      </c>
      <c r="G26" s="84" t="s">
        <v>3</v>
      </c>
      <c r="H26" s="84" t="s">
        <v>3</v>
      </c>
      <c r="I26">
        <f>Source!BZ149</f>
        <v>0</v>
      </c>
      <c r="J26">
        <f>Source!CA149</f>
        <v>0</v>
      </c>
      <c r="K26">
        <v>0</v>
      </c>
      <c r="L26">
        <v>859.6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>
        <v>0</v>
      </c>
      <c r="B27">
        <v>0</v>
      </c>
      <c r="C27">
        <v>1</v>
      </c>
      <c r="D27">
        <v>12</v>
      </c>
      <c r="E27">
        <v>700005</v>
      </c>
      <c r="F27" t="s">
        <v>217</v>
      </c>
      <c r="G27" s="84" t="s">
        <v>3</v>
      </c>
      <c r="H27" s="84" t="s">
        <v>3</v>
      </c>
      <c r="I27">
        <f>Source!BZ151</f>
        <v>0</v>
      </c>
      <c r="J27">
        <f>Source!CA151</f>
        <v>0</v>
      </c>
      <c r="K27">
        <v>0</v>
      </c>
      <c r="L27">
        <v>473.4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0" t="s">
        <v>365</v>
      </c>
    </row>
    <row r="4" spans="3:4" ht="15">
      <c r="C4" s="60"/>
      <c r="D4" s="60"/>
    </row>
    <row r="5" spans="3:4" ht="15">
      <c r="C5" s="140" t="s">
        <v>470</v>
      </c>
      <c r="D5" s="140"/>
    </row>
    <row r="6" spans="3:4" ht="15">
      <c r="C6" s="74"/>
      <c r="D6" s="74"/>
    </row>
    <row r="7" spans="3:4" ht="15">
      <c r="C7" s="140" t="s">
        <v>470</v>
      </c>
      <c r="D7" s="140"/>
    </row>
    <row r="8" spans="3:4" ht="15">
      <c r="C8" s="74"/>
      <c r="D8" s="74"/>
    </row>
    <row r="9" spans="3:4" ht="15">
      <c r="C9" s="60" t="s">
        <v>471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43" t="str">
        <f>CONCATENATE("Дефектный акт ",IF(Source!AN15&lt;&gt;"",Source!AN15," "))</f>
        <v>Дефектный акт  </v>
      </c>
      <c r="B11" s="143"/>
      <c r="C11" s="143"/>
      <c r="D11" s="143"/>
      <c r="E11" s="14"/>
    </row>
    <row r="12" spans="1:30" ht="15">
      <c r="A12" s="144" t="str">
        <f>CONCATENATE("На капитальный ремонт ",Source!F12," ",Source!G12)</f>
        <v>На капитальный ремонт  Выполнение работ по текущему ремонту кровли строения 1 ИПУ РАН</v>
      </c>
      <c r="B12" s="144"/>
      <c r="C12" s="144"/>
      <c r="D12" s="144"/>
      <c r="E12" s="14"/>
      <c r="AD12" s="86" t="str">
        <f>CONCATENATE("На капитальный ремонт ",Source!F12," ",Source!G12)</f>
        <v>На капитальный ремонт  Выполнение работ по текущему ремонту кровли строения 1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85" t="s">
        <v>478</v>
      </c>
      <c r="C14" s="14"/>
      <c r="D14" s="14"/>
      <c r="E14" s="14"/>
    </row>
    <row r="15" spans="1:5" ht="15">
      <c r="A15" s="14"/>
      <c r="B15" s="85" t="s">
        <v>479</v>
      </c>
      <c r="C15" s="14"/>
      <c r="D15" s="14"/>
      <c r="E15" s="14"/>
    </row>
    <row r="16" spans="1:5" ht="15">
      <c r="A16" s="14"/>
      <c r="B16" s="85" t="s">
        <v>480</v>
      </c>
      <c r="C16" s="14"/>
      <c r="D16" s="14"/>
      <c r="E16" s="14"/>
    </row>
    <row r="17" spans="1:5" ht="28.5">
      <c r="A17" s="75" t="s">
        <v>389</v>
      </c>
      <c r="B17" s="75" t="s">
        <v>391</v>
      </c>
      <c r="C17" s="75" t="s">
        <v>392</v>
      </c>
      <c r="D17" s="75" t="s">
        <v>393</v>
      </c>
      <c r="E17" s="76" t="s">
        <v>475</v>
      </c>
    </row>
    <row r="18" spans="1:5" ht="14.25">
      <c r="A18" s="87">
        <v>1</v>
      </c>
      <c r="B18" s="87">
        <v>2</v>
      </c>
      <c r="C18" s="87">
        <v>3</v>
      </c>
      <c r="D18" s="87">
        <v>4</v>
      </c>
      <c r="E18" s="88">
        <v>5</v>
      </c>
    </row>
    <row r="19" spans="1:5" ht="16.5">
      <c r="A19" s="139" t="str">
        <f>CONCATENATE("Локальная смета: ",Source!G20)</f>
        <v>Локальная смета: </v>
      </c>
      <c r="B19" s="139"/>
      <c r="C19" s="139"/>
      <c r="D19" s="139"/>
      <c r="E19" s="139"/>
    </row>
    <row r="20" spans="1:5" ht="16.5">
      <c r="A20" s="139" t="str">
        <f>CONCATENATE("Раздел: ",Source!G24)</f>
        <v>Раздел: Демонтажные работы</v>
      </c>
      <c r="B20" s="139"/>
      <c r="C20" s="139"/>
      <c r="D20" s="139"/>
      <c r="E20" s="139"/>
    </row>
    <row r="21" spans="1:5" ht="14.25">
      <c r="A21" s="93">
        <v>1</v>
      </c>
      <c r="B21" s="94" t="str">
        <f>Source!G28</f>
        <v>Разборка покрытий кровель: из рулонных материалов</v>
      </c>
      <c r="C21" s="95" t="str">
        <f>Source!H28</f>
        <v>100 м2</v>
      </c>
      <c r="D21" s="96">
        <f>Source!I28</f>
        <v>11.376</v>
      </c>
      <c r="E21" s="94"/>
    </row>
    <row r="22" spans="1:5" ht="14.25">
      <c r="A22" s="93">
        <v>2</v>
      </c>
      <c r="B22" s="94" t="str">
        <f>Source!G30</f>
        <v>Демонтаж стяжек: цементных толщиной 20 мм (Применительно)</v>
      </c>
      <c r="C22" s="95" t="str">
        <f>Source!H30</f>
        <v>100 м2</v>
      </c>
      <c r="D22" s="96">
        <f>Source!I30</f>
        <v>3.4128</v>
      </c>
      <c r="E22" s="94"/>
    </row>
    <row r="23" spans="1:5" ht="16.5">
      <c r="A23" s="139" t="str">
        <f>CONCATENATE("Раздел: ",Source!G67)</f>
        <v>Раздел: Монтажные работы</v>
      </c>
      <c r="B23" s="139"/>
      <c r="C23" s="139"/>
      <c r="D23" s="139"/>
      <c r="E23" s="139"/>
    </row>
    <row r="24" spans="1:5" ht="14.25">
      <c r="A24" s="93">
        <v>3</v>
      </c>
      <c r="B24" s="94" t="str">
        <f>Source!G71</f>
        <v>Устройство выравнивающих стяжек: цементно-песчаных толщиной 15 мм</v>
      </c>
      <c r="C24" s="95" t="str">
        <f>Source!H71</f>
        <v>100 м2</v>
      </c>
      <c r="D24" s="96">
        <f>Source!I71</f>
        <v>3.4128</v>
      </c>
      <c r="E24" s="94"/>
    </row>
    <row r="25" spans="1:5" ht="14.25">
      <c r="A25" s="93">
        <v>3.1</v>
      </c>
      <c r="B25" s="94" t="str">
        <f>Source!G73</f>
        <v>Смеси сухие цементные (пескобетон), класс B22,5 (M300)</v>
      </c>
      <c r="C25" s="95" t="str">
        <f>Source!H73</f>
        <v>т</v>
      </c>
      <c r="D25" s="96">
        <f>Source!I73</f>
        <v>9.241743</v>
      </c>
      <c r="E25" s="94"/>
    </row>
    <row r="26" spans="1:5" ht="28.5">
      <c r="A26" s="93">
        <v>4</v>
      </c>
      <c r="B26" s="94" t="str">
        <f>Source!G75</f>
        <v>Устройство выравнивающих стяжек: на каждый 1 мм изменения толщины добавлять или исключать к расценке 12-01-017-01 (К=5, до 20 мм)</v>
      </c>
      <c r="C26" s="95" t="str">
        <f>Source!H75</f>
        <v>100 м2</v>
      </c>
      <c r="D26" s="96">
        <f>Source!I75</f>
        <v>3.4128</v>
      </c>
      <c r="E26" s="94"/>
    </row>
    <row r="27" spans="1:5" ht="14.25">
      <c r="A27" s="93">
        <v>4.1</v>
      </c>
      <c r="B27" s="94" t="str">
        <f>Source!G77</f>
        <v>Смеси сухие цементные (пескобетон), класс B22,5 (M300)</v>
      </c>
      <c r="C27" s="95" t="str">
        <f>Source!H77</f>
        <v>т</v>
      </c>
      <c r="D27" s="96">
        <f>Source!I77</f>
        <v>3.082929</v>
      </c>
      <c r="E27" s="94"/>
    </row>
    <row r="28" spans="1:5" ht="28.5">
      <c r="A28" s="93">
        <v>5</v>
      </c>
      <c r="B28" s="94" t="str">
        <f>Source!G79</f>
        <v>Огрунтовка оснований из бетона или раствора под водоизоляционный кровельный ковер: готовой эмульсией битумной</v>
      </c>
      <c r="C28" s="95" t="str">
        <f>Source!H79</f>
        <v>100 м2</v>
      </c>
      <c r="D28" s="96">
        <f>Source!I79</f>
        <v>11.376</v>
      </c>
      <c r="E28" s="94"/>
    </row>
    <row r="29" spans="1:5" ht="14.25">
      <c r="A29" s="93">
        <v>6</v>
      </c>
      <c r="B29" s="94" t="str">
        <f>Source!G81</f>
        <v>Устройство кровель плоских из наплавляемых материалов в два слоя</v>
      </c>
      <c r="C29" s="95" t="str">
        <f>Source!H81</f>
        <v>100 м2</v>
      </c>
      <c r="D29" s="96">
        <f>Source!I81</f>
        <v>11.376</v>
      </c>
      <c r="E29" s="94"/>
    </row>
    <row r="30" spans="1:5" ht="14.25">
      <c r="A30" s="93">
        <v>6.1</v>
      </c>
      <c r="B30" s="94" t="str">
        <f>Source!G83</f>
        <v>Линокром: ТКП</v>
      </c>
      <c r="C30" s="95" t="str">
        <f>Source!H83</f>
        <v>м2</v>
      </c>
      <c r="D30" s="96">
        <f>Source!I83</f>
        <v>1296.864</v>
      </c>
      <c r="E30" s="94"/>
    </row>
    <row r="31" spans="1:5" ht="14.25">
      <c r="A31" s="93">
        <v>6.2</v>
      </c>
      <c r="B31" s="94" t="str">
        <f>Source!G85</f>
        <v>Линокром: ТПП</v>
      </c>
      <c r="C31" s="95" t="str">
        <f>Source!H85</f>
        <v>м2</v>
      </c>
      <c r="D31" s="96">
        <f>Source!I85</f>
        <v>1319.616</v>
      </c>
      <c r="E31" s="94"/>
    </row>
    <row r="32" spans="1:5" ht="28.5">
      <c r="A32" s="93">
        <v>7</v>
      </c>
      <c r="B32" s="94" t="str">
        <f>Source!G87</f>
        <v>Устройство кровель плоских из наплавляемых материалов в два слоя (услиление мест установки водоприемных воронок) (Применительно</v>
      </c>
      <c r="C32" s="95" t="str">
        <f>Source!H87</f>
        <v>100 м2</v>
      </c>
      <c r="D32" s="96">
        <f>Source!I87</f>
        <v>0.01</v>
      </c>
      <c r="E32" s="94"/>
    </row>
    <row r="33" spans="1:5" ht="14.25">
      <c r="A33" s="93">
        <v>7.1</v>
      </c>
      <c r="B33" s="94" t="str">
        <f>Source!G89</f>
        <v>Линокром: ТКП</v>
      </c>
      <c r="C33" s="95" t="str">
        <f>Source!H89</f>
        <v>м2</v>
      </c>
      <c r="D33" s="96">
        <f>Source!I89</f>
        <v>1.14</v>
      </c>
      <c r="E33" s="94"/>
    </row>
    <row r="34" spans="1:5" ht="14.25">
      <c r="A34" s="93">
        <v>7.2</v>
      </c>
      <c r="B34" s="94" t="str">
        <f>Source!G91</f>
        <v>Линокром: ТПП</v>
      </c>
      <c r="C34" s="95" t="str">
        <f>Source!H91</f>
        <v>м2</v>
      </c>
      <c r="D34" s="96">
        <f>Source!I91</f>
        <v>1.16</v>
      </c>
      <c r="E34" s="94"/>
    </row>
    <row r="35" spans="1:5" ht="28.5">
      <c r="A35" s="93">
        <v>8</v>
      </c>
      <c r="B35" s="94" t="str">
        <f>Source!G93</f>
        <v>Устройство примыканий кровель из наплавляемых материалов к стенам и парапетам высотой: более 600 мм без фартука (Применительно)</v>
      </c>
      <c r="C35" s="95" t="str">
        <f>Source!H93</f>
        <v>100 м</v>
      </c>
      <c r="D35" s="96">
        <f>Source!I93</f>
        <v>1.704</v>
      </c>
      <c r="E35" s="94"/>
    </row>
    <row r="36" spans="1:5" ht="14.25">
      <c r="A36" s="93">
        <v>8.1</v>
      </c>
      <c r="B36" s="94" t="str">
        <f>Source!G95</f>
        <v>Линокром: ТПП</v>
      </c>
      <c r="C36" s="95" t="str">
        <f>Source!H95</f>
        <v>м2</v>
      </c>
      <c r="D36" s="96">
        <f>Source!I95</f>
        <v>197.664</v>
      </c>
      <c r="E36" s="94"/>
    </row>
    <row r="37" spans="1:5" ht="14.25">
      <c r="A37" s="93">
        <v>8.2</v>
      </c>
      <c r="B37" s="94" t="str">
        <f>Source!G97</f>
        <v>Сталь листовая оцинкованная, толщина 0,7 мм</v>
      </c>
      <c r="C37" s="95" t="str">
        <f>Source!H97</f>
        <v>т</v>
      </c>
      <c r="D37" s="96">
        <f>Source!I97</f>
        <v>-0.3408</v>
      </c>
      <c r="E37" s="94"/>
    </row>
    <row r="38" spans="1:5" ht="28.5">
      <c r="A38" s="93">
        <v>8.3</v>
      </c>
      <c r="B38" s="94" t="str">
        <f>Source!G99</f>
        <v>Прокат полосовой, горячекатаный, марка стали Ст3сп, ширина 50-200 мм, толщина 4-5 мм</v>
      </c>
      <c r="C38" s="95" t="str">
        <f>Source!H99</f>
        <v>т</v>
      </c>
      <c r="D38" s="96">
        <f>Source!I99</f>
        <v>-0.022152</v>
      </c>
      <c r="E38" s="94"/>
    </row>
    <row r="39" spans="1:5" ht="14.25">
      <c r="A39" s="93">
        <v>8.4</v>
      </c>
      <c r="B39" s="94" t="str">
        <f>Source!G101</f>
        <v>Раствор готовый кладочный, цементный, М100</v>
      </c>
      <c r="C39" s="95" t="str">
        <f>Source!H101</f>
        <v>м3</v>
      </c>
      <c r="D39" s="96">
        <f>Source!I101</f>
        <v>-0.86904</v>
      </c>
      <c r="E39" s="94"/>
    </row>
    <row r="40" spans="1:5" ht="28.5">
      <c r="A40" s="93">
        <v>8.5</v>
      </c>
      <c r="B40" s="94" t="str">
        <f>Source!G103</f>
        <v>Дюбели с калиброванной головкой (в обоймах) с цинковым хроматированным покрытием, размер 3x58,5 мм</v>
      </c>
      <c r="C40" s="95" t="str">
        <f>Source!H103</f>
        <v>т</v>
      </c>
      <c r="D40" s="96">
        <f>Source!I103</f>
        <v>-0.002709</v>
      </c>
      <c r="E40" s="94"/>
    </row>
    <row r="41" spans="1:5" ht="14.25">
      <c r="A41" s="93">
        <v>8.6</v>
      </c>
      <c r="B41" s="94" t="str">
        <f>Source!G105</f>
        <v>Патроны для строительно-монтажного пистолета</v>
      </c>
      <c r="C41" s="95" t="str">
        <f>Source!H105</f>
        <v>1000 ШТ</v>
      </c>
      <c r="D41" s="96">
        <f>Source!I105</f>
        <v>-0.318648</v>
      </c>
      <c r="E41" s="94"/>
    </row>
    <row r="42" spans="1:5" ht="28.5">
      <c r="A42" s="93">
        <v>9</v>
      </c>
      <c r="B42" s="94" t="str">
        <f>Source!G107</f>
        <v>Гидроизоляция самоклеящейся лентой: горизонтальных швов (Применительно)</v>
      </c>
      <c r="C42" s="95" t="str">
        <f>Source!H107</f>
        <v>100 м</v>
      </c>
      <c r="D42" s="96">
        <f>Source!I107</f>
        <v>0.5</v>
      </c>
      <c r="E42" s="94"/>
    </row>
    <row r="43" spans="1:5" ht="28.5">
      <c r="A43" s="93">
        <v>9.1</v>
      </c>
      <c r="B43" s="94" t="str">
        <f>Source!G109</f>
        <v>Лента герметизирующая самоклеящая Герлен-Д шириной: 100 мм толщиной 3 мм</v>
      </c>
      <c r="C43" s="95" t="str">
        <f>Source!H109</f>
        <v>кг</v>
      </c>
      <c r="D43" s="96">
        <f>Source!I109</f>
        <v>9.75</v>
      </c>
      <c r="E43" s="94"/>
    </row>
    <row r="44" spans="1:5" ht="16.5">
      <c r="A44" s="139" t="str">
        <f>CONCATENATE("Раздел: ",Source!G142)</f>
        <v>Раздел: Разные работы</v>
      </c>
      <c r="B44" s="139"/>
      <c r="C44" s="139"/>
      <c r="D44" s="139"/>
      <c r="E44" s="139"/>
    </row>
    <row r="45" spans="1:5" ht="14.25">
      <c r="A45" s="93">
        <v>10</v>
      </c>
      <c r="B45" s="94" t="str">
        <f>Source!G146</f>
        <v>Затаривание строительного мусора в мешки</v>
      </c>
      <c r="C45" s="95" t="str">
        <f>Source!H146</f>
        <v>т</v>
      </c>
      <c r="D45" s="96">
        <f>Source!I146</f>
        <v>12.29</v>
      </c>
      <c r="E45" s="94"/>
    </row>
    <row r="46" spans="1:5" ht="28.5">
      <c r="A46" s="93">
        <v>11</v>
      </c>
      <c r="B46" s="94" t="str">
        <f>Source!G148</f>
        <v>Погрузочные работы при автомобильных перевозках мусора строительного с погрузкой вручную</v>
      </c>
      <c r="C46" s="95" t="str">
        <f>Source!H148</f>
        <v>1 Т ГРУЗА</v>
      </c>
      <c r="D46" s="96">
        <f>Source!I148</f>
        <v>20</v>
      </c>
      <c r="E46" s="94"/>
    </row>
    <row r="47" spans="1:5" ht="42.75">
      <c r="A47" s="89">
        <v>12</v>
      </c>
      <c r="B47" s="90" t="str">
        <f>Source!G150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C47" s="91" t="str">
        <f>Source!H150</f>
        <v>1 Т ГРУЗА</v>
      </c>
      <c r="D47" s="92">
        <f>Source!I150</f>
        <v>20</v>
      </c>
      <c r="E47" s="90"/>
    </row>
    <row r="50" spans="1:5" ht="15">
      <c r="A50" s="51" t="s">
        <v>481</v>
      </c>
      <c r="B50" s="51"/>
      <c r="C50" s="51" t="s">
        <v>482</v>
      </c>
      <c r="D50" s="51"/>
      <c r="E50" s="51"/>
    </row>
  </sheetData>
  <sheetProtection/>
  <mergeCells count="8">
    <mergeCell ref="A23:E23"/>
    <mergeCell ref="A44:E44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81"/>
  <sheetViews>
    <sheetView zoomScalePageLayoutView="0" workbookViewId="0" topLeftCell="A1">
      <selection activeCell="A277" sqref="A277:AN277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4" spans="1:133" ht="12.75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ht="12.75">
      <c r="A12" s="1">
        <v>1</v>
      </c>
      <c r="B12" s="1">
        <v>275</v>
      </c>
      <c r="C12" s="1">
        <v>0</v>
      </c>
      <c r="D12" s="1">
        <f>ROW(A215)</f>
        <v>215</v>
      </c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3</v>
      </c>
      <c r="AG12" s="1" t="s">
        <v>3</v>
      </c>
      <c r="AH12" s="1" t="s">
        <v>10</v>
      </c>
      <c r="AI12" s="1" t="s">
        <v>11</v>
      </c>
      <c r="AJ12" s="1" t="s">
        <v>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362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B215</f>
        <v>275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текущему ремонту кровли строения 1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O215</f>
        <v>94367.92</v>
      </c>
      <c r="P18" s="3">
        <f t="shared" si="1"/>
        <v>86138.55</v>
      </c>
      <c r="Q18" s="3">
        <f t="shared" si="1"/>
        <v>2054.53</v>
      </c>
      <c r="R18" s="3">
        <f t="shared" si="1"/>
        <v>233.6</v>
      </c>
      <c r="S18" s="3">
        <f t="shared" si="1"/>
        <v>6174.84</v>
      </c>
      <c r="T18" s="3">
        <f t="shared" si="1"/>
        <v>0</v>
      </c>
      <c r="U18" s="3">
        <f t="shared" si="1"/>
        <v>717.04626</v>
      </c>
      <c r="V18" s="3">
        <f t="shared" si="1"/>
        <v>19.107669799999996</v>
      </c>
      <c r="W18" s="3">
        <f t="shared" si="1"/>
        <v>0</v>
      </c>
      <c r="X18" s="3">
        <f t="shared" si="1"/>
        <v>6305.18</v>
      </c>
      <c r="Y18" s="3">
        <f t="shared" si="1"/>
        <v>3283.49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105289.59</v>
      </c>
      <c r="AS18" s="3">
        <f t="shared" si="1"/>
        <v>105289.59</v>
      </c>
      <c r="AT18" s="3">
        <f t="shared" si="1"/>
        <v>0</v>
      </c>
      <c r="AU18" s="3">
        <f aca="true" t="shared" si="2" ref="AU18:BZ18">AU215</f>
        <v>0</v>
      </c>
      <c r="AV18" s="3">
        <f t="shared" si="2"/>
        <v>86138.55</v>
      </c>
      <c r="AW18" s="3">
        <f t="shared" si="2"/>
        <v>86138.55</v>
      </c>
      <c r="AX18" s="3">
        <f t="shared" si="2"/>
        <v>0</v>
      </c>
      <c r="AY18" s="3">
        <f t="shared" si="2"/>
        <v>86138.55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1333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CA215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DG215</f>
        <v>94367.92</v>
      </c>
      <c r="DH18" s="4">
        <f t="shared" si="4"/>
        <v>86138.55</v>
      </c>
      <c r="DI18" s="4">
        <f t="shared" si="4"/>
        <v>2054.53</v>
      </c>
      <c r="DJ18" s="4">
        <f t="shared" si="4"/>
        <v>233.6</v>
      </c>
      <c r="DK18" s="4">
        <f t="shared" si="4"/>
        <v>6174.84</v>
      </c>
      <c r="DL18" s="4">
        <f t="shared" si="4"/>
        <v>0</v>
      </c>
      <c r="DM18" s="4">
        <f t="shared" si="4"/>
        <v>717.04626</v>
      </c>
      <c r="DN18" s="4">
        <f t="shared" si="4"/>
        <v>19.107669799999996</v>
      </c>
      <c r="DO18" s="4">
        <f t="shared" si="4"/>
        <v>0</v>
      </c>
      <c r="DP18" s="4">
        <f t="shared" si="4"/>
        <v>6305.18</v>
      </c>
      <c r="DQ18" s="4">
        <f t="shared" si="4"/>
        <v>3283.49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105289.59</v>
      </c>
      <c r="EK18" s="4">
        <f t="shared" si="4"/>
        <v>105289.59</v>
      </c>
      <c r="EL18" s="4">
        <f t="shared" si="4"/>
        <v>0</v>
      </c>
      <c r="EM18" s="4">
        <f aca="true" t="shared" si="5" ref="EM18:FR18">EM215</f>
        <v>0</v>
      </c>
      <c r="EN18" s="4">
        <f t="shared" si="5"/>
        <v>86138.55</v>
      </c>
      <c r="EO18" s="4">
        <f t="shared" si="5"/>
        <v>86138.55</v>
      </c>
      <c r="EP18" s="4">
        <f t="shared" si="5"/>
        <v>0</v>
      </c>
      <c r="EQ18" s="4">
        <f t="shared" si="5"/>
        <v>86138.55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1333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FS215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ROW(A183)</f>
        <v>183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55457797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B183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O183</f>
        <v>94367.92</v>
      </c>
      <c r="P22" s="3">
        <f t="shared" si="8"/>
        <v>86138.55</v>
      </c>
      <c r="Q22" s="3">
        <f t="shared" si="8"/>
        <v>2054.53</v>
      </c>
      <c r="R22" s="3">
        <f t="shared" si="8"/>
        <v>233.6</v>
      </c>
      <c r="S22" s="3">
        <f t="shared" si="8"/>
        <v>6174.84</v>
      </c>
      <c r="T22" s="3">
        <f t="shared" si="8"/>
        <v>0</v>
      </c>
      <c r="U22" s="3">
        <f t="shared" si="8"/>
        <v>717.04626</v>
      </c>
      <c r="V22" s="3">
        <f t="shared" si="8"/>
        <v>19.107669799999996</v>
      </c>
      <c r="W22" s="3">
        <f t="shared" si="8"/>
        <v>0</v>
      </c>
      <c r="X22" s="3">
        <f t="shared" si="8"/>
        <v>6305.18</v>
      </c>
      <c r="Y22" s="3">
        <f t="shared" si="8"/>
        <v>3283.49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105289.59</v>
      </c>
      <c r="AS22" s="3">
        <f t="shared" si="8"/>
        <v>105289.59</v>
      </c>
      <c r="AT22" s="3">
        <f t="shared" si="8"/>
        <v>0</v>
      </c>
      <c r="AU22" s="3">
        <f aca="true" t="shared" si="9" ref="AU22:BZ22">AU183</f>
        <v>0</v>
      </c>
      <c r="AV22" s="3">
        <f t="shared" si="9"/>
        <v>86138.55</v>
      </c>
      <c r="AW22" s="3">
        <f t="shared" si="9"/>
        <v>86138.55</v>
      </c>
      <c r="AX22" s="3">
        <f t="shared" si="9"/>
        <v>0</v>
      </c>
      <c r="AY22" s="3">
        <f t="shared" si="9"/>
        <v>86138.55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1333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CA183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DG183</f>
        <v>94367.92</v>
      </c>
      <c r="DH22" s="4">
        <f t="shared" si="11"/>
        <v>86138.55</v>
      </c>
      <c r="DI22" s="4">
        <f t="shared" si="11"/>
        <v>2054.53</v>
      </c>
      <c r="DJ22" s="4">
        <f t="shared" si="11"/>
        <v>233.6</v>
      </c>
      <c r="DK22" s="4">
        <f t="shared" si="11"/>
        <v>6174.84</v>
      </c>
      <c r="DL22" s="4">
        <f t="shared" si="11"/>
        <v>0</v>
      </c>
      <c r="DM22" s="4">
        <f t="shared" si="11"/>
        <v>717.04626</v>
      </c>
      <c r="DN22" s="4">
        <f t="shared" si="11"/>
        <v>19.107669799999996</v>
      </c>
      <c r="DO22" s="4">
        <f t="shared" si="11"/>
        <v>0</v>
      </c>
      <c r="DP22" s="4">
        <f t="shared" si="11"/>
        <v>6305.18</v>
      </c>
      <c r="DQ22" s="4">
        <f t="shared" si="11"/>
        <v>3283.49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105289.59</v>
      </c>
      <c r="EK22" s="4">
        <f t="shared" si="11"/>
        <v>105289.59</v>
      </c>
      <c r="EL22" s="4">
        <f t="shared" si="11"/>
        <v>0</v>
      </c>
      <c r="EM22" s="4">
        <f aca="true" t="shared" si="12" ref="EM22:FR22">EM183</f>
        <v>0</v>
      </c>
      <c r="EN22" s="4">
        <f t="shared" si="12"/>
        <v>86138.55</v>
      </c>
      <c r="EO22" s="4">
        <f t="shared" si="12"/>
        <v>86138.55</v>
      </c>
      <c r="EP22" s="4">
        <f t="shared" si="12"/>
        <v>0</v>
      </c>
      <c r="EQ22" s="4">
        <f t="shared" si="12"/>
        <v>86138.55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1333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FS183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ROW(A37)</f>
        <v>37</v>
      </c>
      <c r="E24" s="1"/>
      <c r="F24" s="1" t="s">
        <v>3</v>
      </c>
      <c r="G24" s="1" t="s">
        <v>19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55457797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B37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>
        <f t="shared" si="14"/>
      </c>
      <c r="G26" s="3" t="str">
        <f t="shared" si="14"/>
        <v>Демонтажные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O37</f>
        <v>2638.05</v>
      </c>
      <c r="P26" s="3">
        <f t="shared" si="15"/>
        <v>0</v>
      </c>
      <c r="Q26" s="3">
        <f t="shared" si="15"/>
        <v>590.38</v>
      </c>
      <c r="R26" s="3">
        <f t="shared" si="15"/>
        <v>46.82</v>
      </c>
      <c r="S26" s="3">
        <f t="shared" si="15"/>
        <v>2047.67</v>
      </c>
      <c r="T26" s="3">
        <f t="shared" si="15"/>
        <v>0</v>
      </c>
      <c r="U26" s="3">
        <f t="shared" si="15"/>
        <v>260.783424</v>
      </c>
      <c r="V26" s="3">
        <f t="shared" si="15"/>
        <v>3.4674047999999997</v>
      </c>
      <c r="W26" s="3">
        <f t="shared" si="15"/>
        <v>0</v>
      </c>
      <c r="X26" s="3">
        <f t="shared" si="15"/>
        <v>2077.89</v>
      </c>
      <c r="Y26" s="3">
        <f t="shared" si="15"/>
        <v>1195.54</v>
      </c>
      <c r="Z26" s="3">
        <f t="shared" si="15"/>
        <v>0</v>
      </c>
      <c r="AA26" s="3">
        <f t="shared" si="15"/>
        <v>0</v>
      </c>
      <c r="AB26" s="3">
        <f t="shared" si="15"/>
        <v>2638.05</v>
      </c>
      <c r="AC26" s="3">
        <f t="shared" si="15"/>
        <v>0</v>
      </c>
      <c r="AD26" s="3">
        <f t="shared" si="15"/>
        <v>590.38</v>
      </c>
      <c r="AE26" s="3">
        <f t="shared" si="15"/>
        <v>46.82</v>
      </c>
      <c r="AF26" s="3">
        <f t="shared" si="15"/>
        <v>2047.67</v>
      </c>
      <c r="AG26" s="3">
        <f t="shared" si="15"/>
        <v>0</v>
      </c>
      <c r="AH26" s="3">
        <f t="shared" si="15"/>
        <v>260.783424</v>
      </c>
      <c r="AI26" s="3">
        <f t="shared" si="15"/>
        <v>3.4674047999999997</v>
      </c>
      <c r="AJ26" s="3">
        <f t="shared" si="15"/>
        <v>0</v>
      </c>
      <c r="AK26" s="3">
        <f t="shared" si="15"/>
        <v>2077.89</v>
      </c>
      <c r="AL26" s="3">
        <f t="shared" si="15"/>
        <v>1195.54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5911.48</v>
      </c>
      <c r="AS26" s="3">
        <f t="shared" si="15"/>
        <v>5911.48</v>
      </c>
      <c r="AT26" s="3">
        <f t="shared" si="15"/>
        <v>0</v>
      </c>
      <c r="AU26" s="3">
        <f aca="true" t="shared" si="16" ref="AU26:BZ26">AU37</f>
        <v>0</v>
      </c>
      <c r="AV26" s="3">
        <f t="shared" si="16"/>
        <v>0</v>
      </c>
      <c r="AW26" s="3">
        <f t="shared" si="16"/>
        <v>0</v>
      </c>
      <c r="AX26" s="3">
        <f t="shared" si="16"/>
        <v>0</v>
      </c>
      <c r="AY26" s="3">
        <f t="shared" si="16"/>
        <v>0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CA37</f>
        <v>5911.48</v>
      </c>
      <c r="CB26" s="3">
        <f t="shared" si="17"/>
        <v>5911.48</v>
      </c>
      <c r="CC26" s="3">
        <f t="shared" si="17"/>
        <v>0</v>
      </c>
      <c r="CD26" s="3">
        <f t="shared" si="17"/>
        <v>0</v>
      </c>
      <c r="CE26" s="3">
        <f t="shared" si="17"/>
        <v>0</v>
      </c>
      <c r="CF26" s="3">
        <f t="shared" si="17"/>
        <v>0</v>
      </c>
      <c r="CG26" s="3">
        <f t="shared" si="17"/>
        <v>0</v>
      </c>
      <c r="CH26" s="3">
        <f t="shared" si="17"/>
        <v>0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DG37</f>
        <v>2638.05</v>
      </c>
      <c r="DH26" s="4">
        <f t="shared" si="18"/>
        <v>0</v>
      </c>
      <c r="DI26" s="4">
        <f t="shared" si="18"/>
        <v>590.38</v>
      </c>
      <c r="DJ26" s="4">
        <f t="shared" si="18"/>
        <v>46.82</v>
      </c>
      <c r="DK26" s="4">
        <f t="shared" si="18"/>
        <v>2047.67</v>
      </c>
      <c r="DL26" s="4">
        <f t="shared" si="18"/>
        <v>0</v>
      </c>
      <c r="DM26" s="4">
        <f t="shared" si="18"/>
        <v>260.783424</v>
      </c>
      <c r="DN26" s="4">
        <f t="shared" si="18"/>
        <v>3.4674047999999997</v>
      </c>
      <c r="DO26" s="4">
        <f t="shared" si="18"/>
        <v>0</v>
      </c>
      <c r="DP26" s="4">
        <f t="shared" si="18"/>
        <v>2077.89</v>
      </c>
      <c r="DQ26" s="4">
        <f t="shared" si="18"/>
        <v>1195.54</v>
      </c>
      <c r="DR26" s="4">
        <f t="shared" si="18"/>
        <v>0</v>
      </c>
      <c r="DS26" s="4">
        <f t="shared" si="18"/>
        <v>0</v>
      </c>
      <c r="DT26" s="4">
        <f t="shared" si="18"/>
        <v>2638.05</v>
      </c>
      <c r="DU26" s="4">
        <f t="shared" si="18"/>
        <v>0</v>
      </c>
      <c r="DV26" s="4">
        <f t="shared" si="18"/>
        <v>590.38</v>
      </c>
      <c r="DW26" s="4">
        <f t="shared" si="18"/>
        <v>46.82</v>
      </c>
      <c r="DX26" s="4">
        <f t="shared" si="18"/>
        <v>2047.67</v>
      </c>
      <c r="DY26" s="4">
        <f t="shared" si="18"/>
        <v>0</v>
      </c>
      <c r="DZ26" s="4">
        <f t="shared" si="18"/>
        <v>260.783424</v>
      </c>
      <c r="EA26" s="4">
        <f t="shared" si="18"/>
        <v>3.4674047999999997</v>
      </c>
      <c r="EB26" s="4">
        <f t="shared" si="18"/>
        <v>0</v>
      </c>
      <c r="EC26" s="4">
        <f t="shared" si="18"/>
        <v>2077.89</v>
      </c>
      <c r="ED26" s="4">
        <f t="shared" si="18"/>
        <v>1195.54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5911.48</v>
      </c>
      <c r="EK26" s="4">
        <f t="shared" si="18"/>
        <v>5911.48</v>
      </c>
      <c r="EL26" s="4">
        <f t="shared" si="18"/>
        <v>0</v>
      </c>
      <c r="EM26" s="4">
        <f aca="true" t="shared" si="19" ref="EM26:FR26">EM37</f>
        <v>0</v>
      </c>
      <c r="EN26" s="4">
        <f t="shared" si="19"/>
        <v>0</v>
      </c>
      <c r="EO26" s="4">
        <f t="shared" si="19"/>
        <v>0</v>
      </c>
      <c r="EP26" s="4">
        <f t="shared" si="19"/>
        <v>0</v>
      </c>
      <c r="EQ26" s="4">
        <f t="shared" si="19"/>
        <v>0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FS37</f>
        <v>5911.48</v>
      </c>
      <c r="FT26" s="4">
        <f t="shared" si="20"/>
        <v>5911.48</v>
      </c>
      <c r="FU26" s="4">
        <f t="shared" si="20"/>
        <v>0</v>
      </c>
      <c r="FV26" s="4">
        <f t="shared" si="20"/>
        <v>0</v>
      </c>
      <c r="FW26" s="4">
        <f t="shared" si="20"/>
        <v>0</v>
      </c>
      <c r="FX26" s="4">
        <f t="shared" si="20"/>
        <v>0</v>
      </c>
      <c r="FY26" s="4">
        <f t="shared" si="20"/>
        <v>0</v>
      </c>
      <c r="FZ26" s="4">
        <f t="shared" si="20"/>
        <v>0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20</v>
      </c>
      <c r="F28" s="2" t="s">
        <v>21</v>
      </c>
      <c r="G28" s="2" t="s">
        <v>22</v>
      </c>
      <c r="H28" s="2" t="s">
        <v>23</v>
      </c>
      <c r="I28" s="2">
        <f>ROUND(1137.6/100,7)</f>
        <v>11.376</v>
      </c>
      <c r="J28" s="2">
        <v>0</v>
      </c>
      <c r="K28" s="2">
        <f>ROUND(1137.6/100,7)</f>
        <v>11.376</v>
      </c>
      <c r="L28" s="2"/>
      <c r="M28" s="2"/>
      <c r="N28" s="2"/>
      <c r="O28" s="2">
        <f aca="true" t="shared" si="21" ref="O28:O35">ROUND(CP28,2)</f>
        <v>1747.24</v>
      </c>
      <c r="P28" s="2">
        <f aca="true" t="shared" si="22" ref="P28:P35">ROUND(CQ28*I28,2)</f>
        <v>0</v>
      </c>
      <c r="Q28" s="2">
        <f aca="true" t="shared" si="23" ref="Q28:Q35">ROUND(CR28*I28,2)</f>
        <v>471.31</v>
      </c>
      <c r="R28" s="2">
        <f aca="true" t="shared" si="24" ref="R28:R35">ROUND(CS28*I28,2)</f>
        <v>0</v>
      </c>
      <c r="S28" s="2">
        <f aca="true" t="shared" si="25" ref="S28:S35">ROUND(CT28*I28,2)</f>
        <v>1275.93</v>
      </c>
      <c r="T28" s="2">
        <f aca="true" t="shared" si="26" ref="T28:T35">ROUND(CU28*I28,2)</f>
        <v>0</v>
      </c>
      <c r="U28" s="2">
        <f aca="true" t="shared" si="27" ref="U28:U35">CV28*I28</f>
        <v>163.58688</v>
      </c>
      <c r="V28" s="2">
        <f aca="true" t="shared" si="28" ref="V28:V35">CW28*I28</f>
        <v>0</v>
      </c>
      <c r="W28" s="2">
        <f aca="true" t="shared" si="29" ref="W28:W35">ROUND(CX28*I28,2)</f>
        <v>0</v>
      </c>
      <c r="X28" s="2">
        <f aca="true" t="shared" si="30" ref="X28:Y35">ROUND(CY28,2)</f>
        <v>1161.1</v>
      </c>
      <c r="Y28" s="2">
        <f t="shared" si="30"/>
        <v>663.48</v>
      </c>
      <c r="Z28" s="2"/>
      <c r="AA28" s="2">
        <v>55457795</v>
      </c>
      <c r="AB28" s="2">
        <f aca="true" t="shared" si="31" ref="AB28:AB35">ROUND((AC28+AD28+AF28),2)</f>
        <v>153.59</v>
      </c>
      <c r="AC28" s="2">
        <f>ROUND((ES28),2)</f>
        <v>0</v>
      </c>
      <c r="AD28" s="2">
        <f>ROUND((((ET28)-(EU28))+AE28),2)</f>
        <v>41.43</v>
      </c>
      <c r="AE28" s="2">
        <f>ROUND((EU28),2)</f>
        <v>0</v>
      </c>
      <c r="AF28" s="2">
        <f>ROUND((EV28),2)</f>
        <v>112.16</v>
      </c>
      <c r="AG28" s="2">
        <f aca="true" t="shared" si="32" ref="AG28:AG35">ROUND((AP28),2)</f>
        <v>0</v>
      </c>
      <c r="AH28" s="2">
        <f>(EW28)</f>
        <v>14.38</v>
      </c>
      <c r="AI28" s="2">
        <f>(EX28)</f>
        <v>0</v>
      </c>
      <c r="AJ28" s="2">
        <f aca="true" t="shared" si="33" ref="AJ28:AJ35">(AS28)</f>
        <v>0</v>
      </c>
      <c r="AK28" s="2">
        <v>153.59</v>
      </c>
      <c r="AL28" s="2">
        <v>0</v>
      </c>
      <c r="AM28" s="2">
        <v>41.43</v>
      </c>
      <c r="AN28" s="2">
        <v>0</v>
      </c>
      <c r="AO28" s="2">
        <v>112.16</v>
      </c>
      <c r="AP28" s="2">
        <v>0</v>
      </c>
      <c r="AQ28" s="2">
        <v>14.38</v>
      </c>
      <c r="AR28" s="2">
        <v>0</v>
      </c>
      <c r="AS28" s="2">
        <v>0</v>
      </c>
      <c r="AT28" s="2">
        <v>91</v>
      </c>
      <c r="AU28" s="2">
        <v>52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24</v>
      </c>
      <c r="BK28" s="2"/>
      <c r="BL28" s="2"/>
      <c r="BM28" s="2">
        <v>46001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91</v>
      </c>
      <c r="CA28" s="2">
        <v>52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4" ref="CP28:CP35">(P28+Q28+S28)</f>
        <v>1747.24</v>
      </c>
      <c r="CQ28" s="2">
        <f aca="true" t="shared" si="35" ref="CQ28:CQ35">AC28*BC28</f>
        <v>0</v>
      </c>
      <c r="CR28" s="2">
        <f aca="true" t="shared" si="36" ref="CR28:CR35">AD28*BB28</f>
        <v>41.43</v>
      </c>
      <c r="CS28" s="2">
        <f aca="true" t="shared" si="37" ref="CS28:CX35">AE28</f>
        <v>0</v>
      </c>
      <c r="CT28" s="2">
        <f t="shared" si="37"/>
        <v>112.16</v>
      </c>
      <c r="CU28" s="2">
        <f t="shared" si="37"/>
        <v>0</v>
      </c>
      <c r="CV28" s="2">
        <f t="shared" si="37"/>
        <v>14.38</v>
      </c>
      <c r="CW28" s="2">
        <f t="shared" si="37"/>
        <v>0</v>
      </c>
      <c r="CX28" s="2">
        <f t="shared" si="37"/>
        <v>0</v>
      </c>
      <c r="CY28" s="2">
        <f aca="true" t="shared" si="38" ref="CY28:CY35">(((S28+R28)*AT28)/100)</f>
        <v>1161.0963000000002</v>
      </c>
      <c r="CZ28" s="2">
        <f aca="true" t="shared" si="39" ref="CZ28:CZ35">(((S28+R28)*AU28)/100)</f>
        <v>663.4836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23</v>
      </c>
      <c r="DW28" s="2" t="s">
        <v>23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55402677</v>
      </c>
      <c r="EF28" s="2">
        <v>2</v>
      </c>
      <c r="EG28" s="2" t="s">
        <v>25</v>
      </c>
      <c r="EH28" s="2">
        <v>40</v>
      </c>
      <c r="EI28" s="2" t="s">
        <v>26</v>
      </c>
      <c r="EJ28" s="2">
        <v>1</v>
      </c>
      <c r="EK28" s="2">
        <v>46001</v>
      </c>
      <c r="EL28" s="2" t="s">
        <v>27</v>
      </c>
      <c r="EM28" s="2" t="s">
        <v>28</v>
      </c>
      <c r="EN28" s="2"/>
      <c r="EO28" s="2" t="s">
        <v>3</v>
      </c>
      <c r="EP28" s="2"/>
      <c r="EQ28" s="2">
        <v>0</v>
      </c>
      <c r="ER28" s="2">
        <v>153.59</v>
      </c>
      <c r="ES28" s="2">
        <v>0</v>
      </c>
      <c r="ET28" s="2">
        <v>41.43</v>
      </c>
      <c r="EU28" s="2">
        <v>0</v>
      </c>
      <c r="EV28" s="2">
        <v>112.16</v>
      </c>
      <c r="EW28" s="2">
        <v>14.38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0" ref="FR28:FR35">ROUND(IF(AND(BH28=3,BI28=3),P28,0),2)</f>
        <v>0</v>
      </c>
      <c r="FS28" s="2">
        <v>0</v>
      </c>
      <c r="FT28" s="2"/>
      <c r="FU28" s="2"/>
      <c r="FV28" s="2"/>
      <c r="FW28" s="2"/>
      <c r="FX28" s="2">
        <v>91</v>
      </c>
      <c r="FY28" s="2">
        <v>52</v>
      </c>
      <c r="FZ28" s="2"/>
      <c r="GA28" s="2" t="s">
        <v>3</v>
      </c>
      <c r="GB28" s="2"/>
      <c r="GC28" s="2"/>
      <c r="GD28" s="2">
        <v>1</v>
      </c>
      <c r="GE28" s="2"/>
      <c r="GF28" s="2">
        <v>1518155157</v>
      </c>
      <c r="GG28" s="2">
        <v>2</v>
      </c>
      <c r="GH28" s="2">
        <v>2</v>
      </c>
      <c r="GI28" s="2">
        <v>-2</v>
      </c>
      <c r="GJ28" s="2">
        <v>0</v>
      </c>
      <c r="GK28" s="2">
        <v>0</v>
      </c>
      <c r="GL28" s="2">
        <f aca="true" t="shared" si="41" ref="GL28:GL35">ROUND(IF(AND(BH28=3,BI28=3,FS28&lt;&gt;0),P28,0),2)</f>
        <v>0</v>
      </c>
      <c r="GM28" s="2">
        <f aca="true" t="shared" si="42" ref="GM28:GM35">ROUND(O28+X28+Y28,2)+GX28</f>
        <v>3571.82</v>
      </c>
      <c r="GN28" s="2">
        <f aca="true" t="shared" si="43" ref="GN28:GN35">IF(OR(BI28=0,BI28=1),ROUND(O28+X28+Y28,2),0)</f>
        <v>3571.82</v>
      </c>
      <c r="GO28" s="2">
        <f aca="true" t="shared" si="44" ref="GO28:GO35">IF(BI28=2,ROUND(O28+X28+Y28,2),0)</f>
        <v>0</v>
      </c>
      <c r="GP28" s="2">
        <f aca="true" t="shared" si="45" ref="GP28:GP35">IF(BI28=4,ROUND(O28+X28+Y28,2)+GX28,0)</f>
        <v>0</v>
      </c>
      <c r="GQ28" s="2"/>
      <c r="GR28" s="2">
        <v>0</v>
      </c>
      <c r="GS28" s="2">
        <v>0</v>
      </c>
      <c r="GT28" s="2">
        <v>0</v>
      </c>
      <c r="GU28" s="2" t="s">
        <v>3</v>
      </c>
      <c r="GV28" s="2">
        <f aca="true" t="shared" si="46" ref="GV28:GV35">ROUND((GT28),2)</f>
        <v>0</v>
      </c>
      <c r="GW28" s="2">
        <v>1</v>
      </c>
      <c r="GX28" s="2">
        <f aca="true" t="shared" si="47" ref="GX28:GX35">ROUND(HC28*I28,2)</f>
        <v>0</v>
      </c>
      <c r="GY28" s="2"/>
      <c r="GZ28" s="2"/>
      <c r="HA28" s="2">
        <v>0</v>
      </c>
      <c r="HB28" s="2">
        <v>0</v>
      </c>
      <c r="HC28" s="2">
        <f aca="true" t="shared" si="48" ref="HC28:HC35">GV28*GW28</f>
        <v>0</v>
      </c>
      <c r="HD28" s="2"/>
      <c r="HE28" s="2" t="s">
        <v>3</v>
      </c>
      <c r="HF28" s="2" t="s">
        <v>3</v>
      </c>
      <c r="HG28" s="2"/>
      <c r="HH28" s="2"/>
      <c r="HI28" s="2">
        <f aca="true" t="shared" si="49" ref="HI28:HI35">ROUND(R28*BS28,2)</f>
        <v>0</v>
      </c>
      <c r="HJ28" s="2">
        <f aca="true" t="shared" si="50" ref="HJ28:HJ35">ROUND(S28*BA28,2)</f>
        <v>1275.93</v>
      </c>
      <c r="HK28" s="2">
        <f aca="true" t="shared" si="51" ref="HK28:HK35">ROUND((((HJ28+HI28)*AT28)/100),2)</f>
        <v>1161.1</v>
      </c>
      <c r="HL28" s="2">
        <f aca="true" t="shared" si="52" ref="HL28:HL35">ROUND((((HJ28+HI28)*AU28)/100),2)</f>
        <v>663.48</v>
      </c>
      <c r="HM28" s="2" t="s">
        <v>3</v>
      </c>
      <c r="HN28" s="2" t="s">
        <v>29</v>
      </c>
      <c r="HO28" s="2" t="s">
        <v>30</v>
      </c>
      <c r="HP28" s="2" t="s">
        <v>27</v>
      </c>
      <c r="HQ28" s="2" t="s">
        <v>27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20</v>
      </c>
      <c r="F29" t="s">
        <v>21</v>
      </c>
      <c r="G29" t="s">
        <v>22</v>
      </c>
      <c r="H29" t="s">
        <v>23</v>
      </c>
      <c r="I29">
        <f>ROUND(1137.6/100,7)</f>
        <v>11.376</v>
      </c>
      <c r="J29">
        <v>0</v>
      </c>
      <c r="K29">
        <f>ROUND(1137.6/100,7)</f>
        <v>11.376</v>
      </c>
      <c r="O29">
        <f t="shared" si="21"/>
        <v>1747.24</v>
      </c>
      <c r="P29">
        <f t="shared" si="22"/>
        <v>0</v>
      </c>
      <c r="Q29">
        <f t="shared" si="23"/>
        <v>471.31</v>
      </c>
      <c r="R29">
        <f t="shared" si="24"/>
        <v>0</v>
      </c>
      <c r="S29">
        <f t="shared" si="25"/>
        <v>1275.93</v>
      </c>
      <c r="T29">
        <f t="shared" si="26"/>
        <v>0</v>
      </c>
      <c r="U29">
        <f t="shared" si="27"/>
        <v>163.58688</v>
      </c>
      <c r="V29">
        <f t="shared" si="28"/>
        <v>0</v>
      </c>
      <c r="W29">
        <f t="shared" si="29"/>
        <v>0</v>
      </c>
      <c r="X29">
        <f t="shared" si="30"/>
        <v>1161.1</v>
      </c>
      <c r="Y29">
        <f t="shared" si="30"/>
        <v>663.48</v>
      </c>
      <c r="AA29">
        <v>55457796</v>
      </c>
      <c r="AB29">
        <f t="shared" si="31"/>
        <v>153.59</v>
      </c>
      <c r="AC29">
        <f>ROUND((ES29),2)</f>
        <v>0</v>
      </c>
      <c r="AD29">
        <f>ROUND((((ET29)-(EU29))+AE29),2)</f>
        <v>41.43</v>
      </c>
      <c r="AE29">
        <f>ROUND((EU29),2)</f>
        <v>0</v>
      </c>
      <c r="AF29">
        <f>ROUND((EV29),2)</f>
        <v>112.16</v>
      </c>
      <c r="AG29">
        <f t="shared" si="32"/>
        <v>0</v>
      </c>
      <c r="AH29">
        <f>(EW29)</f>
        <v>14.38</v>
      </c>
      <c r="AI29">
        <f>(EX29)</f>
        <v>0</v>
      </c>
      <c r="AJ29">
        <f t="shared" si="33"/>
        <v>0</v>
      </c>
      <c r="AK29">
        <v>153.59</v>
      </c>
      <c r="AL29">
        <v>0</v>
      </c>
      <c r="AM29">
        <v>41.43</v>
      </c>
      <c r="AN29">
        <v>0</v>
      </c>
      <c r="AO29">
        <v>112.16</v>
      </c>
      <c r="AP29">
        <v>0</v>
      </c>
      <c r="AQ29">
        <v>14.38</v>
      </c>
      <c r="AR29">
        <v>0</v>
      </c>
      <c r="AS29">
        <v>0</v>
      </c>
      <c r="AT29">
        <v>91</v>
      </c>
      <c r="AU29">
        <v>52</v>
      </c>
      <c r="AV29">
        <v>1</v>
      </c>
      <c r="AW29">
        <v>1</v>
      </c>
      <c r="AZ29">
        <v>1</v>
      </c>
      <c r="BA29">
        <v>36.47</v>
      </c>
      <c r="BB29">
        <v>1</v>
      </c>
      <c r="BC29">
        <v>1</v>
      </c>
      <c r="BH29">
        <v>0</v>
      </c>
      <c r="BI29">
        <v>1</v>
      </c>
      <c r="BJ29" t="s">
        <v>24</v>
      </c>
      <c r="BM29">
        <v>46001</v>
      </c>
      <c r="BN29">
        <v>0</v>
      </c>
      <c r="BO29" t="s">
        <v>31</v>
      </c>
      <c r="BP29">
        <v>1</v>
      </c>
      <c r="BQ29">
        <v>2</v>
      </c>
      <c r="BR29">
        <v>0</v>
      </c>
      <c r="BS29">
        <v>36.47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91</v>
      </c>
      <c r="CA29">
        <v>52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4"/>
        <v>1747.24</v>
      </c>
      <c r="CQ29">
        <f t="shared" si="35"/>
        <v>0</v>
      </c>
      <c r="CR29">
        <f t="shared" si="36"/>
        <v>41.43</v>
      </c>
      <c r="CS29">
        <f t="shared" si="37"/>
        <v>0</v>
      </c>
      <c r="CT29">
        <f t="shared" si="37"/>
        <v>112.16</v>
      </c>
      <c r="CU29">
        <f t="shared" si="37"/>
        <v>0</v>
      </c>
      <c r="CV29">
        <f t="shared" si="37"/>
        <v>14.38</v>
      </c>
      <c r="CW29">
        <f t="shared" si="37"/>
        <v>0</v>
      </c>
      <c r="CX29">
        <f t="shared" si="37"/>
        <v>0</v>
      </c>
      <c r="CY29">
        <f t="shared" si="38"/>
        <v>1161.0963000000002</v>
      </c>
      <c r="CZ29">
        <f t="shared" si="39"/>
        <v>663.4836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23</v>
      </c>
      <c r="DW29" t="s">
        <v>23</v>
      </c>
      <c r="DX29">
        <v>100</v>
      </c>
      <c r="EE29">
        <v>55402677</v>
      </c>
      <c r="EF29">
        <v>2</v>
      </c>
      <c r="EG29" t="s">
        <v>25</v>
      </c>
      <c r="EH29">
        <v>40</v>
      </c>
      <c r="EI29" t="s">
        <v>26</v>
      </c>
      <c r="EJ29">
        <v>1</v>
      </c>
      <c r="EK29">
        <v>46001</v>
      </c>
      <c r="EL29" t="s">
        <v>27</v>
      </c>
      <c r="EM29" t="s">
        <v>28</v>
      </c>
      <c r="EQ29">
        <v>0</v>
      </c>
      <c r="ER29">
        <v>153.59</v>
      </c>
      <c r="ES29">
        <v>0</v>
      </c>
      <c r="ET29">
        <v>41.43</v>
      </c>
      <c r="EU29">
        <v>0</v>
      </c>
      <c r="EV29">
        <v>112.16</v>
      </c>
      <c r="EW29">
        <v>14.38</v>
      </c>
      <c r="EX29">
        <v>0</v>
      </c>
      <c r="EY29">
        <v>0</v>
      </c>
      <c r="FQ29">
        <v>0</v>
      </c>
      <c r="FR29">
        <f t="shared" si="40"/>
        <v>0</v>
      </c>
      <c r="FS29">
        <v>0</v>
      </c>
      <c r="FX29">
        <v>91</v>
      </c>
      <c r="FY29">
        <v>52</v>
      </c>
      <c r="GD29">
        <v>1</v>
      </c>
      <c r="GF29">
        <v>1518155157</v>
      </c>
      <c r="GG29">
        <v>2</v>
      </c>
      <c r="GH29">
        <v>2</v>
      </c>
      <c r="GI29">
        <v>4</v>
      </c>
      <c r="GJ29">
        <v>0</v>
      </c>
      <c r="GK29">
        <v>0</v>
      </c>
      <c r="GL29">
        <f t="shared" si="41"/>
        <v>0</v>
      </c>
      <c r="GM29">
        <f t="shared" si="42"/>
        <v>3571.82</v>
      </c>
      <c r="GN29">
        <f t="shared" si="43"/>
        <v>3571.82</v>
      </c>
      <c r="GO29">
        <f t="shared" si="44"/>
        <v>0</v>
      </c>
      <c r="GP29">
        <f t="shared" si="45"/>
        <v>0</v>
      </c>
      <c r="GR29">
        <v>0</v>
      </c>
      <c r="GS29">
        <v>0</v>
      </c>
      <c r="GT29">
        <v>0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HC29">
        <f t="shared" si="48"/>
        <v>0</v>
      </c>
      <c r="HI29">
        <f t="shared" si="49"/>
        <v>0</v>
      </c>
      <c r="HJ29">
        <f t="shared" si="50"/>
        <v>46533.17</v>
      </c>
      <c r="HK29">
        <f t="shared" si="51"/>
        <v>42345.18</v>
      </c>
      <c r="HL29">
        <f t="shared" si="52"/>
        <v>24197.25</v>
      </c>
      <c r="HN29" t="s">
        <v>29</v>
      </c>
      <c r="HO29" t="s">
        <v>30</v>
      </c>
      <c r="HP29" t="s">
        <v>27</v>
      </c>
      <c r="HQ29" t="s">
        <v>27</v>
      </c>
      <c r="IK29">
        <v>0</v>
      </c>
    </row>
    <row r="30" spans="1:255" ht="12.75">
      <c r="A30" s="2">
        <v>17</v>
      </c>
      <c r="B30" s="2">
        <v>1</v>
      </c>
      <c r="C30" s="2">
        <f>ROW(SmtRes!A10)</f>
        <v>10</v>
      </c>
      <c r="D30" s="2">
        <f>ROW(EtalonRes!A10)</f>
        <v>10</v>
      </c>
      <c r="E30" s="2" t="s">
        <v>32</v>
      </c>
      <c r="F30" s="2" t="s">
        <v>33</v>
      </c>
      <c r="G30" s="2" t="s">
        <v>34</v>
      </c>
      <c r="H30" s="2" t="s">
        <v>23</v>
      </c>
      <c r="I30" s="2">
        <f>ROUND(341.28/100,7)</f>
        <v>3.4128</v>
      </c>
      <c r="J30" s="2">
        <v>0</v>
      </c>
      <c r="K30" s="2">
        <f>ROUND(341.28/100,7)</f>
        <v>3.4128</v>
      </c>
      <c r="L30" s="2"/>
      <c r="M30" s="2"/>
      <c r="N30" s="2"/>
      <c r="O30" s="2">
        <f t="shared" si="21"/>
        <v>890.81</v>
      </c>
      <c r="P30" s="2">
        <f t="shared" si="22"/>
        <v>0</v>
      </c>
      <c r="Q30" s="2">
        <f t="shared" si="23"/>
        <v>119.07</v>
      </c>
      <c r="R30" s="2">
        <f t="shared" si="24"/>
        <v>46.82</v>
      </c>
      <c r="S30" s="2">
        <f t="shared" si="25"/>
        <v>771.74</v>
      </c>
      <c r="T30" s="2">
        <f t="shared" si="26"/>
        <v>0</v>
      </c>
      <c r="U30" s="2">
        <f t="shared" si="27"/>
        <v>97.196544</v>
      </c>
      <c r="V30" s="2">
        <f t="shared" si="28"/>
        <v>3.4674047999999997</v>
      </c>
      <c r="W30" s="2">
        <f t="shared" si="29"/>
        <v>0</v>
      </c>
      <c r="X30" s="2">
        <f t="shared" si="30"/>
        <v>916.79</v>
      </c>
      <c r="Y30" s="2">
        <f t="shared" si="30"/>
        <v>532.06</v>
      </c>
      <c r="Z30" s="2"/>
      <c r="AA30" s="2">
        <v>55457795</v>
      </c>
      <c r="AB30" s="2">
        <f t="shared" si="31"/>
        <v>261.02</v>
      </c>
      <c r="AC30" s="2">
        <f>ROUND(((ES30*ROUND(0,7))),2)</f>
        <v>0</v>
      </c>
      <c r="AD30" s="2">
        <f>ROUND(((((ET30*ROUND(0.8,7)))-((EU30*ROUND(0.8,7))))+AE30),2)</f>
        <v>34.89</v>
      </c>
      <c r="AE30" s="2">
        <f>ROUND(((EU30*ROUND(0.8,7))),2)</f>
        <v>13.72</v>
      </c>
      <c r="AF30" s="2">
        <f>ROUND(((EV30*ROUND(0.8,7))),2)</f>
        <v>226.13</v>
      </c>
      <c r="AG30" s="2">
        <f t="shared" si="32"/>
        <v>0</v>
      </c>
      <c r="AH30" s="2">
        <f>((EW30*ROUND(0.8,7)))</f>
        <v>28.480000000000004</v>
      </c>
      <c r="AI30" s="2">
        <f>((EX30*ROUND(0.8,7)))</f>
        <v>1.016</v>
      </c>
      <c r="AJ30" s="2">
        <f t="shared" si="33"/>
        <v>0</v>
      </c>
      <c r="AK30" s="2">
        <v>334.81</v>
      </c>
      <c r="AL30" s="2">
        <v>8.54</v>
      </c>
      <c r="AM30" s="2">
        <v>43.61</v>
      </c>
      <c r="AN30" s="2">
        <v>17.15</v>
      </c>
      <c r="AO30" s="2">
        <v>282.66</v>
      </c>
      <c r="AP30" s="2">
        <v>0</v>
      </c>
      <c r="AQ30" s="2">
        <v>35.6</v>
      </c>
      <c r="AR30" s="2">
        <v>1.27</v>
      </c>
      <c r="AS30" s="2">
        <v>0</v>
      </c>
      <c r="AT30" s="2">
        <v>112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35</v>
      </c>
      <c r="BK30" s="2"/>
      <c r="BL30" s="2"/>
      <c r="BM30" s="2">
        <v>11001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112</v>
      </c>
      <c r="CA30" s="2">
        <v>65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36</v>
      </c>
      <c r="CO30" s="2">
        <v>0</v>
      </c>
      <c r="CP30" s="2">
        <f t="shared" si="34"/>
        <v>890.81</v>
      </c>
      <c r="CQ30" s="2">
        <f t="shared" si="35"/>
        <v>0</v>
      </c>
      <c r="CR30" s="2">
        <f t="shared" si="36"/>
        <v>34.89</v>
      </c>
      <c r="CS30" s="2">
        <f t="shared" si="37"/>
        <v>13.72</v>
      </c>
      <c r="CT30" s="2">
        <f t="shared" si="37"/>
        <v>226.13</v>
      </c>
      <c r="CU30" s="2">
        <f t="shared" si="37"/>
        <v>0</v>
      </c>
      <c r="CV30" s="2">
        <f t="shared" si="37"/>
        <v>28.480000000000004</v>
      </c>
      <c r="CW30" s="2">
        <f t="shared" si="37"/>
        <v>1.016</v>
      </c>
      <c r="CX30" s="2">
        <f t="shared" si="37"/>
        <v>0</v>
      </c>
      <c r="CY30" s="2">
        <f t="shared" si="38"/>
        <v>916.7872</v>
      </c>
      <c r="CZ30" s="2">
        <f t="shared" si="39"/>
        <v>532.064</v>
      </c>
      <c r="DA30" s="2"/>
      <c r="DB30" s="2"/>
      <c r="DC30" s="2" t="s">
        <v>3</v>
      </c>
      <c r="DD30" s="2" t="s">
        <v>37</v>
      </c>
      <c r="DE30" s="2" t="s">
        <v>38</v>
      </c>
      <c r="DF30" s="2" t="s">
        <v>38</v>
      </c>
      <c r="DG30" s="2" t="s">
        <v>38</v>
      </c>
      <c r="DH30" s="2" t="s">
        <v>3</v>
      </c>
      <c r="DI30" s="2" t="s">
        <v>38</v>
      </c>
      <c r="DJ30" s="2" t="s">
        <v>38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23</v>
      </c>
      <c r="DW30" s="2" t="s">
        <v>23</v>
      </c>
      <c r="DX30" s="2">
        <v>100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55402611</v>
      </c>
      <c r="EF30" s="2">
        <v>2</v>
      </c>
      <c r="EG30" s="2" t="s">
        <v>25</v>
      </c>
      <c r="EH30" s="2">
        <v>11</v>
      </c>
      <c r="EI30" s="2" t="s">
        <v>39</v>
      </c>
      <c r="EJ30" s="2">
        <v>1</v>
      </c>
      <c r="EK30" s="2">
        <v>11001</v>
      </c>
      <c r="EL30" s="2" t="s">
        <v>39</v>
      </c>
      <c r="EM30" s="2" t="s">
        <v>40</v>
      </c>
      <c r="EN30" s="2"/>
      <c r="EO30" s="2" t="s">
        <v>41</v>
      </c>
      <c r="EP30" s="2"/>
      <c r="EQ30" s="2">
        <v>0</v>
      </c>
      <c r="ER30" s="2">
        <v>334.81</v>
      </c>
      <c r="ES30" s="2">
        <v>8.54</v>
      </c>
      <c r="ET30" s="2">
        <v>43.61</v>
      </c>
      <c r="EU30" s="2">
        <v>17.15</v>
      </c>
      <c r="EV30" s="2">
        <v>282.66</v>
      </c>
      <c r="EW30" s="2">
        <v>35.6</v>
      </c>
      <c r="EX30" s="2">
        <v>1.27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112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509874768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1"/>
        <v>0</v>
      </c>
      <c r="GM30" s="2">
        <f t="shared" si="42"/>
        <v>2339.66</v>
      </c>
      <c r="GN30" s="2">
        <f t="shared" si="43"/>
        <v>2339.66</v>
      </c>
      <c r="GO30" s="2">
        <f t="shared" si="44"/>
        <v>0</v>
      </c>
      <c r="GP30" s="2">
        <f t="shared" si="45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>
        <f t="shared" si="48"/>
        <v>0</v>
      </c>
      <c r="HD30" s="2"/>
      <c r="HE30" s="2" t="s">
        <v>3</v>
      </c>
      <c r="HF30" s="2" t="s">
        <v>3</v>
      </c>
      <c r="HG30" s="2"/>
      <c r="HH30" s="2"/>
      <c r="HI30" s="2">
        <f t="shared" si="49"/>
        <v>46.82</v>
      </c>
      <c r="HJ30" s="2">
        <f t="shared" si="50"/>
        <v>771.74</v>
      </c>
      <c r="HK30" s="2">
        <f t="shared" si="51"/>
        <v>916.79</v>
      </c>
      <c r="HL30" s="2">
        <f t="shared" si="52"/>
        <v>532.06</v>
      </c>
      <c r="HM30" s="2" t="s">
        <v>3</v>
      </c>
      <c r="HN30" s="2" t="s">
        <v>42</v>
      </c>
      <c r="HO30" s="2" t="s">
        <v>43</v>
      </c>
      <c r="HP30" s="2" t="s">
        <v>39</v>
      </c>
      <c r="HQ30" s="2" t="s">
        <v>39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ROW(SmtRes!A16)</f>
        <v>16</v>
      </c>
      <c r="D31">
        <f>ROW(EtalonRes!A16)</f>
        <v>16</v>
      </c>
      <c r="E31" t="s">
        <v>32</v>
      </c>
      <c r="F31" t="s">
        <v>33</v>
      </c>
      <c r="G31" t="s">
        <v>34</v>
      </c>
      <c r="H31" t="s">
        <v>23</v>
      </c>
      <c r="I31">
        <f>ROUND(341.28/100,7)</f>
        <v>3.4128</v>
      </c>
      <c r="J31">
        <v>0</v>
      </c>
      <c r="K31">
        <f>ROUND(341.28/100,7)</f>
        <v>3.4128</v>
      </c>
      <c r="O31">
        <f t="shared" si="21"/>
        <v>890.81</v>
      </c>
      <c r="P31">
        <f t="shared" si="22"/>
        <v>0</v>
      </c>
      <c r="Q31">
        <f t="shared" si="23"/>
        <v>119.07</v>
      </c>
      <c r="R31">
        <f t="shared" si="24"/>
        <v>46.82</v>
      </c>
      <c r="S31">
        <f t="shared" si="25"/>
        <v>771.74</v>
      </c>
      <c r="T31">
        <f t="shared" si="26"/>
        <v>0</v>
      </c>
      <c r="U31">
        <f t="shared" si="27"/>
        <v>97.196544</v>
      </c>
      <c r="V31">
        <f t="shared" si="28"/>
        <v>3.4674047999999997</v>
      </c>
      <c r="W31">
        <f t="shared" si="29"/>
        <v>0</v>
      </c>
      <c r="X31">
        <f t="shared" si="30"/>
        <v>916.79</v>
      </c>
      <c r="Y31">
        <f t="shared" si="30"/>
        <v>532.06</v>
      </c>
      <c r="AA31">
        <v>55457796</v>
      </c>
      <c r="AB31">
        <f t="shared" si="31"/>
        <v>261.02</v>
      </c>
      <c r="AC31">
        <f>ROUND(((ES31*ROUND(0,7))),2)</f>
        <v>0</v>
      </c>
      <c r="AD31">
        <f>ROUND(((((ET31*ROUND(0.8,7)))-((EU31*ROUND(0.8,7))))+AE31),2)</f>
        <v>34.89</v>
      </c>
      <c r="AE31">
        <f>ROUND(((EU31*ROUND(0.8,7))),2)</f>
        <v>13.72</v>
      </c>
      <c r="AF31">
        <f>ROUND(((EV31*ROUND(0.8,7))),2)</f>
        <v>226.13</v>
      </c>
      <c r="AG31">
        <f t="shared" si="32"/>
        <v>0</v>
      </c>
      <c r="AH31">
        <f>((EW31*ROUND(0.8,7)))</f>
        <v>28.480000000000004</v>
      </c>
      <c r="AI31">
        <f>((EX31*ROUND(0.8,7)))</f>
        <v>1.016</v>
      </c>
      <c r="AJ31">
        <f t="shared" si="33"/>
        <v>0</v>
      </c>
      <c r="AK31">
        <v>334.81</v>
      </c>
      <c r="AL31">
        <v>8.54</v>
      </c>
      <c r="AM31">
        <v>43.61</v>
      </c>
      <c r="AN31">
        <v>17.15</v>
      </c>
      <c r="AO31">
        <v>282.66</v>
      </c>
      <c r="AP31">
        <v>0</v>
      </c>
      <c r="AQ31">
        <v>35.6</v>
      </c>
      <c r="AR31">
        <v>1.27</v>
      </c>
      <c r="AS31">
        <v>0</v>
      </c>
      <c r="AT31">
        <v>112</v>
      </c>
      <c r="AU31">
        <v>65</v>
      </c>
      <c r="AV31">
        <v>1</v>
      </c>
      <c r="AW31">
        <v>1</v>
      </c>
      <c r="AZ31">
        <v>1</v>
      </c>
      <c r="BA31">
        <v>36.47</v>
      </c>
      <c r="BB31">
        <v>1</v>
      </c>
      <c r="BC31">
        <v>1</v>
      </c>
      <c r="BH31">
        <v>0</v>
      </c>
      <c r="BI31">
        <v>1</v>
      </c>
      <c r="BJ31" t="s">
        <v>35</v>
      </c>
      <c r="BM31">
        <v>11001</v>
      </c>
      <c r="BN31">
        <v>0</v>
      </c>
      <c r="BO31" t="s">
        <v>31</v>
      </c>
      <c r="BP31">
        <v>1</v>
      </c>
      <c r="BQ31">
        <v>2</v>
      </c>
      <c r="BR31">
        <v>0</v>
      </c>
      <c r="BS31">
        <v>36.47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112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36</v>
      </c>
      <c r="CO31">
        <v>0</v>
      </c>
      <c r="CP31">
        <f t="shared" si="34"/>
        <v>890.81</v>
      </c>
      <c r="CQ31">
        <f t="shared" si="35"/>
        <v>0</v>
      </c>
      <c r="CR31">
        <f t="shared" si="36"/>
        <v>34.89</v>
      </c>
      <c r="CS31">
        <f t="shared" si="37"/>
        <v>13.72</v>
      </c>
      <c r="CT31">
        <f t="shared" si="37"/>
        <v>226.13</v>
      </c>
      <c r="CU31">
        <f t="shared" si="37"/>
        <v>0</v>
      </c>
      <c r="CV31">
        <f t="shared" si="37"/>
        <v>28.480000000000004</v>
      </c>
      <c r="CW31">
        <f t="shared" si="37"/>
        <v>1.016</v>
      </c>
      <c r="CX31">
        <f t="shared" si="37"/>
        <v>0</v>
      </c>
      <c r="CY31">
        <f t="shared" si="38"/>
        <v>916.7872</v>
      </c>
      <c r="CZ31">
        <f t="shared" si="39"/>
        <v>532.064</v>
      </c>
      <c r="DD31" t="s">
        <v>37</v>
      </c>
      <c r="DE31" t="s">
        <v>38</v>
      </c>
      <c r="DF31" t="s">
        <v>38</v>
      </c>
      <c r="DG31" t="s">
        <v>38</v>
      </c>
      <c r="DI31" t="s">
        <v>38</v>
      </c>
      <c r="DJ31" t="s">
        <v>38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23</v>
      </c>
      <c r="DW31" t="s">
        <v>23</v>
      </c>
      <c r="DX31">
        <v>100</v>
      </c>
      <c r="EE31">
        <v>55402611</v>
      </c>
      <c r="EF31">
        <v>2</v>
      </c>
      <c r="EG31" t="s">
        <v>25</v>
      </c>
      <c r="EH31">
        <v>11</v>
      </c>
      <c r="EI31" t="s">
        <v>39</v>
      </c>
      <c r="EJ31">
        <v>1</v>
      </c>
      <c r="EK31">
        <v>11001</v>
      </c>
      <c r="EL31" t="s">
        <v>39</v>
      </c>
      <c r="EM31" t="s">
        <v>40</v>
      </c>
      <c r="EO31" t="s">
        <v>41</v>
      </c>
      <c r="EQ31">
        <v>0</v>
      </c>
      <c r="ER31">
        <v>334.81</v>
      </c>
      <c r="ES31">
        <v>8.54</v>
      </c>
      <c r="ET31">
        <v>43.61</v>
      </c>
      <c r="EU31">
        <v>17.15</v>
      </c>
      <c r="EV31">
        <v>282.66</v>
      </c>
      <c r="EW31">
        <v>35.6</v>
      </c>
      <c r="EX31">
        <v>1.27</v>
      </c>
      <c r="EY31">
        <v>0</v>
      </c>
      <c r="FQ31">
        <v>0</v>
      </c>
      <c r="FR31">
        <f t="shared" si="40"/>
        <v>0</v>
      </c>
      <c r="FS31">
        <v>0</v>
      </c>
      <c r="FX31">
        <v>112</v>
      </c>
      <c r="FY31">
        <v>65</v>
      </c>
      <c r="GD31">
        <v>1</v>
      </c>
      <c r="GF31">
        <v>509874768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1"/>
        <v>0</v>
      </c>
      <c r="GM31">
        <f t="shared" si="42"/>
        <v>2339.66</v>
      </c>
      <c r="GN31">
        <f t="shared" si="43"/>
        <v>2339.66</v>
      </c>
      <c r="GO31">
        <f t="shared" si="44"/>
        <v>0</v>
      </c>
      <c r="GP31">
        <f t="shared" si="45"/>
        <v>0</v>
      </c>
      <c r="GR31">
        <v>0</v>
      </c>
      <c r="GS31">
        <v>3</v>
      </c>
      <c r="GT31">
        <v>0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HC31">
        <f t="shared" si="48"/>
        <v>0</v>
      </c>
      <c r="HI31">
        <f t="shared" si="49"/>
        <v>1707.53</v>
      </c>
      <c r="HJ31">
        <f t="shared" si="50"/>
        <v>28145.36</v>
      </c>
      <c r="HK31">
        <f t="shared" si="51"/>
        <v>33435.24</v>
      </c>
      <c r="HL31">
        <f t="shared" si="52"/>
        <v>19404.38</v>
      </c>
      <c r="HN31" t="s">
        <v>42</v>
      </c>
      <c r="HO31" t="s">
        <v>43</v>
      </c>
      <c r="HP31" t="s">
        <v>39</v>
      </c>
      <c r="HQ31" t="s">
        <v>39</v>
      </c>
      <c r="IK31">
        <v>0</v>
      </c>
    </row>
    <row r="32" spans="1:255" ht="12.75">
      <c r="A32" s="2">
        <v>18</v>
      </c>
      <c r="B32" s="2">
        <v>1</v>
      </c>
      <c r="C32" s="2">
        <v>10</v>
      </c>
      <c r="D32" s="2"/>
      <c r="E32" s="2" t="s">
        <v>44</v>
      </c>
      <c r="F32" s="2" t="s">
        <v>45</v>
      </c>
      <c r="G32" s="2" t="s">
        <v>46</v>
      </c>
      <c r="H32" s="2" t="s">
        <v>47</v>
      </c>
      <c r="I32" s="2">
        <f>I30*J32</f>
        <v>0</v>
      </c>
      <c r="J32" s="2">
        <v>0</v>
      </c>
      <c r="K32" s="2">
        <v>2.04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0"/>
        <v>0</v>
      </c>
      <c r="Z32" s="2"/>
      <c r="AA32" s="2">
        <v>55457795</v>
      </c>
      <c r="AB32" s="2">
        <f t="shared" si="31"/>
        <v>0</v>
      </c>
      <c r="AC32" s="2">
        <f>ROUND((ES32),2)</f>
        <v>0</v>
      </c>
      <c r="AD32" s="2">
        <f>ROUND((((ET32)-(EU32))+AE32),2)</f>
        <v>0</v>
      </c>
      <c r="AE32" s="2">
        <f aca="true" t="shared" si="53" ref="AE32:AF35">ROUND((EU32),2)</f>
        <v>0</v>
      </c>
      <c r="AF32" s="2">
        <f t="shared" si="53"/>
        <v>0</v>
      </c>
      <c r="AG32" s="2">
        <f t="shared" si="32"/>
        <v>0</v>
      </c>
      <c r="AH32" s="2">
        <f aca="true" t="shared" si="54" ref="AH32:AI35">(EW32)</f>
        <v>0</v>
      </c>
      <c r="AI32" s="2">
        <f t="shared" si="54"/>
        <v>0</v>
      </c>
      <c r="AJ32" s="2">
        <f t="shared" si="33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112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112</v>
      </c>
      <c r="CA32" s="2">
        <v>65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36</v>
      </c>
      <c r="CO32" s="2">
        <v>0</v>
      </c>
      <c r="CP32" s="2">
        <f t="shared" si="34"/>
        <v>0</v>
      </c>
      <c r="CQ32" s="2">
        <f t="shared" si="35"/>
        <v>0</v>
      </c>
      <c r="CR32" s="2">
        <f t="shared" si="36"/>
        <v>0</v>
      </c>
      <c r="CS32" s="2">
        <f t="shared" si="37"/>
        <v>0</v>
      </c>
      <c r="CT32" s="2">
        <f t="shared" si="37"/>
        <v>0</v>
      </c>
      <c r="CU32" s="2">
        <f t="shared" si="37"/>
        <v>0</v>
      </c>
      <c r="CV32" s="2">
        <f t="shared" si="37"/>
        <v>0</v>
      </c>
      <c r="CW32" s="2">
        <f t="shared" si="37"/>
        <v>0</v>
      </c>
      <c r="CX32" s="2">
        <f t="shared" si="37"/>
        <v>0</v>
      </c>
      <c r="CY32" s="2">
        <f t="shared" si="38"/>
        <v>0</v>
      </c>
      <c r="CZ32" s="2">
        <f t="shared" si="39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47</v>
      </c>
      <c r="DW32" s="2" t="s">
        <v>47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55402611</v>
      </c>
      <c r="EF32" s="2">
        <v>2</v>
      </c>
      <c r="EG32" s="2" t="s">
        <v>25</v>
      </c>
      <c r="EH32" s="2">
        <v>11</v>
      </c>
      <c r="EI32" s="2" t="s">
        <v>39</v>
      </c>
      <c r="EJ32" s="2">
        <v>1</v>
      </c>
      <c r="EK32" s="2">
        <v>11001</v>
      </c>
      <c r="EL32" s="2" t="s">
        <v>39</v>
      </c>
      <c r="EM32" s="2" t="s">
        <v>40</v>
      </c>
      <c r="EN32" s="2"/>
      <c r="EO32" s="2" t="s">
        <v>41</v>
      </c>
      <c r="EP32" s="2"/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112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-2113302258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1"/>
        <v>0</v>
      </c>
      <c r="GM32" s="2">
        <f t="shared" si="42"/>
        <v>0</v>
      </c>
      <c r="GN32" s="2">
        <f t="shared" si="43"/>
        <v>0</v>
      </c>
      <c r="GO32" s="2">
        <f t="shared" si="44"/>
        <v>0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>
        <f t="shared" si="48"/>
        <v>0</v>
      </c>
      <c r="HD32" s="2"/>
      <c r="HE32" s="2" t="s">
        <v>3</v>
      </c>
      <c r="HF32" s="2" t="s">
        <v>3</v>
      </c>
      <c r="HG32" s="2"/>
      <c r="HH32" s="2"/>
      <c r="HI32" s="2">
        <f t="shared" si="49"/>
        <v>0</v>
      </c>
      <c r="HJ32" s="2">
        <f t="shared" si="50"/>
        <v>0</v>
      </c>
      <c r="HK32" s="2">
        <f t="shared" si="51"/>
        <v>0</v>
      </c>
      <c r="HL32" s="2">
        <f t="shared" si="52"/>
        <v>0</v>
      </c>
      <c r="HM32" s="2" t="s">
        <v>37</v>
      </c>
      <c r="HN32" s="2" t="s">
        <v>42</v>
      </c>
      <c r="HO32" s="2" t="s">
        <v>43</v>
      </c>
      <c r="HP32" s="2" t="s">
        <v>39</v>
      </c>
      <c r="HQ32" s="2" t="s">
        <v>39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16</v>
      </c>
      <c r="E33" t="s">
        <v>44</v>
      </c>
      <c r="F33" t="s">
        <v>45</v>
      </c>
      <c r="G33" t="s">
        <v>46</v>
      </c>
      <c r="H33" t="s">
        <v>47</v>
      </c>
      <c r="I33">
        <f>I31*J33</f>
        <v>0</v>
      </c>
      <c r="J33">
        <v>0</v>
      </c>
      <c r="K33">
        <v>2.04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0"/>
        <v>0</v>
      </c>
      <c r="AA33">
        <v>55457796</v>
      </c>
      <c r="AB33">
        <f t="shared" si="31"/>
        <v>0</v>
      </c>
      <c r="AC33">
        <f>ROUND((ES33),2)</f>
        <v>0</v>
      </c>
      <c r="AD33">
        <f>ROUND((((ET33)-(EU33))+AE33),2)</f>
        <v>0</v>
      </c>
      <c r="AE33">
        <f t="shared" si="53"/>
        <v>0</v>
      </c>
      <c r="AF33">
        <f t="shared" si="53"/>
        <v>0</v>
      </c>
      <c r="AG33">
        <f t="shared" si="32"/>
        <v>0</v>
      </c>
      <c r="AH33">
        <f t="shared" si="54"/>
        <v>0</v>
      </c>
      <c r="AI33">
        <f t="shared" si="54"/>
        <v>0</v>
      </c>
      <c r="AJ33">
        <f t="shared" si="33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112</v>
      </c>
      <c r="AU33">
        <v>65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M33">
        <v>11001</v>
      </c>
      <c r="BN33">
        <v>0</v>
      </c>
      <c r="BO33" t="s">
        <v>31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36</v>
      </c>
      <c r="CO33">
        <v>0</v>
      </c>
      <c r="CP33">
        <f t="shared" si="34"/>
        <v>0</v>
      </c>
      <c r="CQ33">
        <f t="shared" si="35"/>
        <v>0</v>
      </c>
      <c r="CR33">
        <f t="shared" si="36"/>
        <v>0</v>
      </c>
      <c r="CS33">
        <f t="shared" si="37"/>
        <v>0</v>
      </c>
      <c r="CT33">
        <f t="shared" si="37"/>
        <v>0</v>
      </c>
      <c r="CU33">
        <f t="shared" si="37"/>
        <v>0</v>
      </c>
      <c r="CV33">
        <f t="shared" si="37"/>
        <v>0</v>
      </c>
      <c r="CW33">
        <f t="shared" si="37"/>
        <v>0</v>
      </c>
      <c r="CX33">
        <f t="shared" si="37"/>
        <v>0</v>
      </c>
      <c r="CY33">
        <f t="shared" si="38"/>
        <v>0</v>
      </c>
      <c r="CZ33">
        <f t="shared" si="39"/>
        <v>0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47</v>
      </c>
      <c r="DW33" t="s">
        <v>47</v>
      </c>
      <c r="DX33">
        <v>1</v>
      </c>
      <c r="EE33">
        <v>55402611</v>
      </c>
      <c r="EF33">
        <v>2</v>
      </c>
      <c r="EG33" t="s">
        <v>25</v>
      </c>
      <c r="EH33">
        <v>11</v>
      </c>
      <c r="EI33" t="s">
        <v>39</v>
      </c>
      <c r="EJ33">
        <v>1</v>
      </c>
      <c r="EK33">
        <v>11001</v>
      </c>
      <c r="EL33" t="s">
        <v>39</v>
      </c>
      <c r="EM33" t="s">
        <v>40</v>
      </c>
      <c r="EO33" t="s">
        <v>41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0"/>
        <v>0</v>
      </c>
      <c r="FS33">
        <v>0</v>
      </c>
      <c r="FX33">
        <v>112</v>
      </c>
      <c r="FY33">
        <v>65</v>
      </c>
      <c r="GD33">
        <v>1</v>
      </c>
      <c r="GF33">
        <v>-2113302258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1"/>
        <v>0</v>
      </c>
      <c r="GM33">
        <f t="shared" si="42"/>
        <v>0</v>
      </c>
      <c r="GN33">
        <f t="shared" si="43"/>
        <v>0</v>
      </c>
      <c r="GO33">
        <f t="shared" si="44"/>
        <v>0</v>
      </c>
      <c r="GP33">
        <f t="shared" si="45"/>
        <v>0</v>
      </c>
      <c r="GR33">
        <v>0</v>
      </c>
      <c r="GS33">
        <v>3</v>
      </c>
      <c r="GT33">
        <v>0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HC33">
        <f t="shared" si="48"/>
        <v>0</v>
      </c>
      <c r="HI33">
        <f t="shared" si="49"/>
        <v>0</v>
      </c>
      <c r="HJ33">
        <f t="shared" si="50"/>
        <v>0</v>
      </c>
      <c r="HK33">
        <f t="shared" si="51"/>
        <v>0</v>
      </c>
      <c r="HL33">
        <f t="shared" si="52"/>
        <v>0</v>
      </c>
      <c r="HM33" t="s">
        <v>37</v>
      </c>
      <c r="HN33" t="s">
        <v>42</v>
      </c>
      <c r="HO33" t="s">
        <v>43</v>
      </c>
      <c r="HP33" t="s">
        <v>39</v>
      </c>
      <c r="HQ33" t="s">
        <v>39</v>
      </c>
      <c r="IK33">
        <v>0</v>
      </c>
    </row>
    <row r="34" spans="1:255" ht="12.75">
      <c r="A34" s="2">
        <v>18</v>
      </c>
      <c r="B34" s="2">
        <v>1</v>
      </c>
      <c r="C34" s="2">
        <v>9</v>
      </c>
      <c r="D34" s="2"/>
      <c r="E34" s="2" t="s">
        <v>48</v>
      </c>
      <c r="F34" s="2" t="s">
        <v>49</v>
      </c>
      <c r="G34" s="2" t="s">
        <v>50</v>
      </c>
      <c r="H34" s="2" t="s">
        <v>47</v>
      </c>
      <c r="I34" s="2">
        <f>I30*J34</f>
        <v>0</v>
      </c>
      <c r="J34" s="2">
        <v>0</v>
      </c>
      <c r="K34" s="2">
        <v>-3.5</v>
      </c>
      <c r="L34" s="2"/>
      <c r="M34" s="2"/>
      <c r="N34" s="2"/>
      <c r="O34" s="2">
        <f t="shared" si="21"/>
        <v>0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0"/>
        <v>0</v>
      </c>
      <c r="Z34" s="2"/>
      <c r="AA34" s="2">
        <v>55457795</v>
      </c>
      <c r="AB34" s="2">
        <f t="shared" si="31"/>
        <v>2.44</v>
      </c>
      <c r="AC34" s="2">
        <f>ROUND((ES34),2)</f>
        <v>2.44</v>
      </c>
      <c r="AD34" s="2">
        <f>ROUND((((ET34)-(EU34))+AE34),2)</f>
        <v>0</v>
      </c>
      <c r="AE34" s="2">
        <f t="shared" si="53"/>
        <v>0</v>
      </c>
      <c r="AF34" s="2">
        <f t="shared" si="53"/>
        <v>0</v>
      </c>
      <c r="AG34" s="2">
        <f t="shared" si="32"/>
        <v>0</v>
      </c>
      <c r="AH34" s="2">
        <f t="shared" si="54"/>
        <v>0</v>
      </c>
      <c r="AI34" s="2">
        <f t="shared" si="54"/>
        <v>0</v>
      </c>
      <c r="AJ34" s="2">
        <f t="shared" si="33"/>
        <v>0</v>
      </c>
      <c r="AK34" s="2">
        <v>2.44</v>
      </c>
      <c r="AL34" s="2">
        <v>2.44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112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51</v>
      </c>
      <c r="BK34" s="2"/>
      <c r="BL34" s="2"/>
      <c r="BM34" s="2">
        <v>11001</v>
      </c>
      <c r="BN34" s="2">
        <v>0</v>
      </c>
      <c r="BO34" s="2" t="s">
        <v>3</v>
      </c>
      <c r="BP34" s="2">
        <v>0</v>
      </c>
      <c r="BQ34" s="2">
        <v>2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112</v>
      </c>
      <c r="CA34" s="2">
        <v>65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0</v>
      </c>
      <c r="CQ34" s="2">
        <f t="shared" si="35"/>
        <v>2.44</v>
      </c>
      <c r="CR34" s="2">
        <f t="shared" si="36"/>
        <v>0</v>
      </c>
      <c r="CS34" s="2">
        <f t="shared" si="37"/>
        <v>0</v>
      </c>
      <c r="CT34" s="2">
        <f t="shared" si="37"/>
        <v>0</v>
      </c>
      <c r="CU34" s="2">
        <f t="shared" si="37"/>
        <v>0</v>
      </c>
      <c r="CV34" s="2">
        <f t="shared" si="37"/>
        <v>0</v>
      </c>
      <c r="CW34" s="2">
        <f t="shared" si="37"/>
        <v>0</v>
      </c>
      <c r="CX34" s="2">
        <f t="shared" si="37"/>
        <v>0</v>
      </c>
      <c r="CY34" s="2">
        <f t="shared" si="38"/>
        <v>0</v>
      </c>
      <c r="CZ34" s="2">
        <f t="shared" si="39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47</v>
      </c>
      <c r="DW34" s="2" t="s">
        <v>47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55402611</v>
      </c>
      <c r="EF34" s="2">
        <v>2</v>
      </c>
      <c r="EG34" s="2" t="s">
        <v>25</v>
      </c>
      <c r="EH34" s="2">
        <v>11</v>
      </c>
      <c r="EI34" s="2" t="s">
        <v>39</v>
      </c>
      <c r="EJ34" s="2">
        <v>1</v>
      </c>
      <c r="EK34" s="2">
        <v>11001</v>
      </c>
      <c r="EL34" s="2" t="s">
        <v>39</v>
      </c>
      <c r="EM34" s="2" t="s">
        <v>40</v>
      </c>
      <c r="EN34" s="2"/>
      <c r="EO34" s="2" t="s">
        <v>3</v>
      </c>
      <c r="EP34" s="2"/>
      <c r="EQ34" s="2">
        <v>0</v>
      </c>
      <c r="ER34" s="2">
        <v>2.44</v>
      </c>
      <c r="ES34" s="2">
        <v>2.44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112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-143474561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1"/>
        <v>0</v>
      </c>
      <c r="GM34" s="2">
        <f t="shared" si="42"/>
        <v>0</v>
      </c>
      <c r="GN34" s="2">
        <f t="shared" si="43"/>
        <v>0</v>
      </c>
      <c r="GO34" s="2">
        <f t="shared" si="44"/>
        <v>0</v>
      </c>
      <c r="GP34" s="2">
        <f t="shared" si="45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>
        <f t="shared" si="48"/>
        <v>0</v>
      </c>
      <c r="HD34" s="2"/>
      <c r="HE34" s="2" t="s">
        <v>3</v>
      </c>
      <c r="HF34" s="2" t="s">
        <v>3</v>
      </c>
      <c r="HG34" s="2"/>
      <c r="HH34" s="2"/>
      <c r="HI34" s="2">
        <f t="shared" si="49"/>
        <v>0</v>
      </c>
      <c r="HJ34" s="2">
        <f t="shared" si="50"/>
        <v>0</v>
      </c>
      <c r="HK34" s="2">
        <f t="shared" si="51"/>
        <v>0</v>
      </c>
      <c r="HL34" s="2">
        <f t="shared" si="52"/>
        <v>0</v>
      </c>
      <c r="HM34" s="2" t="s">
        <v>37</v>
      </c>
      <c r="HN34" s="2" t="s">
        <v>42</v>
      </c>
      <c r="HO34" s="2" t="s">
        <v>43</v>
      </c>
      <c r="HP34" s="2" t="s">
        <v>39</v>
      </c>
      <c r="HQ34" s="2" t="s">
        <v>39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15</v>
      </c>
      <c r="E35" t="s">
        <v>48</v>
      </c>
      <c r="F35" t="s">
        <v>49</v>
      </c>
      <c r="G35" t="s">
        <v>50</v>
      </c>
      <c r="H35" t="s">
        <v>47</v>
      </c>
      <c r="I35">
        <f>I31*J35</f>
        <v>0</v>
      </c>
      <c r="J35">
        <v>0</v>
      </c>
      <c r="K35">
        <v>-3.5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0"/>
        <v>0</v>
      </c>
      <c r="AA35">
        <v>55457796</v>
      </c>
      <c r="AB35">
        <f t="shared" si="31"/>
        <v>2.44</v>
      </c>
      <c r="AC35">
        <f>ROUND((ES35),2)</f>
        <v>2.44</v>
      </c>
      <c r="AD35">
        <f>ROUND((((ET35)-(EU35))+AE35),2)</f>
        <v>0</v>
      </c>
      <c r="AE35">
        <f t="shared" si="53"/>
        <v>0</v>
      </c>
      <c r="AF35">
        <f t="shared" si="53"/>
        <v>0</v>
      </c>
      <c r="AG35">
        <f t="shared" si="32"/>
        <v>0</v>
      </c>
      <c r="AH35">
        <f t="shared" si="54"/>
        <v>0</v>
      </c>
      <c r="AI35">
        <f t="shared" si="54"/>
        <v>0</v>
      </c>
      <c r="AJ35">
        <f t="shared" si="33"/>
        <v>0</v>
      </c>
      <c r="AK35">
        <v>2.44</v>
      </c>
      <c r="AL35">
        <v>2.44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112</v>
      </c>
      <c r="AU35">
        <v>65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1</v>
      </c>
      <c r="BJ35" t="s">
        <v>51</v>
      </c>
      <c r="BM35">
        <v>11001</v>
      </c>
      <c r="BN35">
        <v>0</v>
      </c>
      <c r="BO35" t="s">
        <v>31</v>
      </c>
      <c r="BP35">
        <v>1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112</v>
      </c>
      <c r="CA35">
        <v>65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4"/>
        <v>0</v>
      </c>
      <c r="CQ35">
        <f t="shared" si="35"/>
        <v>2.44</v>
      </c>
      <c r="CR35">
        <f t="shared" si="36"/>
        <v>0</v>
      </c>
      <c r="CS35">
        <f t="shared" si="37"/>
        <v>0</v>
      </c>
      <c r="CT35">
        <f t="shared" si="37"/>
        <v>0</v>
      </c>
      <c r="CU35">
        <f t="shared" si="37"/>
        <v>0</v>
      </c>
      <c r="CV35">
        <f t="shared" si="37"/>
        <v>0</v>
      </c>
      <c r="CW35">
        <f t="shared" si="37"/>
        <v>0</v>
      </c>
      <c r="CX35">
        <f t="shared" si="37"/>
        <v>0</v>
      </c>
      <c r="CY35">
        <f t="shared" si="38"/>
        <v>0</v>
      </c>
      <c r="CZ35">
        <f t="shared" si="39"/>
        <v>0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47</v>
      </c>
      <c r="DW35" t="s">
        <v>47</v>
      </c>
      <c r="DX35">
        <v>1</v>
      </c>
      <c r="EE35">
        <v>55402611</v>
      </c>
      <c r="EF35">
        <v>2</v>
      </c>
      <c r="EG35" t="s">
        <v>25</v>
      </c>
      <c r="EH35">
        <v>11</v>
      </c>
      <c r="EI35" t="s">
        <v>39</v>
      </c>
      <c r="EJ35">
        <v>1</v>
      </c>
      <c r="EK35">
        <v>11001</v>
      </c>
      <c r="EL35" t="s">
        <v>39</v>
      </c>
      <c r="EM35" t="s">
        <v>40</v>
      </c>
      <c r="EQ35">
        <v>0</v>
      </c>
      <c r="ER35">
        <v>2.44</v>
      </c>
      <c r="ES35">
        <v>2.44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0"/>
        <v>0</v>
      </c>
      <c r="FS35">
        <v>0</v>
      </c>
      <c r="FX35">
        <v>112</v>
      </c>
      <c r="FY35">
        <v>65</v>
      </c>
      <c r="GD35">
        <v>1</v>
      </c>
      <c r="GF35">
        <v>-143474561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1"/>
        <v>0</v>
      </c>
      <c r="GM35">
        <f t="shared" si="42"/>
        <v>0</v>
      </c>
      <c r="GN35">
        <f t="shared" si="43"/>
        <v>0</v>
      </c>
      <c r="GO35">
        <f t="shared" si="44"/>
        <v>0</v>
      </c>
      <c r="GP35">
        <f t="shared" si="45"/>
        <v>0</v>
      </c>
      <c r="GR35">
        <v>0</v>
      </c>
      <c r="GS35">
        <v>3</v>
      </c>
      <c r="GT35">
        <v>0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HC35">
        <f t="shared" si="48"/>
        <v>0</v>
      </c>
      <c r="HI35">
        <f t="shared" si="49"/>
        <v>0</v>
      </c>
      <c r="HJ35">
        <f t="shared" si="50"/>
        <v>0</v>
      </c>
      <c r="HK35">
        <f t="shared" si="51"/>
        <v>0</v>
      </c>
      <c r="HL35">
        <f t="shared" si="52"/>
        <v>0</v>
      </c>
      <c r="HM35" t="s">
        <v>37</v>
      </c>
      <c r="HN35" t="s">
        <v>42</v>
      </c>
      <c r="HO35" t="s">
        <v>43</v>
      </c>
      <c r="HP35" t="s">
        <v>39</v>
      </c>
      <c r="HQ35" t="s">
        <v>39</v>
      </c>
      <c r="IK35">
        <v>0</v>
      </c>
    </row>
    <row r="37" spans="1:206" ht="12.75">
      <c r="A37" s="3">
        <v>51</v>
      </c>
      <c r="B37" s="3">
        <f>B24</f>
        <v>1</v>
      </c>
      <c r="C37" s="3">
        <f>A24</f>
        <v>4</v>
      </c>
      <c r="D37" s="3">
        <f>ROW(A24)</f>
        <v>24</v>
      </c>
      <c r="E37" s="3"/>
      <c r="F37" s="3">
        <f>IF(F24&lt;&gt;"",F24,"")</f>
      </c>
      <c r="G37" s="3" t="str">
        <f>IF(G24&lt;&gt;"",G24,"")</f>
        <v>Демонтажные работы</v>
      </c>
      <c r="H37" s="3">
        <v>0</v>
      </c>
      <c r="I37" s="3"/>
      <c r="J37" s="3"/>
      <c r="K37" s="3"/>
      <c r="L37" s="3"/>
      <c r="M37" s="3"/>
      <c r="N37" s="3"/>
      <c r="O37" s="3">
        <f aca="true" t="shared" si="55" ref="O37:T37">ROUND(AB37,2)</f>
        <v>2638.05</v>
      </c>
      <c r="P37" s="3">
        <f t="shared" si="55"/>
        <v>0</v>
      </c>
      <c r="Q37" s="3">
        <f t="shared" si="55"/>
        <v>590.38</v>
      </c>
      <c r="R37" s="3">
        <f t="shared" si="55"/>
        <v>46.82</v>
      </c>
      <c r="S37" s="3">
        <f t="shared" si="55"/>
        <v>2047.67</v>
      </c>
      <c r="T37" s="3">
        <f t="shared" si="55"/>
        <v>0</v>
      </c>
      <c r="U37" s="3">
        <f>AH37</f>
        <v>260.783424</v>
      </c>
      <c r="V37" s="3">
        <f>AI37</f>
        <v>3.4674047999999997</v>
      </c>
      <c r="W37" s="3">
        <f>ROUND(AJ37,2)</f>
        <v>0</v>
      </c>
      <c r="X37" s="3">
        <f>ROUND(AK37,2)</f>
        <v>2077.89</v>
      </c>
      <c r="Y37" s="3">
        <f>ROUND(AL37,2)</f>
        <v>1195.54</v>
      </c>
      <c r="Z37" s="3"/>
      <c r="AA37" s="3"/>
      <c r="AB37" s="3">
        <f>ROUND(SUMIF(AA28:AA35,"=55457795",O28:O35),2)</f>
        <v>2638.05</v>
      </c>
      <c r="AC37" s="3">
        <f>ROUND(SUMIF(AA28:AA35,"=55457795",P28:P35),2)</f>
        <v>0</v>
      </c>
      <c r="AD37" s="3">
        <f>ROUND(SUMIF(AA28:AA35,"=55457795",Q28:Q35),2)</f>
        <v>590.38</v>
      </c>
      <c r="AE37" s="3">
        <f>ROUND(SUMIF(AA28:AA35,"=55457795",R28:R35),2)</f>
        <v>46.82</v>
      </c>
      <c r="AF37" s="3">
        <f>ROUND(SUMIF(AA28:AA35,"=55457795",S28:S35),2)</f>
        <v>2047.67</v>
      </c>
      <c r="AG37" s="3">
        <f>ROUND(SUMIF(AA28:AA35,"=55457795",T28:T35),2)</f>
        <v>0</v>
      </c>
      <c r="AH37" s="3">
        <f>SUMIF(AA28:AA35,"=55457795",U28:U35)</f>
        <v>260.783424</v>
      </c>
      <c r="AI37" s="3">
        <f>SUMIF(AA28:AA35,"=55457795",V28:V35)</f>
        <v>3.4674047999999997</v>
      </c>
      <c r="AJ37" s="3">
        <f>ROUND(SUMIF(AA28:AA35,"=55457795",W28:W35),2)</f>
        <v>0</v>
      </c>
      <c r="AK37" s="3">
        <f>ROUND(SUMIF(AA28:AA35,"=55457795",X28:X35),2)</f>
        <v>2077.89</v>
      </c>
      <c r="AL37" s="3">
        <f>ROUND(SUMIF(AA28:AA35,"=55457795",Y28:Y35),2)</f>
        <v>1195.54</v>
      </c>
      <c r="AM37" s="3"/>
      <c r="AN37" s="3"/>
      <c r="AO37" s="3">
        <f aca="true" t="shared" si="56" ref="AO37:BD37">ROUND(BX37,2)</f>
        <v>0</v>
      </c>
      <c r="AP37" s="3">
        <f t="shared" si="56"/>
        <v>0</v>
      </c>
      <c r="AQ37" s="3">
        <f t="shared" si="56"/>
        <v>0</v>
      </c>
      <c r="AR37" s="3">
        <f t="shared" si="56"/>
        <v>5911.48</v>
      </c>
      <c r="AS37" s="3">
        <f t="shared" si="56"/>
        <v>5911.48</v>
      </c>
      <c r="AT37" s="3">
        <f t="shared" si="56"/>
        <v>0</v>
      </c>
      <c r="AU37" s="3">
        <f t="shared" si="56"/>
        <v>0</v>
      </c>
      <c r="AV37" s="3">
        <f t="shared" si="56"/>
        <v>0</v>
      </c>
      <c r="AW37" s="3">
        <f t="shared" si="56"/>
        <v>0</v>
      </c>
      <c r="AX37" s="3">
        <f t="shared" si="56"/>
        <v>0</v>
      </c>
      <c r="AY37" s="3">
        <f t="shared" si="56"/>
        <v>0</v>
      </c>
      <c r="AZ37" s="3">
        <f t="shared" si="56"/>
        <v>0</v>
      </c>
      <c r="BA37" s="3">
        <f t="shared" si="56"/>
        <v>0</v>
      </c>
      <c r="BB37" s="3">
        <f t="shared" si="56"/>
        <v>0</v>
      </c>
      <c r="BC37" s="3">
        <f t="shared" si="56"/>
        <v>0</v>
      </c>
      <c r="BD37" s="3">
        <f t="shared" si="56"/>
        <v>0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>
        <f>ROUND(SUMIF(AA28:AA35,"=55457795",FQ28:FQ35),2)</f>
        <v>0</v>
      </c>
      <c r="BY37" s="3">
        <f>ROUND(SUMIF(AA28:AA35,"=55457795",FR28:FR35),2)</f>
        <v>0</v>
      </c>
      <c r="BZ37" s="3">
        <f>ROUND(SUMIF(AA28:AA35,"=55457795",GL28:GL35),2)</f>
        <v>0</v>
      </c>
      <c r="CA37" s="3">
        <f>ROUND(SUMIF(AA28:AA35,"=55457795",GM28:GM35),2)</f>
        <v>5911.48</v>
      </c>
      <c r="CB37" s="3">
        <f>ROUND(SUMIF(AA28:AA35,"=55457795",GN28:GN35),2)</f>
        <v>5911.48</v>
      </c>
      <c r="CC37" s="3">
        <f>ROUND(SUMIF(AA28:AA35,"=55457795",GO28:GO35),2)</f>
        <v>0</v>
      </c>
      <c r="CD37" s="3">
        <f>ROUND(SUMIF(AA28:AA35,"=55457795",GP28:GP35),2)</f>
        <v>0</v>
      </c>
      <c r="CE37" s="3">
        <f>AC37-BX37</f>
        <v>0</v>
      </c>
      <c r="CF37" s="3">
        <f>AC37-BY37</f>
        <v>0</v>
      </c>
      <c r="CG37" s="3">
        <f>BX37-BZ37</f>
        <v>0</v>
      </c>
      <c r="CH37" s="3">
        <f>AC37-BX37-BY37+BZ37</f>
        <v>0</v>
      </c>
      <c r="CI37" s="3">
        <f>BY37-BZ37</f>
        <v>0</v>
      </c>
      <c r="CJ37" s="3">
        <f>ROUND(SUMIF(AA28:AA35,"=55457795",GX28:GX35),2)</f>
        <v>0</v>
      </c>
      <c r="CK37" s="3">
        <f>ROUND(SUMIF(AA28:AA35,"=55457795",GY28:GY35),2)</f>
        <v>0</v>
      </c>
      <c r="CL37" s="3">
        <f>ROUND(SUMIF(AA28:AA35,"=55457795",GZ28:GZ35),2)</f>
        <v>0</v>
      </c>
      <c r="CM37" s="3">
        <f>ROUND(SUMIF(AA28:AA35,"=55457795",HD28:HD35),2)</f>
        <v>0</v>
      </c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4">
        <f aca="true" t="shared" si="57" ref="DG37:DL37">ROUND(DT37,2)</f>
        <v>2638.05</v>
      </c>
      <c r="DH37" s="4">
        <f t="shared" si="57"/>
        <v>0</v>
      </c>
      <c r="DI37" s="4">
        <f t="shared" si="57"/>
        <v>590.38</v>
      </c>
      <c r="DJ37" s="4">
        <f t="shared" si="57"/>
        <v>46.82</v>
      </c>
      <c r="DK37" s="4">
        <f t="shared" si="57"/>
        <v>2047.67</v>
      </c>
      <c r="DL37" s="4">
        <f t="shared" si="57"/>
        <v>0</v>
      </c>
      <c r="DM37" s="4">
        <f>DZ37</f>
        <v>260.783424</v>
      </c>
      <c r="DN37" s="4">
        <f>EA37</f>
        <v>3.4674047999999997</v>
      </c>
      <c r="DO37" s="4">
        <f>ROUND(EB37,2)</f>
        <v>0</v>
      </c>
      <c r="DP37" s="4">
        <f>ROUND(EC37,2)</f>
        <v>2077.89</v>
      </c>
      <c r="DQ37" s="4">
        <f>ROUND(ED37,2)</f>
        <v>1195.54</v>
      </c>
      <c r="DR37" s="4"/>
      <c r="DS37" s="4"/>
      <c r="DT37" s="4">
        <f>ROUND(SUMIF(AA28:AA35,"=55457796",O28:O35),2)</f>
        <v>2638.05</v>
      </c>
      <c r="DU37" s="4">
        <f>ROUND(SUMIF(AA28:AA35,"=55457796",P28:P35),2)</f>
        <v>0</v>
      </c>
      <c r="DV37" s="4">
        <f>ROUND(SUMIF(AA28:AA35,"=55457796",Q28:Q35),2)</f>
        <v>590.38</v>
      </c>
      <c r="DW37" s="4">
        <f>ROUND(SUMIF(AA28:AA35,"=55457796",R28:R35),2)</f>
        <v>46.82</v>
      </c>
      <c r="DX37" s="4">
        <f>ROUND(SUMIF(AA28:AA35,"=55457796",S28:S35),2)</f>
        <v>2047.67</v>
      </c>
      <c r="DY37" s="4">
        <f>ROUND(SUMIF(AA28:AA35,"=55457796",T28:T35),2)</f>
        <v>0</v>
      </c>
      <c r="DZ37" s="4">
        <f>SUMIF(AA28:AA35,"=55457796",U28:U35)</f>
        <v>260.783424</v>
      </c>
      <c r="EA37" s="4">
        <f>SUMIF(AA28:AA35,"=55457796",V28:V35)</f>
        <v>3.4674047999999997</v>
      </c>
      <c r="EB37" s="4">
        <f>ROUND(SUMIF(AA28:AA35,"=55457796",W28:W35),2)</f>
        <v>0</v>
      </c>
      <c r="EC37" s="4">
        <f>ROUND(SUMIF(AA28:AA35,"=55457796",X28:X35),2)</f>
        <v>2077.89</v>
      </c>
      <c r="ED37" s="4">
        <f>ROUND(SUMIF(AA28:AA35,"=55457796",Y28:Y35),2)</f>
        <v>1195.54</v>
      </c>
      <c r="EE37" s="4"/>
      <c r="EF37" s="4"/>
      <c r="EG37" s="4">
        <f aca="true" t="shared" si="58" ref="EG37:EV37">ROUND(FP37,2)</f>
        <v>0</v>
      </c>
      <c r="EH37" s="4">
        <f t="shared" si="58"/>
        <v>0</v>
      </c>
      <c r="EI37" s="4">
        <f t="shared" si="58"/>
        <v>0</v>
      </c>
      <c r="EJ37" s="4">
        <f t="shared" si="58"/>
        <v>5911.48</v>
      </c>
      <c r="EK37" s="4">
        <f t="shared" si="58"/>
        <v>5911.48</v>
      </c>
      <c r="EL37" s="4">
        <f t="shared" si="58"/>
        <v>0</v>
      </c>
      <c r="EM37" s="4">
        <f t="shared" si="58"/>
        <v>0</v>
      </c>
      <c r="EN37" s="4">
        <f t="shared" si="58"/>
        <v>0</v>
      </c>
      <c r="EO37" s="4">
        <f t="shared" si="58"/>
        <v>0</v>
      </c>
      <c r="EP37" s="4">
        <f t="shared" si="58"/>
        <v>0</v>
      </c>
      <c r="EQ37" s="4">
        <f t="shared" si="58"/>
        <v>0</v>
      </c>
      <c r="ER37" s="4">
        <f t="shared" si="58"/>
        <v>0</v>
      </c>
      <c r="ES37" s="4">
        <f t="shared" si="58"/>
        <v>0</v>
      </c>
      <c r="ET37" s="4">
        <f t="shared" si="58"/>
        <v>0</v>
      </c>
      <c r="EU37" s="4">
        <f t="shared" si="58"/>
        <v>0</v>
      </c>
      <c r="EV37" s="4">
        <f t="shared" si="58"/>
        <v>0</v>
      </c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>
        <f>ROUND(SUMIF(AA28:AA35,"=55457796",FQ28:FQ35),2)</f>
        <v>0</v>
      </c>
      <c r="FQ37" s="4">
        <f>ROUND(SUMIF(AA28:AA35,"=55457796",FR28:FR35),2)</f>
        <v>0</v>
      </c>
      <c r="FR37" s="4">
        <f>ROUND(SUMIF(AA28:AA35,"=55457796",GL28:GL35),2)</f>
        <v>0</v>
      </c>
      <c r="FS37" s="4">
        <f>ROUND(SUMIF(AA28:AA35,"=55457796",GM28:GM35),2)</f>
        <v>5911.48</v>
      </c>
      <c r="FT37" s="4">
        <f>ROUND(SUMIF(AA28:AA35,"=55457796",GN28:GN35),2)</f>
        <v>5911.48</v>
      </c>
      <c r="FU37" s="4">
        <f>ROUND(SUMIF(AA28:AA35,"=55457796",GO28:GO35),2)</f>
        <v>0</v>
      </c>
      <c r="FV37" s="4">
        <f>ROUND(SUMIF(AA28:AA35,"=55457796",GP28:GP35),2)</f>
        <v>0</v>
      </c>
      <c r="FW37" s="4">
        <f>DU37-FP37</f>
        <v>0</v>
      </c>
      <c r="FX37" s="4">
        <f>DU37-FQ37</f>
        <v>0</v>
      </c>
      <c r="FY37" s="4">
        <f>FP37-FR37</f>
        <v>0</v>
      </c>
      <c r="FZ37" s="4">
        <f>DU37-FP37-FQ37+FR37</f>
        <v>0</v>
      </c>
      <c r="GA37" s="4">
        <f>FQ37-FR37</f>
        <v>0</v>
      </c>
      <c r="GB37" s="4">
        <f>ROUND(SUMIF(AA28:AA35,"=55457796",GX28:GX35),2)</f>
        <v>0</v>
      </c>
      <c r="GC37" s="4">
        <f>ROUND(SUMIF(AA28:AA35,"=55457796",GY28:GY35),2)</f>
        <v>0</v>
      </c>
      <c r="GD37" s="4">
        <f>ROUND(SUMIF(AA28:AA35,"=55457796",GZ28:GZ35),2)</f>
        <v>0</v>
      </c>
      <c r="GE37" s="4">
        <f>ROUND(SUMIF(AA28:AA35,"=55457796",HD28:HD35),2)</f>
        <v>0</v>
      </c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>
        <v>0</v>
      </c>
    </row>
    <row r="39" spans="1:28" ht="12.75">
      <c r="A39" s="5">
        <v>50</v>
      </c>
      <c r="B39" s="5">
        <v>0</v>
      </c>
      <c r="C39" s="5">
        <v>0</v>
      </c>
      <c r="D39" s="5">
        <v>1</v>
      </c>
      <c r="E39" s="5">
        <v>201</v>
      </c>
      <c r="F39" s="5">
        <f>ROUND(Source!O37,O39)</f>
        <v>2638.05</v>
      </c>
      <c r="G39" s="5" t="s">
        <v>52</v>
      </c>
      <c r="H39" s="5" t="s">
        <v>53</v>
      </c>
      <c r="I39" s="5"/>
      <c r="J39" s="5"/>
      <c r="K39" s="5">
        <v>201</v>
      </c>
      <c r="L39" s="5">
        <v>1</v>
      </c>
      <c r="M39" s="5">
        <v>3</v>
      </c>
      <c r="N39" s="5" t="s">
        <v>3</v>
      </c>
      <c r="O39" s="5">
        <v>2</v>
      </c>
      <c r="P39" s="5">
        <f>ROUND(Source!DG37,O39)</f>
        <v>2638.05</v>
      </c>
      <c r="Q39" s="5"/>
      <c r="R39" s="5"/>
      <c r="S39" s="5"/>
      <c r="T39" s="5"/>
      <c r="U39" s="5"/>
      <c r="V39" s="5"/>
      <c r="W39" s="5">
        <v>2638.05</v>
      </c>
      <c r="X39" s="5">
        <v>1</v>
      </c>
      <c r="Y39" s="5">
        <v>2638.05</v>
      </c>
      <c r="Z39" s="5">
        <v>2638.05</v>
      </c>
      <c r="AA39" s="5">
        <v>1</v>
      </c>
      <c r="AB39" s="5">
        <v>82335.76</v>
      </c>
    </row>
    <row r="40" spans="1:28" ht="12.75">
      <c r="A40" s="5">
        <v>50</v>
      </c>
      <c r="B40" s="5">
        <v>0</v>
      </c>
      <c r="C40" s="5">
        <v>0</v>
      </c>
      <c r="D40" s="5">
        <v>1</v>
      </c>
      <c r="E40" s="5">
        <v>202</v>
      </c>
      <c r="F40" s="5">
        <f>ROUND(Source!P37,O40)</f>
        <v>0</v>
      </c>
      <c r="G40" s="5" t="s">
        <v>54</v>
      </c>
      <c r="H40" s="5" t="s">
        <v>55</v>
      </c>
      <c r="I40" s="5"/>
      <c r="J40" s="5"/>
      <c r="K40" s="5">
        <v>202</v>
      </c>
      <c r="L40" s="5">
        <v>2</v>
      </c>
      <c r="M40" s="5">
        <v>3</v>
      </c>
      <c r="N40" s="5" t="s">
        <v>3</v>
      </c>
      <c r="O40" s="5">
        <v>2</v>
      </c>
      <c r="P40" s="5">
        <f>ROUND(Source!DH37,O40)</f>
        <v>0</v>
      </c>
      <c r="Q40" s="5"/>
      <c r="R40" s="5"/>
      <c r="S40" s="5"/>
      <c r="T40" s="5"/>
      <c r="U40" s="5"/>
      <c r="V40" s="5"/>
      <c r="W40" s="5">
        <v>0</v>
      </c>
      <c r="X40" s="5">
        <v>1</v>
      </c>
      <c r="Y40" s="5">
        <v>0</v>
      </c>
      <c r="Z40" s="5">
        <v>0</v>
      </c>
      <c r="AA40" s="5">
        <v>1</v>
      </c>
      <c r="AB40" s="5">
        <v>0</v>
      </c>
    </row>
    <row r="41" spans="1:28" ht="12.75">
      <c r="A41" s="5">
        <v>50</v>
      </c>
      <c r="B41" s="5">
        <v>0</v>
      </c>
      <c r="C41" s="5">
        <v>0</v>
      </c>
      <c r="D41" s="5">
        <v>1</v>
      </c>
      <c r="E41" s="5">
        <v>222</v>
      </c>
      <c r="F41" s="5">
        <f>ROUND(Source!AO37,O41)</f>
        <v>0</v>
      </c>
      <c r="G41" s="5" t="s">
        <v>56</v>
      </c>
      <c r="H41" s="5" t="s">
        <v>57</v>
      </c>
      <c r="I41" s="5"/>
      <c r="J41" s="5"/>
      <c r="K41" s="5">
        <v>222</v>
      </c>
      <c r="L41" s="5">
        <v>3</v>
      </c>
      <c r="M41" s="5">
        <v>3</v>
      </c>
      <c r="N41" s="5" t="s">
        <v>3</v>
      </c>
      <c r="O41" s="5">
        <v>2</v>
      </c>
      <c r="P41" s="5">
        <f>ROUND(Source!EG37,O41)</f>
        <v>0</v>
      </c>
      <c r="Q41" s="5"/>
      <c r="R41" s="5"/>
      <c r="S41" s="5"/>
      <c r="T41" s="5"/>
      <c r="U41" s="5"/>
      <c r="V41" s="5"/>
      <c r="W41" s="5">
        <v>0</v>
      </c>
      <c r="X41" s="5">
        <v>1</v>
      </c>
      <c r="Y41" s="5">
        <v>0</v>
      </c>
      <c r="Z41" s="5">
        <v>0</v>
      </c>
      <c r="AA41" s="5">
        <v>1</v>
      </c>
      <c r="AB41" s="5">
        <v>0</v>
      </c>
    </row>
    <row r="42" spans="1:28" ht="12.75">
      <c r="A42" s="5">
        <v>50</v>
      </c>
      <c r="B42" s="5">
        <v>0</v>
      </c>
      <c r="C42" s="5">
        <v>0</v>
      </c>
      <c r="D42" s="5">
        <v>1</v>
      </c>
      <c r="E42" s="5">
        <v>225</v>
      </c>
      <c r="F42" s="5">
        <f>ROUND(Source!AV37,O42)</f>
        <v>0</v>
      </c>
      <c r="G42" s="5" t="s">
        <v>58</v>
      </c>
      <c r="H42" s="5" t="s">
        <v>59</v>
      </c>
      <c r="I42" s="5"/>
      <c r="J42" s="5"/>
      <c r="K42" s="5">
        <v>225</v>
      </c>
      <c r="L42" s="5">
        <v>4</v>
      </c>
      <c r="M42" s="5">
        <v>3</v>
      </c>
      <c r="N42" s="5" t="s">
        <v>3</v>
      </c>
      <c r="O42" s="5">
        <v>2</v>
      </c>
      <c r="P42" s="5">
        <f>ROUND(Source!EN37,O42)</f>
        <v>0</v>
      </c>
      <c r="Q42" s="5"/>
      <c r="R42" s="5"/>
      <c r="S42" s="5"/>
      <c r="T42" s="5"/>
      <c r="U42" s="5"/>
      <c r="V42" s="5"/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226</v>
      </c>
      <c r="F43" s="5">
        <f>ROUND(Source!AW37,O43)</f>
        <v>0</v>
      </c>
      <c r="G43" s="5" t="s">
        <v>60</v>
      </c>
      <c r="H43" s="5" t="s">
        <v>61</v>
      </c>
      <c r="I43" s="5"/>
      <c r="J43" s="5"/>
      <c r="K43" s="5">
        <v>226</v>
      </c>
      <c r="L43" s="5">
        <v>5</v>
      </c>
      <c r="M43" s="5">
        <v>3</v>
      </c>
      <c r="N43" s="5" t="s">
        <v>3</v>
      </c>
      <c r="O43" s="5">
        <v>2</v>
      </c>
      <c r="P43" s="5">
        <f>ROUND(Source!EO37,O43)</f>
        <v>0</v>
      </c>
      <c r="Q43" s="5"/>
      <c r="R43" s="5"/>
      <c r="S43" s="5"/>
      <c r="T43" s="5"/>
      <c r="U43" s="5"/>
      <c r="V43" s="5"/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227</v>
      </c>
      <c r="F44" s="5">
        <f>ROUND(Source!AX37,O44)</f>
        <v>0</v>
      </c>
      <c r="G44" s="5" t="s">
        <v>62</v>
      </c>
      <c r="H44" s="5" t="s">
        <v>63</v>
      </c>
      <c r="I44" s="5"/>
      <c r="J44" s="5"/>
      <c r="K44" s="5">
        <v>227</v>
      </c>
      <c r="L44" s="5">
        <v>6</v>
      </c>
      <c r="M44" s="5">
        <v>3</v>
      </c>
      <c r="N44" s="5" t="s">
        <v>3</v>
      </c>
      <c r="O44" s="5">
        <v>2</v>
      </c>
      <c r="P44" s="5">
        <f>ROUND(Source!EP37,O44)</f>
        <v>0</v>
      </c>
      <c r="Q44" s="5"/>
      <c r="R44" s="5"/>
      <c r="S44" s="5"/>
      <c r="T44" s="5"/>
      <c r="U44" s="5"/>
      <c r="V44" s="5"/>
      <c r="W44" s="5">
        <v>0</v>
      </c>
      <c r="X44" s="5">
        <v>1</v>
      </c>
      <c r="Y44" s="5">
        <v>0</v>
      </c>
      <c r="Z44" s="5">
        <v>0</v>
      </c>
      <c r="AA44" s="5">
        <v>1</v>
      </c>
      <c r="AB44" s="5">
        <v>0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228</v>
      </c>
      <c r="F45" s="5">
        <f>ROUND(Source!AY37,O45)</f>
        <v>0</v>
      </c>
      <c r="G45" s="5" t="s">
        <v>64</v>
      </c>
      <c r="H45" s="5" t="s">
        <v>65</v>
      </c>
      <c r="I45" s="5"/>
      <c r="J45" s="5"/>
      <c r="K45" s="5">
        <v>228</v>
      </c>
      <c r="L45" s="5">
        <v>7</v>
      </c>
      <c r="M45" s="5">
        <v>3</v>
      </c>
      <c r="N45" s="5" t="s">
        <v>3</v>
      </c>
      <c r="O45" s="5">
        <v>2</v>
      </c>
      <c r="P45" s="5">
        <f>ROUND(Source!EQ37,O45)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216</v>
      </c>
      <c r="F46" s="5">
        <f>ROUND(Source!AP37,O46)</f>
        <v>0</v>
      </c>
      <c r="G46" s="5" t="s">
        <v>66</v>
      </c>
      <c r="H46" s="5" t="s">
        <v>67</v>
      </c>
      <c r="I46" s="5"/>
      <c r="J46" s="5"/>
      <c r="K46" s="5">
        <v>216</v>
      </c>
      <c r="L46" s="5">
        <v>8</v>
      </c>
      <c r="M46" s="5">
        <v>3</v>
      </c>
      <c r="N46" s="5" t="s">
        <v>3</v>
      </c>
      <c r="O46" s="5">
        <v>2</v>
      </c>
      <c r="P46" s="5">
        <f>ROUND(Source!EH37,O46)</f>
        <v>0</v>
      </c>
      <c r="Q46" s="5"/>
      <c r="R46" s="5"/>
      <c r="S46" s="5"/>
      <c r="T46" s="5"/>
      <c r="U46" s="5"/>
      <c r="V46" s="5"/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223</v>
      </c>
      <c r="F47" s="5">
        <f>ROUND(Source!AQ37,O47)</f>
        <v>0</v>
      </c>
      <c r="G47" s="5" t="s">
        <v>68</v>
      </c>
      <c r="H47" s="5" t="s">
        <v>69</v>
      </c>
      <c r="I47" s="5"/>
      <c r="J47" s="5"/>
      <c r="K47" s="5">
        <v>223</v>
      </c>
      <c r="L47" s="5">
        <v>9</v>
      </c>
      <c r="M47" s="5">
        <v>3</v>
      </c>
      <c r="N47" s="5" t="s">
        <v>3</v>
      </c>
      <c r="O47" s="5">
        <v>2</v>
      </c>
      <c r="P47" s="5">
        <f>ROUND(Source!EI37,O47)</f>
        <v>0</v>
      </c>
      <c r="Q47" s="5"/>
      <c r="R47" s="5"/>
      <c r="S47" s="5"/>
      <c r="T47" s="5"/>
      <c r="U47" s="5"/>
      <c r="V47" s="5"/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0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229</v>
      </c>
      <c r="F48" s="5">
        <f>ROUND(Source!AZ37,O48)</f>
        <v>0</v>
      </c>
      <c r="G48" s="5" t="s">
        <v>70</v>
      </c>
      <c r="H48" s="5" t="s">
        <v>71</v>
      </c>
      <c r="I48" s="5"/>
      <c r="J48" s="5"/>
      <c r="K48" s="5">
        <v>229</v>
      </c>
      <c r="L48" s="5">
        <v>10</v>
      </c>
      <c r="M48" s="5">
        <v>3</v>
      </c>
      <c r="N48" s="5" t="s">
        <v>3</v>
      </c>
      <c r="O48" s="5">
        <v>2</v>
      </c>
      <c r="P48" s="5">
        <f>ROUND(Source!ER37,O48)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203</v>
      </c>
      <c r="F49" s="5">
        <f>ROUND(Source!Q37,O49)</f>
        <v>590.38</v>
      </c>
      <c r="G49" s="5" t="s">
        <v>72</v>
      </c>
      <c r="H49" s="5" t="s">
        <v>73</v>
      </c>
      <c r="I49" s="5"/>
      <c r="J49" s="5"/>
      <c r="K49" s="5">
        <v>203</v>
      </c>
      <c r="L49" s="5">
        <v>11</v>
      </c>
      <c r="M49" s="5">
        <v>3</v>
      </c>
      <c r="N49" s="5" t="s">
        <v>3</v>
      </c>
      <c r="O49" s="5">
        <v>2</v>
      </c>
      <c r="P49" s="5">
        <f>ROUND(Source!DI37,O49)</f>
        <v>590.38</v>
      </c>
      <c r="Q49" s="5"/>
      <c r="R49" s="5"/>
      <c r="S49" s="5"/>
      <c r="T49" s="5"/>
      <c r="U49" s="5"/>
      <c r="V49" s="5"/>
      <c r="W49" s="5">
        <v>590.38</v>
      </c>
      <c r="X49" s="5">
        <v>1</v>
      </c>
      <c r="Y49" s="5">
        <v>590.38</v>
      </c>
      <c r="Z49" s="5">
        <v>590.38</v>
      </c>
      <c r="AA49" s="5">
        <v>1</v>
      </c>
      <c r="AB49" s="5">
        <v>7657.23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231</v>
      </c>
      <c r="F50" s="5">
        <f>ROUND(Source!BB37,O50)</f>
        <v>0</v>
      </c>
      <c r="G50" s="5" t="s">
        <v>74</v>
      </c>
      <c r="H50" s="5" t="s">
        <v>75</v>
      </c>
      <c r="I50" s="5"/>
      <c r="J50" s="5"/>
      <c r="K50" s="5">
        <v>231</v>
      </c>
      <c r="L50" s="5">
        <v>12</v>
      </c>
      <c r="M50" s="5">
        <v>3</v>
      </c>
      <c r="N50" s="5" t="s">
        <v>3</v>
      </c>
      <c r="O50" s="5">
        <v>2</v>
      </c>
      <c r="P50" s="5">
        <f>ROUND(Source!ET37,O50)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204</v>
      </c>
      <c r="F51" s="5">
        <f>ROUND(Source!R37,O51)</f>
        <v>46.82</v>
      </c>
      <c r="G51" s="5" t="s">
        <v>76</v>
      </c>
      <c r="H51" s="5" t="s">
        <v>77</v>
      </c>
      <c r="I51" s="5"/>
      <c r="J51" s="5"/>
      <c r="K51" s="5">
        <v>204</v>
      </c>
      <c r="L51" s="5">
        <v>13</v>
      </c>
      <c r="M51" s="5">
        <v>3</v>
      </c>
      <c r="N51" s="5" t="s">
        <v>3</v>
      </c>
      <c r="O51" s="5">
        <v>2</v>
      </c>
      <c r="P51" s="5">
        <f>ROUND(Source!DJ37,O51)</f>
        <v>46.82</v>
      </c>
      <c r="Q51" s="5"/>
      <c r="R51" s="5"/>
      <c r="S51" s="5"/>
      <c r="T51" s="5"/>
      <c r="U51" s="5"/>
      <c r="V51" s="5"/>
      <c r="W51" s="5">
        <v>46.82</v>
      </c>
      <c r="X51" s="5">
        <v>1</v>
      </c>
      <c r="Y51" s="5">
        <v>46.82</v>
      </c>
      <c r="Z51" s="5">
        <v>46.82</v>
      </c>
      <c r="AA51" s="5">
        <v>1</v>
      </c>
      <c r="AB51" s="5">
        <v>1707.53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205</v>
      </c>
      <c r="F52" s="5">
        <f>ROUND(Source!S37,O52)</f>
        <v>2047.67</v>
      </c>
      <c r="G52" s="5" t="s">
        <v>78</v>
      </c>
      <c r="H52" s="5" t="s">
        <v>79</v>
      </c>
      <c r="I52" s="5"/>
      <c r="J52" s="5"/>
      <c r="K52" s="5">
        <v>205</v>
      </c>
      <c r="L52" s="5">
        <v>14</v>
      </c>
      <c r="M52" s="5">
        <v>3</v>
      </c>
      <c r="N52" s="5" t="s">
        <v>3</v>
      </c>
      <c r="O52" s="5">
        <v>2</v>
      </c>
      <c r="P52" s="5">
        <f>ROUND(Source!DK37,O52)</f>
        <v>2047.67</v>
      </c>
      <c r="Q52" s="5"/>
      <c r="R52" s="5"/>
      <c r="S52" s="5"/>
      <c r="T52" s="5"/>
      <c r="U52" s="5"/>
      <c r="V52" s="5"/>
      <c r="W52" s="5">
        <v>2047.67</v>
      </c>
      <c r="X52" s="5">
        <v>1</v>
      </c>
      <c r="Y52" s="5">
        <v>2047.67</v>
      </c>
      <c r="Z52" s="5">
        <v>2047.67</v>
      </c>
      <c r="AA52" s="5">
        <v>1</v>
      </c>
      <c r="AB52" s="5">
        <v>74678.53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232</v>
      </c>
      <c r="F53" s="5">
        <f>ROUND(Source!BC37,O53)</f>
        <v>0</v>
      </c>
      <c r="G53" s="5" t="s">
        <v>80</v>
      </c>
      <c r="H53" s="5" t="s">
        <v>81</v>
      </c>
      <c r="I53" s="5"/>
      <c r="J53" s="5"/>
      <c r="K53" s="5">
        <v>232</v>
      </c>
      <c r="L53" s="5">
        <v>15</v>
      </c>
      <c r="M53" s="5">
        <v>3</v>
      </c>
      <c r="N53" s="5" t="s">
        <v>3</v>
      </c>
      <c r="O53" s="5">
        <v>2</v>
      </c>
      <c r="P53" s="5">
        <f>ROUND(Source!EU37,O53)</f>
        <v>0</v>
      </c>
      <c r="Q53" s="5"/>
      <c r="R53" s="5"/>
      <c r="S53" s="5"/>
      <c r="T53" s="5"/>
      <c r="U53" s="5"/>
      <c r="V53" s="5"/>
      <c r="W53" s="5">
        <v>0</v>
      </c>
      <c r="X53" s="5">
        <v>1</v>
      </c>
      <c r="Y53" s="5">
        <v>0</v>
      </c>
      <c r="Z53" s="5">
        <v>0</v>
      </c>
      <c r="AA53" s="5">
        <v>1</v>
      </c>
      <c r="AB53" s="5">
        <v>0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214</v>
      </c>
      <c r="F54" s="5">
        <f>ROUND(Source!AS37,O54)</f>
        <v>5911.48</v>
      </c>
      <c r="G54" s="5" t="s">
        <v>82</v>
      </c>
      <c r="H54" s="5" t="s">
        <v>83</v>
      </c>
      <c r="I54" s="5"/>
      <c r="J54" s="5"/>
      <c r="K54" s="5">
        <v>214</v>
      </c>
      <c r="L54" s="5">
        <v>16</v>
      </c>
      <c r="M54" s="5">
        <v>3</v>
      </c>
      <c r="N54" s="5" t="s">
        <v>3</v>
      </c>
      <c r="O54" s="5">
        <v>2</v>
      </c>
      <c r="P54" s="5">
        <f>ROUND(Source!EK37,O54)</f>
        <v>5911.48</v>
      </c>
      <c r="Q54" s="5"/>
      <c r="R54" s="5"/>
      <c r="S54" s="5"/>
      <c r="T54" s="5"/>
      <c r="U54" s="5"/>
      <c r="V54" s="5"/>
      <c r="W54" s="5">
        <v>5911.48</v>
      </c>
      <c r="X54" s="5">
        <v>1</v>
      </c>
      <c r="Y54" s="5">
        <v>5911.48</v>
      </c>
      <c r="Z54" s="5">
        <v>5911.48</v>
      </c>
      <c r="AA54" s="5">
        <v>1</v>
      </c>
      <c r="AB54" s="5">
        <v>201717.81000000003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215</v>
      </c>
      <c r="F55" s="5">
        <f>ROUND(Source!AT37,O55)</f>
        <v>0</v>
      </c>
      <c r="G55" s="5" t="s">
        <v>84</v>
      </c>
      <c r="H55" s="5" t="s">
        <v>85</v>
      </c>
      <c r="I55" s="5"/>
      <c r="J55" s="5"/>
      <c r="K55" s="5">
        <v>215</v>
      </c>
      <c r="L55" s="5">
        <v>17</v>
      </c>
      <c r="M55" s="5">
        <v>3</v>
      </c>
      <c r="N55" s="5" t="s">
        <v>3</v>
      </c>
      <c r="O55" s="5">
        <v>2</v>
      </c>
      <c r="P55" s="5">
        <f>ROUND(Source!EL37,O55)</f>
        <v>0</v>
      </c>
      <c r="Q55" s="5"/>
      <c r="R55" s="5"/>
      <c r="S55" s="5"/>
      <c r="T55" s="5"/>
      <c r="U55" s="5"/>
      <c r="V55" s="5"/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217</v>
      </c>
      <c r="F56" s="5">
        <f>ROUND(Source!AU37,O56)</f>
        <v>0</v>
      </c>
      <c r="G56" s="5" t="s">
        <v>86</v>
      </c>
      <c r="H56" s="5" t="s">
        <v>87</v>
      </c>
      <c r="I56" s="5"/>
      <c r="J56" s="5"/>
      <c r="K56" s="5">
        <v>217</v>
      </c>
      <c r="L56" s="5">
        <v>18</v>
      </c>
      <c r="M56" s="5">
        <v>3</v>
      </c>
      <c r="N56" s="5" t="s">
        <v>3</v>
      </c>
      <c r="O56" s="5">
        <v>2</v>
      </c>
      <c r="P56" s="5">
        <f>ROUND(Source!EM37,O56)</f>
        <v>0</v>
      </c>
      <c r="Q56" s="5"/>
      <c r="R56" s="5"/>
      <c r="S56" s="5"/>
      <c r="T56" s="5"/>
      <c r="U56" s="5"/>
      <c r="V56" s="5"/>
      <c r="W56" s="5">
        <v>0</v>
      </c>
      <c r="X56" s="5">
        <v>1</v>
      </c>
      <c r="Y56" s="5">
        <v>0</v>
      </c>
      <c r="Z56" s="5">
        <v>0</v>
      </c>
      <c r="AA56" s="5">
        <v>1</v>
      </c>
      <c r="AB56" s="5">
        <v>0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230</v>
      </c>
      <c r="F57" s="5">
        <f>ROUND(Source!BA37,O57)</f>
        <v>0</v>
      </c>
      <c r="G57" s="5" t="s">
        <v>88</v>
      </c>
      <c r="H57" s="5" t="s">
        <v>89</v>
      </c>
      <c r="I57" s="5"/>
      <c r="J57" s="5"/>
      <c r="K57" s="5">
        <v>230</v>
      </c>
      <c r="L57" s="5">
        <v>19</v>
      </c>
      <c r="M57" s="5">
        <v>3</v>
      </c>
      <c r="N57" s="5" t="s">
        <v>3</v>
      </c>
      <c r="O57" s="5">
        <v>2</v>
      </c>
      <c r="P57" s="5">
        <f>ROUND(Source!ES37,O57)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206</v>
      </c>
      <c r="F58" s="5">
        <f>ROUND(Source!T37,O58)</f>
        <v>0</v>
      </c>
      <c r="G58" s="5" t="s">
        <v>90</v>
      </c>
      <c r="H58" s="5" t="s">
        <v>91</v>
      </c>
      <c r="I58" s="5"/>
      <c r="J58" s="5"/>
      <c r="K58" s="5">
        <v>206</v>
      </c>
      <c r="L58" s="5">
        <v>20</v>
      </c>
      <c r="M58" s="5">
        <v>3</v>
      </c>
      <c r="N58" s="5" t="s">
        <v>3</v>
      </c>
      <c r="O58" s="5">
        <v>2</v>
      </c>
      <c r="P58" s="5">
        <f>ROUND(Source!DL37,O58)</f>
        <v>0</v>
      </c>
      <c r="Q58" s="5"/>
      <c r="R58" s="5"/>
      <c r="S58" s="5"/>
      <c r="T58" s="5"/>
      <c r="U58" s="5"/>
      <c r="V58" s="5"/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207</v>
      </c>
      <c r="F59" s="5">
        <f>Source!U37</f>
        <v>260.783424</v>
      </c>
      <c r="G59" s="5" t="s">
        <v>92</v>
      </c>
      <c r="H59" s="5" t="s">
        <v>93</v>
      </c>
      <c r="I59" s="5"/>
      <c r="J59" s="5"/>
      <c r="K59" s="5">
        <v>207</v>
      </c>
      <c r="L59" s="5">
        <v>21</v>
      </c>
      <c r="M59" s="5">
        <v>3</v>
      </c>
      <c r="N59" s="5" t="s">
        <v>3</v>
      </c>
      <c r="O59" s="5">
        <v>-1</v>
      </c>
      <c r="P59" s="5">
        <f>Source!DM37</f>
        <v>260.783424</v>
      </c>
      <c r="Q59" s="5"/>
      <c r="R59" s="5"/>
      <c r="S59" s="5"/>
      <c r="T59" s="5"/>
      <c r="U59" s="5"/>
      <c r="V59" s="5"/>
      <c r="W59" s="5">
        <v>260.783424</v>
      </c>
      <c r="X59" s="5">
        <v>1</v>
      </c>
      <c r="Y59" s="5">
        <v>260.783424</v>
      </c>
      <c r="Z59" s="5">
        <v>260.783424</v>
      </c>
      <c r="AA59" s="5">
        <v>1</v>
      </c>
      <c r="AB59" s="5">
        <v>260.783424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208</v>
      </c>
      <c r="F60" s="5">
        <f>Source!V37</f>
        <v>3.4674047999999997</v>
      </c>
      <c r="G60" s="5" t="s">
        <v>94</v>
      </c>
      <c r="H60" s="5" t="s">
        <v>95</v>
      </c>
      <c r="I60" s="5"/>
      <c r="J60" s="5"/>
      <c r="K60" s="5">
        <v>208</v>
      </c>
      <c r="L60" s="5">
        <v>22</v>
      </c>
      <c r="M60" s="5">
        <v>3</v>
      </c>
      <c r="N60" s="5" t="s">
        <v>3</v>
      </c>
      <c r="O60" s="5">
        <v>-1</v>
      </c>
      <c r="P60" s="5">
        <f>Source!DN37</f>
        <v>3.4674047999999997</v>
      </c>
      <c r="Q60" s="5"/>
      <c r="R60" s="5"/>
      <c r="S60" s="5"/>
      <c r="T60" s="5"/>
      <c r="U60" s="5"/>
      <c r="V60" s="5"/>
      <c r="W60" s="5">
        <v>3.4674048</v>
      </c>
      <c r="X60" s="5">
        <v>1</v>
      </c>
      <c r="Y60" s="5">
        <v>3.4674048</v>
      </c>
      <c r="Z60" s="5">
        <v>3.4674048</v>
      </c>
      <c r="AA60" s="5">
        <v>1</v>
      </c>
      <c r="AB60" s="5">
        <v>3.4674048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209</v>
      </c>
      <c r="F61" s="5">
        <f>ROUND(Source!W37,O61)</f>
        <v>0</v>
      </c>
      <c r="G61" s="5" t="s">
        <v>96</v>
      </c>
      <c r="H61" s="5" t="s">
        <v>97</v>
      </c>
      <c r="I61" s="5"/>
      <c r="J61" s="5"/>
      <c r="K61" s="5">
        <v>209</v>
      </c>
      <c r="L61" s="5">
        <v>23</v>
      </c>
      <c r="M61" s="5">
        <v>3</v>
      </c>
      <c r="N61" s="5" t="s">
        <v>3</v>
      </c>
      <c r="O61" s="5">
        <v>2</v>
      </c>
      <c r="P61" s="5">
        <f>ROUND(Source!DO37,O61)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233</v>
      </c>
      <c r="F62" s="5">
        <f>ROUND(Source!BD37,O62)</f>
        <v>0</v>
      </c>
      <c r="G62" s="5" t="s">
        <v>98</v>
      </c>
      <c r="H62" s="5" t="s">
        <v>99</v>
      </c>
      <c r="I62" s="5"/>
      <c r="J62" s="5"/>
      <c r="K62" s="5">
        <v>233</v>
      </c>
      <c r="L62" s="5">
        <v>24</v>
      </c>
      <c r="M62" s="5">
        <v>3</v>
      </c>
      <c r="N62" s="5" t="s">
        <v>3</v>
      </c>
      <c r="O62" s="5">
        <v>2</v>
      </c>
      <c r="P62" s="5">
        <f>ROUND(Source!EV37,O62)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210</v>
      </c>
      <c r="F63" s="5">
        <f>ROUND(Source!X37,O63)</f>
        <v>2077.89</v>
      </c>
      <c r="G63" s="5" t="s">
        <v>100</v>
      </c>
      <c r="H63" s="5" t="s">
        <v>101</v>
      </c>
      <c r="I63" s="5"/>
      <c r="J63" s="5"/>
      <c r="K63" s="5">
        <v>210</v>
      </c>
      <c r="L63" s="5">
        <v>25</v>
      </c>
      <c r="M63" s="5">
        <v>3</v>
      </c>
      <c r="N63" s="5" t="s">
        <v>3</v>
      </c>
      <c r="O63" s="5">
        <v>2</v>
      </c>
      <c r="P63" s="5">
        <f>ROUND(Source!DP37,O63)</f>
        <v>2077.89</v>
      </c>
      <c r="Q63" s="5"/>
      <c r="R63" s="5"/>
      <c r="S63" s="5"/>
      <c r="T63" s="5"/>
      <c r="U63" s="5"/>
      <c r="V63" s="5"/>
      <c r="W63" s="5">
        <v>2077.89</v>
      </c>
      <c r="X63" s="5">
        <v>1</v>
      </c>
      <c r="Y63" s="5">
        <v>2077.89</v>
      </c>
      <c r="Z63" s="5">
        <v>2077.89</v>
      </c>
      <c r="AA63" s="5">
        <v>1</v>
      </c>
      <c r="AB63" s="5">
        <v>75780.42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211</v>
      </c>
      <c r="F64" s="5">
        <f>ROUND(Source!Y37,O64)</f>
        <v>1195.54</v>
      </c>
      <c r="G64" s="5" t="s">
        <v>102</v>
      </c>
      <c r="H64" s="5" t="s">
        <v>103</v>
      </c>
      <c r="I64" s="5"/>
      <c r="J64" s="5"/>
      <c r="K64" s="5">
        <v>211</v>
      </c>
      <c r="L64" s="5">
        <v>26</v>
      </c>
      <c r="M64" s="5">
        <v>3</v>
      </c>
      <c r="N64" s="5" t="s">
        <v>3</v>
      </c>
      <c r="O64" s="5">
        <v>2</v>
      </c>
      <c r="P64" s="5">
        <f>ROUND(Source!DQ37,O64)</f>
        <v>1195.54</v>
      </c>
      <c r="Q64" s="5"/>
      <c r="R64" s="5"/>
      <c r="S64" s="5"/>
      <c r="T64" s="5"/>
      <c r="U64" s="5"/>
      <c r="V64" s="5"/>
      <c r="W64" s="5">
        <v>1195.54</v>
      </c>
      <c r="X64" s="5">
        <v>1</v>
      </c>
      <c r="Y64" s="5">
        <v>1195.54</v>
      </c>
      <c r="Z64" s="5">
        <v>1195.54</v>
      </c>
      <c r="AA64" s="5">
        <v>1</v>
      </c>
      <c r="AB64" s="5">
        <v>43601.630000000005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224</v>
      </c>
      <c r="F65" s="5">
        <f>ROUND(Source!AR37,O65)</f>
        <v>5911.48</v>
      </c>
      <c r="G65" s="5" t="s">
        <v>104</v>
      </c>
      <c r="H65" s="5" t="s">
        <v>105</v>
      </c>
      <c r="I65" s="5"/>
      <c r="J65" s="5"/>
      <c r="K65" s="5">
        <v>224</v>
      </c>
      <c r="L65" s="5">
        <v>27</v>
      </c>
      <c r="M65" s="5">
        <v>3</v>
      </c>
      <c r="N65" s="5" t="s">
        <v>3</v>
      </c>
      <c r="O65" s="5">
        <v>2</v>
      </c>
      <c r="P65" s="5">
        <f>ROUND(Source!EJ37,O65)</f>
        <v>5911.48</v>
      </c>
      <c r="Q65" s="5"/>
      <c r="R65" s="5"/>
      <c r="S65" s="5"/>
      <c r="T65" s="5"/>
      <c r="U65" s="5"/>
      <c r="V65" s="5"/>
      <c r="W65" s="5">
        <v>5911.4800000000005</v>
      </c>
      <c r="X65" s="5">
        <v>1</v>
      </c>
      <c r="Y65" s="5">
        <v>5911.4800000000005</v>
      </c>
      <c r="Z65" s="5">
        <v>5911.4800000000005</v>
      </c>
      <c r="AA65" s="5">
        <v>1</v>
      </c>
      <c r="AB65" s="5">
        <v>201717.81</v>
      </c>
    </row>
    <row r="67" spans="1:88" ht="12.75">
      <c r="A67" s="1">
        <v>4</v>
      </c>
      <c r="B67" s="1">
        <v>1</v>
      </c>
      <c r="C67" s="1"/>
      <c r="D67" s="1">
        <f>ROW(A112)</f>
        <v>112</v>
      </c>
      <c r="E67" s="1"/>
      <c r="F67" s="1" t="s">
        <v>3</v>
      </c>
      <c r="G67" s="1" t="s">
        <v>106</v>
      </c>
      <c r="H67" s="1" t="s">
        <v>3</v>
      </c>
      <c r="I67" s="1">
        <v>0</v>
      </c>
      <c r="J67" s="1"/>
      <c r="K67" s="1">
        <v>-1</v>
      </c>
      <c r="L67" s="1"/>
      <c r="M67" s="1" t="s">
        <v>3</v>
      </c>
      <c r="N67" s="1"/>
      <c r="O67" s="1"/>
      <c r="P67" s="1"/>
      <c r="Q67" s="1"/>
      <c r="R67" s="1"/>
      <c r="S67" s="1">
        <v>0</v>
      </c>
      <c r="T67" s="1">
        <v>55457797</v>
      </c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06" ht="12.75">
      <c r="A69" s="3">
        <v>52</v>
      </c>
      <c r="B69" s="3">
        <f aca="true" t="shared" si="59" ref="B69:G69">B112</f>
        <v>1</v>
      </c>
      <c r="C69" s="3">
        <f t="shared" si="59"/>
        <v>4</v>
      </c>
      <c r="D69" s="3">
        <f t="shared" si="59"/>
        <v>67</v>
      </c>
      <c r="E69" s="3">
        <f t="shared" si="59"/>
        <v>0</v>
      </c>
      <c r="F69" s="3">
        <f t="shared" si="59"/>
      </c>
      <c r="G69" s="3" t="str">
        <f t="shared" si="59"/>
        <v>Монтажные работы</v>
      </c>
      <c r="H69" s="3"/>
      <c r="I69" s="3"/>
      <c r="J69" s="3"/>
      <c r="K69" s="3"/>
      <c r="L69" s="3"/>
      <c r="M69" s="3"/>
      <c r="N69" s="3"/>
      <c r="O69" s="3">
        <f aca="true" t="shared" si="60" ref="O69:AT69">O112</f>
        <v>91437.24</v>
      </c>
      <c r="P69" s="3">
        <f t="shared" si="60"/>
        <v>85936.99</v>
      </c>
      <c r="Q69" s="3">
        <f t="shared" si="60"/>
        <v>1464.15</v>
      </c>
      <c r="R69" s="3">
        <f t="shared" si="60"/>
        <v>186.78</v>
      </c>
      <c r="S69" s="3">
        <f t="shared" si="60"/>
        <v>4036.1</v>
      </c>
      <c r="T69" s="3">
        <f t="shared" si="60"/>
        <v>0</v>
      </c>
      <c r="U69" s="3">
        <f t="shared" si="60"/>
        <v>443.604136</v>
      </c>
      <c r="V69" s="3">
        <f t="shared" si="60"/>
        <v>15.640264999999998</v>
      </c>
      <c r="W69" s="3">
        <f t="shared" si="60"/>
        <v>0</v>
      </c>
      <c r="X69" s="3">
        <f t="shared" si="60"/>
        <v>4143.51</v>
      </c>
      <c r="Y69" s="3">
        <f t="shared" si="60"/>
        <v>2047.88</v>
      </c>
      <c r="Z69" s="3">
        <f t="shared" si="60"/>
        <v>0</v>
      </c>
      <c r="AA69" s="3">
        <f t="shared" si="60"/>
        <v>0</v>
      </c>
      <c r="AB69" s="3">
        <f t="shared" si="60"/>
        <v>91437.24</v>
      </c>
      <c r="AC69" s="3">
        <f t="shared" si="60"/>
        <v>85936.99</v>
      </c>
      <c r="AD69" s="3">
        <f t="shared" si="60"/>
        <v>1464.15</v>
      </c>
      <c r="AE69" s="3">
        <f t="shared" si="60"/>
        <v>186.78</v>
      </c>
      <c r="AF69" s="3">
        <f t="shared" si="60"/>
        <v>4036.1</v>
      </c>
      <c r="AG69" s="3">
        <f t="shared" si="60"/>
        <v>0</v>
      </c>
      <c r="AH69" s="3">
        <f t="shared" si="60"/>
        <v>443.604136</v>
      </c>
      <c r="AI69" s="3">
        <f t="shared" si="60"/>
        <v>15.640264999999998</v>
      </c>
      <c r="AJ69" s="3">
        <f t="shared" si="60"/>
        <v>0</v>
      </c>
      <c r="AK69" s="3">
        <f t="shared" si="60"/>
        <v>4143.51</v>
      </c>
      <c r="AL69" s="3">
        <f t="shared" si="60"/>
        <v>2047.88</v>
      </c>
      <c r="AM69" s="3">
        <f t="shared" si="60"/>
        <v>0</v>
      </c>
      <c r="AN69" s="3">
        <f t="shared" si="60"/>
        <v>0</v>
      </c>
      <c r="AO69" s="3">
        <f t="shared" si="60"/>
        <v>0</v>
      </c>
      <c r="AP69" s="3">
        <f t="shared" si="60"/>
        <v>0</v>
      </c>
      <c r="AQ69" s="3">
        <f t="shared" si="60"/>
        <v>0</v>
      </c>
      <c r="AR69" s="3">
        <f t="shared" si="60"/>
        <v>97628.63</v>
      </c>
      <c r="AS69" s="3">
        <f t="shared" si="60"/>
        <v>97628.63</v>
      </c>
      <c r="AT69" s="3">
        <f t="shared" si="60"/>
        <v>0</v>
      </c>
      <c r="AU69" s="3">
        <f aca="true" t="shared" si="61" ref="AU69:BZ69">AU112</f>
        <v>0</v>
      </c>
      <c r="AV69" s="3">
        <f t="shared" si="61"/>
        <v>85936.99</v>
      </c>
      <c r="AW69" s="3">
        <f t="shared" si="61"/>
        <v>85936.99</v>
      </c>
      <c r="AX69" s="3">
        <f t="shared" si="61"/>
        <v>0</v>
      </c>
      <c r="AY69" s="3">
        <f t="shared" si="61"/>
        <v>85936.99</v>
      </c>
      <c r="AZ69" s="3">
        <f t="shared" si="61"/>
        <v>0</v>
      </c>
      <c r="BA69" s="3">
        <f t="shared" si="61"/>
        <v>0</v>
      </c>
      <c r="BB69" s="3">
        <f t="shared" si="61"/>
        <v>0</v>
      </c>
      <c r="BC69" s="3">
        <f t="shared" si="61"/>
        <v>0</v>
      </c>
      <c r="BD69" s="3">
        <f t="shared" si="61"/>
        <v>0</v>
      </c>
      <c r="BE69" s="3">
        <f t="shared" si="61"/>
        <v>0</v>
      </c>
      <c r="BF69" s="3">
        <f t="shared" si="61"/>
        <v>0</v>
      </c>
      <c r="BG69" s="3">
        <f t="shared" si="61"/>
        <v>0</v>
      </c>
      <c r="BH69" s="3">
        <f t="shared" si="61"/>
        <v>0</v>
      </c>
      <c r="BI69" s="3">
        <f t="shared" si="61"/>
        <v>0</v>
      </c>
      <c r="BJ69" s="3">
        <f t="shared" si="61"/>
        <v>0</v>
      </c>
      <c r="BK69" s="3">
        <f t="shared" si="61"/>
        <v>0</v>
      </c>
      <c r="BL69" s="3">
        <f t="shared" si="61"/>
        <v>0</v>
      </c>
      <c r="BM69" s="3">
        <f t="shared" si="61"/>
        <v>0</v>
      </c>
      <c r="BN69" s="3">
        <f t="shared" si="61"/>
        <v>0</v>
      </c>
      <c r="BO69" s="3">
        <f t="shared" si="61"/>
        <v>0</v>
      </c>
      <c r="BP69" s="3">
        <f t="shared" si="61"/>
        <v>0</v>
      </c>
      <c r="BQ69" s="3">
        <f t="shared" si="61"/>
        <v>0</v>
      </c>
      <c r="BR69" s="3">
        <f t="shared" si="61"/>
        <v>0</v>
      </c>
      <c r="BS69" s="3">
        <f t="shared" si="61"/>
        <v>0</v>
      </c>
      <c r="BT69" s="3">
        <f t="shared" si="61"/>
        <v>0</v>
      </c>
      <c r="BU69" s="3">
        <f t="shared" si="61"/>
        <v>0</v>
      </c>
      <c r="BV69" s="3">
        <f t="shared" si="61"/>
        <v>0</v>
      </c>
      <c r="BW69" s="3">
        <f t="shared" si="61"/>
        <v>0</v>
      </c>
      <c r="BX69" s="3">
        <f t="shared" si="61"/>
        <v>0</v>
      </c>
      <c r="BY69" s="3">
        <f t="shared" si="61"/>
        <v>0</v>
      </c>
      <c r="BZ69" s="3">
        <f t="shared" si="61"/>
        <v>0</v>
      </c>
      <c r="CA69" s="3">
        <f aca="true" t="shared" si="62" ref="CA69:DF69">CA112</f>
        <v>97628.63</v>
      </c>
      <c r="CB69" s="3">
        <f t="shared" si="62"/>
        <v>97628.63</v>
      </c>
      <c r="CC69" s="3">
        <f t="shared" si="62"/>
        <v>0</v>
      </c>
      <c r="CD69" s="3">
        <f t="shared" si="62"/>
        <v>0</v>
      </c>
      <c r="CE69" s="3">
        <f t="shared" si="62"/>
        <v>85936.99</v>
      </c>
      <c r="CF69" s="3">
        <f t="shared" si="62"/>
        <v>85936.99</v>
      </c>
      <c r="CG69" s="3">
        <f t="shared" si="62"/>
        <v>0</v>
      </c>
      <c r="CH69" s="3">
        <f t="shared" si="62"/>
        <v>85936.99</v>
      </c>
      <c r="CI69" s="3">
        <f t="shared" si="62"/>
        <v>0</v>
      </c>
      <c r="CJ69" s="3">
        <f t="shared" si="62"/>
        <v>0</v>
      </c>
      <c r="CK69" s="3">
        <f t="shared" si="62"/>
        <v>0</v>
      </c>
      <c r="CL69" s="3">
        <f t="shared" si="62"/>
        <v>0</v>
      </c>
      <c r="CM69" s="3">
        <f t="shared" si="62"/>
        <v>0</v>
      </c>
      <c r="CN69" s="3">
        <f t="shared" si="62"/>
        <v>0</v>
      </c>
      <c r="CO69" s="3">
        <f t="shared" si="62"/>
        <v>0</v>
      </c>
      <c r="CP69" s="3">
        <f t="shared" si="62"/>
        <v>0</v>
      </c>
      <c r="CQ69" s="3">
        <f t="shared" si="62"/>
        <v>0</v>
      </c>
      <c r="CR69" s="3">
        <f t="shared" si="62"/>
        <v>0</v>
      </c>
      <c r="CS69" s="3">
        <f t="shared" si="62"/>
        <v>0</v>
      </c>
      <c r="CT69" s="3">
        <f t="shared" si="62"/>
        <v>0</v>
      </c>
      <c r="CU69" s="3">
        <f t="shared" si="62"/>
        <v>0</v>
      </c>
      <c r="CV69" s="3">
        <f t="shared" si="62"/>
        <v>0</v>
      </c>
      <c r="CW69" s="3">
        <f t="shared" si="62"/>
        <v>0</v>
      </c>
      <c r="CX69" s="3">
        <f t="shared" si="62"/>
        <v>0</v>
      </c>
      <c r="CY69" s="3">
        <f t="shared" si="62"/>
        <v>0</v>
      </c>
      <c r="CZ69" s="3">
        <f t="shared" si="62"/>
        <v>0</v>
      </c>
      <c r="DA69" s="3">
        <f t="shared" si="62"/>
        <v>0</v>
      </c>
      <c r="DB69" s="3">
        <f t="shared" si="62"/>
        <v>0</v>
      </c>
      <c r="DC69" s="3">
        <f t="shared" si="62"/>
        <v>0</v>
      </c>
      <c r="DD69" s="3">
        <f t="shared" si="62"/>
        <v>0</v>
      </c>
      <c r="DE69" s="3">
        <f t="shared" si="62"/>
        <v>0</v>
      </c>
      <c r="DF69" s="3">
        <f t="shared" si="62"/>
        <v>0</v>
      </c>
      <c r="DG69" s="4">
        <f aca="true" t="shared" si="63" ref="DG69:EL69">DG112</f>
        <v>91437.24</v>
      </c>
      <c r="DH69" s="4">
        <f t="shared" si="63"/>
        <v>85936.99</v>
      </c>
      <c r="DI69" s="4">
        <f t="shared" si="63"/>
        <v>1464.15</v>
      </c>
      <c r="DJ69" s="4">
        <f t="shared" si="63"/>
        <v>186.78</v>
      </c>
      <c r="DK69" s="4">
        <f t="shared" si="63"/>
        <v>4036.1</v>
      </c>
      <c r="DL69" s="4">
        <f t="shared" si="63"/>
        <v>0</v>
      </c>
      <c r="DM69" s="4">
        <f t="shared" si="63"/>
        <v>443.604136</v>
      </c>
      <c r="DN69" s="4">
        <f t="shared" si="63"/>
        <v>15.640264999999998</v>
      </c>
      <c r="DO69" s="4">
        <f t="shared" si="63"/>
        <v>0</v>
      </c>
      <c r="DP69" s="4">
        <f t="shared" si="63"/>
        <v>4143.51</v>
      </c>
      <c r="DQ69" s="4">
        <f t="shared" si="63"/>
        <v>2047.88</v>
      </c>
      <c r="DR69" s="4">
        <f t="shared" si="63"/>
        <v>0</v>
      </c>
      <c r="DS69" s="4">
        <f t="shared" si="63"/>
        <v>0</v>
      </c>
      <c r="DT69" s="4">
        <f t="shared" si="63"/>
        <v>91437.24</v>
      </c>
      <c r="DU69" s="4">
        <f t="shared" si="63"/>
        <v>85936.99</v>
      </c>
      <c r="DV69" s="4">
        <f t="shared" si="63"/>
        <v>1464.15</v>
      </c>
      <c r="DW69" s="4">
        <f t="shared" si="63"/>
        <v>186.78</v>
      </c>
      <c r="DX69" s="4">
        <f t="shared" si="63"/>
        <v>4036.1</v>
      </c>
      <c r="DY69" s="4">
        <f t="shared" si="63"/>
        <v>0</v>
      </c>
      <c r="DZ69" s="4">
        <f t="shared" si="63"/>
        <v>443.604136</v>
      </c>
      <c r="EA69" s="4">
        <f t="shared" si="63"/>
        <v>15.640264999999998</v>
      </c>
      <c r="EB69" s="4">
        <f t="shared" si="63"/>
        <v>0</v>
      </c>
      <c r="EC69" s="4">
        <f t="shared" si="63"/>
        <v>4143.51</v>
      </c>
      <c r="ED69" s="4">
        <f t="shared" si="63"/>
        <v>2047.88</v>
      </c>
      <c r="EE69" s="4">
        <f t="shared" si="63"/>
        <v>0</v>
      </c>
      <c r="EF69" s="4">
        <f t="shared" si="63"/>
        <v>0</v>
      </c>
      <c r="EG69" s="4">
        <f t="shared" si="63"/>
        <v>0</v>
      </c>
      <c r="EH69" s="4">
        <f t="shared" si="63"/>
        <v>0</v>
      </c>
      <c r="EI69" s="4">
        <f t="shared" si="63"/>
        <v>0</v>
      </c>
      <c r="EJ69" s="4">
        <f t="shared" si="63"/>
        <v>97628.63</v>
      </c>
      <c r="EK69" s="4">
        <f t="shared" si="63"/>
        <v>97628.63</v>
      </c>
      <c r="EL69" s="4">
        <f t="shared" si="63"/>
        <v>0</v>
      </c>
      <c r="EM69" s="4">
        <f aca="true" t="shared" si="64" ref="EM69:FR69">EM112</f>
        <v>0</v>
      </c>
      <c r="EN69" s="4">
        <f t="shared" si="64"/>
        <v>85936.99</v>
      </c>
      <c r="EO69" s="4">
        <f t="shared" si="64"/>
        <v>85936.99</v>
      </c>
      <c r="EP69" s="4">
        <f t="shared" si="64"/>
        <v>0</v>
      </c>
      <c r="EQ69" s="4">
        <f t="shared" si="64"/>
        <v>85936.99</v>
      </c>
      <c r="ER69" s="4">
        <f t="shared" si="64"/>
        <v>0</v>
      </c>
      <c r="ES69" s="4">
        <f t="shared" si="64"/>
        <v>0</v>
      </c>
      <c r="ET69" s="4">
        <f t="shared" si="64"/>
        <v>0</v>
      </c>
      <c r="EU69" s="4">
        <f t="shared" si="64"/>
        <v>0</v>
      </c>
      <c r="EV69" s="4">
        <f t="shared" si="64"/>
        <v>0</v>
      </c>
      <c r="EW69" s="4">
        <f t="shared" si="64"/>
        <v>0</v>
      </c>
      <c r="EX69" s="4">
        <f t="shared" si="64"/>
        <v>0</v>
      </c>
      <c r="EY69" s="4">
        <f t="shared" si="64"/>
        <v>0</v>
      </c>
      <c r="EZ69" s="4">
        <f t="shared" si="64"/>
        <v>0</v>
      </c>
      <c r="FA69" s="4">
        <f t="shared" si="64"/>
        <v>0</v>
      </c>
      <c r="FB69" s="4">
        <f t="shared" si="64"/>
        <v>0</v>
      </c>
      <c r="FC69" s="4">
        <f t="shared" si="64"/>
        <v>0</v>
      </c>
      <c r="FD69" s="4">
        <f t="shared" si="64"/>
        <v>0</v>
      </c>
      <c r="FE69" s="4">
        <f t="shared" si="64"/>
        <v>0</v>
      </c>
      <c r="FF69" s="4">
        <f t="shared" si="64"/>
        <v>0</v>
      </c>
      <c r="FG69" s="4">
        <f t="shared" si="64"/>
        <v>0</v>
      </c>
      <c r="FH69" s="4">
        <f t="shared" si="64"/>
        <v>0</v>
      </c>
      <c r="FI69" s="4">
        <f t="shared" si="64"/>
        <v>0</v>
      </c>
      <c r="FJ69" s="4">
        <f t="shared" si="64"/>
        <v>0</v>
      </c>
      <c r="FK69" s="4">
        <f t="shared" si="64"/>
        <v>0</v>
      </c>
      <c r="FL69" s="4">
        <f t="shared" si="64"/>
        <v>0</v>
      </c>
      <c r="FM69" s="4">
        <f t="shared" si="64"/>
        <v>0</v>
      </c>
      <c r="FN69" s="4">
        <f t="shared" si="64"/>
        <v>0</v>
      </c>
      <c r="FO69" s="4">
        <f t="shared" si="64"/>
        <v>0</v>
      </c>
      <c r="FP69" s="4">
        <f t="shared" si="64"/>
        <v>0</v>
      </c>
      <c r="FQ69" s="4">
        <f t="shared" si="64"/>
        <v>0</v>
      </c>
      <c r="FR69" s="4">
        <f t="shared" si="64"/>
        <v>0</v>
      </c>
      <c r="FS69" s="4">
        <f aca="true" t="shared" si="65" ref="FS69:GX69">FS112</f>
        <v>97628.63</v>
      </c>
      <c r="FT69" s="4">
        <f t="shared" si="65"/>
        <v>97628.63</v>
      </c>
      <c r="FU69" s="4">
        <f t="shared" si="65"/>
        <v>0</v>
      </c>
      <c r="FV69" s="4">
        <f t="shared" si="65"/>
        <v>0</v>
      </c>
      <c r="FW69" s="4">
        <f t="shared" si="65"/>
        <v>85936.99</v>
      </c>
      <c r="FX69" s="4">
        <f t="shared" si="65"/>
        <v>85936.99</v>
      </c>
      <c r="FY69" s="4">
        <f t="shared" si="65"/>
        <v>0</v>
      </c>
      <c r="FZ69" s="4">
        <f t="shared" si="65"/>
        <v>85936.99</v>
      </c>
      <c r="GA69" s="4">
        <f t="shared" si="65"/>
        <v>0</v>
      </c>
      <c r="GB69" s="4">
        <f t="shared" si="65"/>
        <v>0</v>
      </c>
      <c r="GC69" s="4">
        <f t="shared" si="65"/>
        <v>0</v>
      </c>
      <c r="GD69" s="4">
        <f t="shared" si="65"/>
        <v>0</v>
      </c>
      <c r="GE69" s="4">
        <f t="shared" si="65"/>
        <v>0</v>
      </c>
      <c r="GF69" s="4">
        <f t="shared" si="65"/>
        <v>0</v>
      </c>
      <c r="GG69" s="4">
        <f t="shared" si="65"/>
        <v>0</v>
      </c>
      <c r="GH69" s="4">
        <f t="shared" si="65"/>
        <v>0</v>
      </c>
      <c r="GI69" s="4">
        <f t="shared" si="65"/>
        <v>0</v>
      </c>
      <c r="GJ69" s="4">
        <f t="shared" si="65"/>
        <v>0</v>
      </c>
      <c r="GK69" s="4">
        <f t="shared" si="65"/>
        <v>0</v>
      </c>
      <c r="GL69" s="4">
        <f t="shared" si="65"/>
        <v>0</v>
      </c>
      <c r="GM69" s="4">
        <f t="shared" si="65"/>
        <v>0</v>
      </c>
      <c r="GN69" s="4">
        <f t="shared" si="65"/>
        <v>0</v>
      </c>
      <c r="GO69" s="4">
        <f t="shared" si="65"/>
        <v>0</v>
      </c>
      <c r="GP69" s="4">
        <f t="shared" si="65"/>
        <v>0</v>
      </c>
      <c r="GQ69" s="4">
        <f t="shared" si="65"/>
        <v>0</v>
      </c>
      <c r="GR69" s="4">
        <f t="shared" si="65"/>
        <v>0</v>
      </c>
      <c r="GS69" s="4">
        <f t="shared" si="65"/>
        <v>0</v>
      </c>
      <c r="GT69" s="4">
        <f t="shared" si="65"/>
        <v>0</v>
      </c>
      <c r="GU69" s="4">
        <f t="shared" si="65"/>
        <v>0</v>
      </c>
      <c r="GV69" s="4">
        <f t="shared" si="65"/>
        <v>0</v>
      </c>
      <c r="GW69" s="4">
        <f t="shared" si="65"/>
        <v>0</v>
      </c>
      <c r="GX69" s="4">
        <f t="shared" si="65"/>
        <v>0</v>
      </c>
    </row>
    <row r="71" spans="1:255" ht="12.75">
      <c r="A71" s="2">
        <v>17</v>
      </c>
      <c r="B71" s="2">
        <v>1</v>
      </c>
      <c r="C71" s="2">
        <f>ROW(SmtRes!A24)</f>
        <v>24</v>
      </c>
      <c r="D71" s="2">
        <f>ROW(EtalonRes!A24)</f>
        <v>24</v>
      </c>
      <c r="E71" s="2" t="s">
        <v>107</v>
      </c>
      <c r="F71" s="2" t="s">
        <v>108</v>
      </c>
      <c r="G71" s="2" t="s">
        <v>109</v>
      </c>
      <c r="H71" s="2" t="s">
        <v>23</v>
      </c>
      <c r="I71" s="2">
        <f>ROUND(341.28/100,7)</f>
        <v>3.4128</v>
      </c>
      <c r="J71" s="2">
        <v>0</v>
      </c>
      <c r="K71" s="2">
        <f>ROUND(341.28/100,7)</f>
        <v>3.4128</v>
      </c>
      <c r="L71" s="2"/>
      <c r="M71" s="2"/>
      <c r="N71" s="2"/>
      <c r="O71" s="2">
        <f aca="true" t="shared" si="66" ref="O71:O110">ROUND(CP71,2)</f>
        <v>1759.41</v>
      </c>
      <c r="P71" s="2">
        <f aca="true" t="shared" si="67" ref="P71:P110">ROUND(CQ71*I71,2)</f>
        <v>125.15</v>
      </c>
      <c r="Q71" s="2">
        <f aca="true" t="shared" si="68" ref="Q71:Q110">ROUND(CR71*I71,2)</f>
        <v>810.27</v>
      </c>
      <c r="R71" s="2">
        <f aca="true" t="shared" si="69" ref="R71:R110">ROUND(CS71*I71,2)</f>
        <v>93.27</v>
      </c>
      <c r="S71" s="2">
        <f aca="true" t="shared" si="70" ref="S71:S110">ROUND(CT71*I71,2)</f>
        <v>823.99</v>
      </c>
      <c r="T71" s="2">
        <f aca="true" t="shared" si="71" ref="T71:T110">ROUND(CU71*I71,2)</f>
        <v>0</v>
      </c>
      <c r="U71" s="2">
        <f aca="true" t="shared" si="72" ref="U71:U110">CV71*I71</f>
        <v>95.370696</v>
      </c>
      <c r="V71" s="2">
        <f aca="true" t="shared" si="73" ref="V71:V110">CW71*I71</f>
        <v>8.276039999999998</v>
      </c>
      <c r="W71" s="2">
        <f aca="true" t="shared" si="74" ref="W71:W110">ROUND(CX71*I71,2)</f>
        <v>0</v>
      </c>
      <c r="X71" s="2">
        <f aca="true" t="shared" si="75" ref="X71:X110">ROUND(CY71,2)</f>
        <v>899.83</v>
      </c>
      <c r="Y71" s="2">
        <f aca="true" t="shared" si="76" ref="Y71:Y110">ROUND(CZ71,2)</f>
        <v>444.41</v>
      </c>
      <c r="Z71" s="2"/>
      <c r="AA71" s="2">
        <v>55457795</v>
      </c>
      <c r="AB71" s="2">
        <f aca="true" t="shared" si="77" ref="AB71:AB110">ROUND((AC71+AD71+AF71),2)</f>
        <v>515.53</v>
      </c>
      <c r="AC71" s="2">
        <f>ROUND((ES71),2)</f>
        <v>36.67</v>
      </c>
      <c r="AD71" s="2">
        <f>ROUND(((((ET71*ROUND(1.25,7)))-((EU71*ROUND(1.25,7))))+AE71),2)</f>
        <v>237.42</v>
      </c>
      <c r="AE71" s="2">
        <f>ROUND(((EU71*ROUND(1.25,7))),2)</f>
        <v>27.33</v>
      </c>
      <c r="AF71" s="2">
        <f>ROUND(((EV71*ROUND(1.15,7))),2)</f>
        <v>241.44</v>
      </c>
      <c r="AG71" s="2">
        <f aca="true" t="shared" si="78" ref="AG71:AG110">ROUND((AP71),2)</f>
        <v>0</v>
      </c>
      <c r="AH71" s="2">
        <f>((EW71*ROUND(1.15,7)))</f>
        <v>27.945</v>
      </c>
      <c r="AI71" s="2">
        <f>((EX71*ROUND(1.25,7)))</f>
        <v>2.425</v>
      </c>
      <c r="AJ71" s="2">
        <f aca="true" t="shared" si="79" ref="AJ71:AJ110">(AS71)</f>
        <v>0</v>
      </c>
      <c r="AK71" s="2">
        <v>436.55</v>
      </c>
      <c r="AL71" s="2">
        <v>36.67</v>
      </c>
      <c r="AM71" s="2">
        <v>189.93</v>
      </c>
      <c r="AN71" s="2">
        <v>21.86</v>
      </c>
      <c r="AO71" s="2">
        <v>209.95</v>
      </c>
      <c r="AP71" s="2">
        <v>0</v>
      </c>
      <c r="AQ71" s="2">
        <v>24.3</v>
      </c>
      <c r="AR71" s="2">
        <v>1.94</v>
      </c>
      <c r="AS71" s="2">
        <v>0</v>
      </c>
      <c r="AT71" s="2">
        <v>98.1</v>
      </c>
      <c r="AU71" s="2">
        <v>48.45</v>
      </c>
      <c r="AV71" s="2">
        <v>1</v>
      </c>
      <c r="AW71" s="2">
        <v>1</v>
      </c>
      <c r="AX71" s="2"/>
      <c r="AY71" s="2"/>
      <c r="AZ71" s="2">
        <v>1</v>
      </c>
      <c r="BA71" s="2">
        <v>1</v>
      </c>
      <c r="BB71" s="2">
        <v>1</v>
      </c>
      <c r="BC71" s="2">
        <v>1</v>
      </c>
      <c r="BD71" s="2" t="s">
        <v>3</v>
      </c>
      <c r="BE71" s="2" t="s">
        <v>3</v>
      </c>
      <c r="BF71" s="2" t="s">
        <v>3</v>
      </c>
      <c r="BG71" s="2" t="s">
        <v>3</v>
      </c>
      <c r="BH71" s="2">
        <v>0</v>
      </c>
      <c r="BI71" s="2">
        <v>1</v>
      </c>
      <c r="BJ71" s="2" t="s">
        <v>110</v>
      </c>
      <c r="BK71" s="2"/>
      <c r="BL71" s="2"/>
      <c r="BM71" s="2">
        <v>12001</v>
      </c>
      <c r="BN71" s="2">
        <v>0</v>
      </c>
      <c r="BO71" s="2" t="s">
        <v>3</v>
      </c>
      <c r="BP71" s="2">
        <v>0</v>
      </c>
      <c r="BQ71" s="2">
        <v>2</v>
      </c>
      <c r="BR71" s="2">
        <v>0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2">
        <v>1</v>
      </c>
      <c r="BY71" s="2" t="s">
        <v>3</v>
      </c>
      <c r="BZ71" s="2">
        <v>109</v>
      </c>
      <c r="CA71" s="2">
        <v>57</v>
      </c>
      <c r="CB71" s="2" t="s">
        <v>3</v>
      </c>
      <c r="CC71" s="2"/>
      <c r="CD71" s="2"/>
      <c r="CE71" s="2">
        <v>0</v>
      </c>
      <c r="CF71" s="2">
        <v>0</v>
      </c>
      <c r="CG71" s="2">
        <v>0</v>
      </c>
      <c r="CH71" s="2"/>
      <c r="CI71" s="2"/>
      <c r="CJ71" s="2"/>
      <c r="CK71" s="2"/>
      <c r="CL71" s="2"/>
      <c r="CM71" s="2">
        <v>0</v>
      </c>
      <c r="CN71" s="2" t="s">
        <v>363</v>
      </c>
      <c r="CO71" s="2">
        <v>0</v>
      </c>
      <c r="CP71" s="2">
        <f aca="true" t="shared" si="80" ref="CP71:CP110">(P71+Q71+S71)</f>
        <v>1759.4099999999999</v>
      </c>
      <c r="CQ71" s="2">
        <f aca="true" t="shared" si="81" ref="CQ71:CQ110">AC71*BC71</f>
        <v>36.67</v>
      </c>
      <c r="CR71" s="2">
        <f aca="true" t="shared" si="82" ref="CR71:CR110">AD71*BB71</f>
        <v>237.42</v>
      </c>
      <c r="CS71" s="2">
        <f aca="true" t="shared" si="83" ref="CS71:CS110">AE71</f>
        <v>27.33</v>
      </c>
      <c r="CT71" s="2">
        <f aca="true" t="shared" si="84" ref="CT71:CT110">AF71</f>
        <v>241.44</v>
      </c>
      <c r="CU71" s="2">
        <f aca="true" t="shared" si="85" ref="CU71:CU110">AG71</f>
        <v>0</v>
      </c>
      <c r="CV71" s="2">
        <f aca="true" t="shared" si="86" ref="CV71:CV110">AH71</f>
        <v>27.945</v>
      </c>
      <c r="CW71" s="2">
        <f aca="true" t="shared" si="87" ref="CW71:CW110">AI71</f>
        <v>2.425</v>
      </c>
      <c r="CX71" s="2">
        <f aca="true" t="shared" si="88" ref="CX71:CX110">AJ71</f>
        <v>0</v>
      </c>
      <c r="CY71" s="2">
        <f aca="true" t="shared" si="89" ref="CY71:CY110">(((S71+R71)*AT71)/100)</f>
        <v>899.83206</v>
      </c>
      <c r="CZ71" s="2">
        <f aca="true" t="shared" si="90" ref="CZ71:CZ110">(((S71+R71)*AU71)/100)</f>
        <v>444.41247000000004</v>
      </c>
      <c r="DA71" s="2"/>
      <c r="DB71" s="2"/>
      <c r="DC71" s="2" t="s">
        <v>3</v>
      </c>
      <c r="DD71" s="2" t="s">
        <v>3</v>
      </c>
      <c r="DE71" s="2" t="s">
        <v>111</v>
      </c>
      <c r="DF71" s="2" t="s">
        <v>111</v>
      </c>
      <c r="DG71" s="2" t="s">
        <v>112</v>
      </c>
      <c r="DH71" s="2" t="s">
        <v>3</v>
      </c>
      <c r="DI71" s="2" t="s">
        <v>112</v>
      </c>
      <c r="DJ71" s="2" t="s">
        <v>111</v>
      </c>
      <c r="DK71" s="2" t="s">
        <v>3</v>
      </c>
      <c r="DL71" s="2" t="s">
        <v>113</v>
      </c>
      <c r="DM71" s="2" t="s">
        <v>114</v>
      </c>
      <c r="DN71" s="2">
        <v>0</v>
      </c>
      <c r="DO71" s="2">
        <v>0</v>
      </c>
      <c r="DP71" s="2">
        <v>1</v>
      </c>
      <c r="DQ71" s="2">
        <v>1</v>
      </c>
      <c r="DR71" s="2"/>
      <c r="DS71" s="2"/>
      <c r="DT71" s="2"/>
      <c r="DU71" s="2">
        <v>1005</v>
      </c>
      <c r="DV71" s="2" t="s">
        <v>23</v>
      </c>
      <c r="DW71" s="2" t="s">
        <v>23</v>
      </c>
      <c r="DX71" s="2">
        <v>100</v>
      </c>
      <c r="DY71" s="2"/>
      <c r="DZ71" s="2" t="s">
        <v>3</v>
      </c>
      <c r="EA71" s="2" t="s">
        <v>3</v>
      </c>
      <c r="EB71" s="2" t="s">
        <v>3</v>
      </c>
      <c r="EC71" s="2" t="s">
        <v>3</v>
      </c>
      <c r="ED71" s="2"/>
      <c r="EE71" s="2">
        <v>55402612</v>
      </c>
      <c r="EF71" s="2">
        <v>2</v>
      </c>
      <c r="EG71" s="2" t="s">
        <v>25</v>
      </c>
      <c r="EH71" s="2">
        <v>12</v>
      </c>
      <c r="EI71" s="2" t="s">
        <v>115</v>
      </c>
      <c r="EJ71" s="2">
        <v>1</v>
      </c>
      <c r="EK71" s="2">
        <v>12001</v>
      </c>
      <c r="EL71" s="2" t="s">
        <v>115</v>
      </c>
      <c r="EM71" s="2" t="s">
        <v>116</v>
      </c>
      <c r="EN71" s="2"/>
      <c r="EO71" s="2" t="s">
        <v>117</v>
      </c>
      <c r="EP71" s="2"/>
      <c r="EQ71" s="2">
        <v>0</v>
      </c>
      <c r="ER71" s="2">
        <v>436.55</v>
      </c>
      <c r="ES71" s="2">
        <v>36.67</v>
      </c>
      <c r="ET71" s="2">
        <v>189.93</v>
      </c>
      <c r="EU71" s="2">
        <v>21.86</v>
      </c>
      <c r="EV71" s="2">
        <v>209.95</v>
      </c>
      <c r="EW71" s="2">
        <v>24.3</v>
      </c>
      <c r="EX71" s="2">
        <v>1.94</v>
      </c>
      <c r="EY71" s="2">
        <v>0</v>
      </c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>
        <v>0</v>
      </c>
      <c r="FR71" s="2">
        <f aca="true" t="shared" si="91" ref="FR71:FR110">ROUND(IF(AND(BH71=3,BI71=3),P71,0),2)</f>
        <v>0</v>
      </c>
      <c r="FS71" s="2">
        <v>0</v>
      </c>
      <c r="FT71" s="2"/>
      <c r="FU71" s="2"/>
      <c r="FV71" s="2"/>
      <c r="FW71" s="2"/>
      <c r="FX71" s="2">
        <v>98.1</v>
      </c>
      <c r="FY71" s="2">
        <v>48.45</v>
      </c>
      <c r="FZ71" s="2"/>
      <c r="GA71" s="2" t="s">
        <v>3</v>
      </c>
      <c r="GB71" s="2"/>
      <c r="GC71" s="2"/>
      <c r="GD71" s="2">
        <v>1</v>
      </c>
      <c r="GE71" s="2"/>
      <c r="GF71" s="2">
        <v>-1131866763</v>
      </c>
      <c r="GG71" s="2">
        <v>2</v>
      </c>
      <c r="GH71" s="2">
        <v>1</v>
      </c>
      <c r="GI71" s="2">
        <v>-2</v>
      </c>
      <c r="GJ71" s="2">
        <v>0</v>
      </c>
      <c r="GK71" s="2">
        <v>0</v>
      </c>
      <c r="GL71" s="2">
        <f aca="true" t="shared" si="92" ref="GL71:GL110">ROUND(IF(AND(BH71=3,BI71=3,FS71&lt;&gt;0),P71,0),2)</f>
        <v>0</v>
      </c>
      <c r="GM71" s="2">
        <f aca="true" t="shared" si="93" ref="GM71:GM110">ROUND(O71+X71+Y71,2)+GX71</f>
        <v>3103.65</v>
      </c>
      <c r="GN71" s="2">
        <f aca="true" t="shared" si="94" ref="GN71:GN110">IF(OR(BI71=0,BI71=1),ROUND(O71+X71+Y71,2),0)</f>
        <v>3103.65</v>
      </c>
      <c r="GO71" s="2">
        <f aca="true" t="shared" si="95" ref="GO71:GO110">IF(BI71=2,ROUND(O71+X71+Y71,2),0)</f>
        <v>0</v>
      </c>
      <c r="GP71" s="2">
        <f aca="true" t="shared" si="96" ref="GP71:GP110">IF(BI71=4,ROUND(O71+X71+Y71,2)+GX71,0)</f>
        <v>0</v>
      </c>
      <c r="GQ71" s="2"/>
      <c r="GR71" s="2">
        <v>0</v>
      </c>
      <c r="GS71" s="2">
        <v>0</v>
      </c>
      <c r="GT71" s="2">
        <v>0</v>
      </c>
      <c r="GU71" s="2" t="s">
        <v>3</v>
      </c>
      <c r="GV71" s="2">
        <f aca="true" t="shared" si="97" ref="GV71:GV110">ROUND((GT71),2)</f>
        <v>0</v>
      </c>
      <c r="GW71" s="2">
        <v>1</v>
      </c>
      <c r="GX71" s="2">
        <f aca="true" t="shared" si="98" ref="GX71:GX110">ROUND(HC71*I71,2)</f>
        <v>0</v>
      </c>
      <c r="GY71" s="2"/>
      <c r="GZ71" s="2"/>
      <c r="HA71" s="2">
        <v>0</v>
      </c>
      <c r="HB71" s="2">
        <v>0</v>
      </c>
      <c r="HC71" s="2">
        <f aca="true" t="shared" si="99" ref="HC71:HC110">GV71*GW71</f>
        <v>0</v>
      </c>
      <c r="HD71" s="2"/>
      <c r="HE71" s="2" t="s">
        <v>3</v>
      </c>
      <c r="HF71" s="2" t="s">
        <v>3</v>
      </c>
      <c r="HG71" s="2"/>
      <c r="HH71" s="2"/>
      <c r="HI71" s="2">
        <f aca="true" t="shared" si="100" ref="HI71:HI110">ROUND(R71*BS71,2)</f>
        <v>93.27</v>
      </c>
      <c r="HJ71" s="2">
        <f aca="true" t="shared" si="101" ref="HJ71:HJ110">ROUND(S71*BA71,2)</f>
        <v>823.99</v>
      </c>
      <c r="HK71" s="2">
        <f aca="true" t="shared" si="102" ref="HK71:HK110">ROUND((((HJ71+HI71)*AT71)/100),2)</f>
        <v>899.83</v>
      </c>
      <c r="HL71" s="2">
        <f aca="true" t="shared" si="103" ref="HL71:HL110">ROUND((((HJ71+HI71)*AU71)/100),2)</f>
        <v>444.41</v>
      </c>
      <c r="HM71" s="2" t="s">
        <v>3</v>
      </c>
      <c r="HN71" s="2" t="s">
        <v>118</v>
      </c>
      <c r="HO71" s="2" t="s">
        <v>119</v>
      </c>
      <c r="HP71" s="2" t="s">
        <v>115</v>
      </c>
      <c r="HQ71" s="2" t="s">
        <v>115</v>
      </c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>
        <v>0</v>
      </c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45" ht="12.75">
      <c r="A72">
        <v>17</v>
      </c>
      <c r="B72">
        <v>1</v>
      </c>
      <c r="C72">
        <f>ROW(SmtRes!A32)</f>
        <v>32</v>
      </c>
      <c r="D72">
        <f>ROW(EtalonRes!A32)</f>
        <v>32</v>
      </c>
      <c r="E72" t="s">
        <v>107</v>
      </c>
      <c r="F72" t="s">
        <v>108</v>
      </c>
      <c r="G72" t="s">
        <v>109</v>
      </c>
      <c r="H72" t="s">
        <v>23</v>
      </c>
      <c r="I72">
        <f>ROUND(341.28/100,7)</f>
        <v>3.4128</v>
      </c>
      <c r="J72">
        <v>0</v>
      </c>
      <c r="K72">
        <f>ROUND(341.28/100,7)</f>
        <v>3.4128</v>
      </c>
      <c r="O72">
        <f t="shared" si="66"/>
        <v>1759.41</v>
      </c>
      <c r="P72">
        <f t="shared" si="67"/>
        <v>125.15</v>
      </c>
      <c r="Q72">
        <f t="shared" si="68"/>
        <v>810.27</v>
      </c>
      <c r="R72">
        <f t="shared" si="69"/>
        <v>93.27</v>
      </c>
      <c r="S72">
        <f t="shared" si="70"/>
        <v>823.99</v>
      </c>
      <c r="T72">
        <f t="shared" si="71"/>
        <v>0</v>
      </c>
      <c r="U72">
        <f t="shared" si="72"/>
        <v>95.370696</v>
      </c>
      <c r="V72">
        <f t="shared" si="73"/>
        <v>8.276039999999998</v>
      </c>
      <c r="W72">
        <f t="shared" si="74"/>
        <v>0</v>
      </c>
      <c r="X72">
        <f t="shared" si="75"/>
        <v>899.83</v>
      </c>
      <c r="Y72">
        <f t="shared" si="76"/>
        <v>444.41</v>
      </c>
      <c r="AA72">
        <v>55457796</v>
      </c>
      <c r="AB72">
        <f t="shared" si="77"/>
        <v>515.53</v>
      </c>
      <c r="AC72">
        <f>ROUND((ES72),2)</f>
        <v>36.67</v>
      </c>
      <c r="AD72">
        <f>ROUND(((((ET72*ROUND(1.25,7)))-((EU72*ROUND(1.25,7))))+AE72),2)</f>
        <v>237.42</v>
      </c>
      <c r="AE72">
        <f>ROUND(((EU72*ROUND(1.25,7))),2)</f>
        <v>27.33</v>
      </c>
      <c r="AF72">
        <f>ROUND(((EV72*ROUND(1.15,7))),2)</f>
        <v>241.44</v>
      </c>
      <c r="AG72">
        <f t="shared" si="78"/>
        <v>0</v>
      </c>
      <c r="AH72">
        <f>((EW72*ROUND(1.15,7)))</f>
        <v>27.945</v>
      </c>
      <c r="AI72">
        <f>((EX72*ROUND(1.25,7)))</f>
        <v>2.425</v>
      </c>
      <c r="AJ72">
        <f t="shared" si="79"/>
        <v>0</v>
      </c>
      <c r="AK72">
        <v>436.55</v>
      </c>
      <c r="AL72">
        <v>36.67</v>
      </c>
      <c r="AM72">
        <v>189.93</v>
      </c>
      <c r="AN72">
        <v>21.86</v>
      </c>
      <c r="AO72">
        <v>209.95</v>
      </c>
      <c r="AP72">
        <v>0</v>
      </c>
      <c r="AQ72">
        <v>24.3</v>
      </c>
      <c r="AR72">
        <v>1.94</v>
      </c>
      <c r="AS72">
        <v>0</v>
      </c>
      <c r="AT72">
        <v>98.1</v>
      </c>
      <c r="AU72">
        <v>48.45</v>
      </c>
      <c r="AV72">
        <v>1</v>
      </c>
      <c r="AW72">
        <v>1</v>
      </c>
      <c r="AZ72">
        <v>1</v>
      </c>
      <c r="BA72">
        <v>36.47</v>
      </c>
      <c r="BB72">
        <v>1</v>
      </c>
      <c r="BC72">
        <v>1</v>
      </c>
      <c r="BH72">
        <v>0</v>
      </c>
      <c r="BI72">
        <v>1</v>
      </c>
      <c r="BJ72" t="s">
        <v>110</v>
      </c>
      <c r="BM72">
        <v>12001</v>
      </c>
      <c r="BN72">
        <v>0</v>
      </c>
      <c r="BO72" t="s">
        <v>31</v>
      </c>
      <c r="BP72">
        <v>1</v>
      </c>
      <c r="BQ72">
        <v>2</v>
      </c>
      <c r="BR72">
        <v>0</v>
      </c>
      <c r="BS72">
        <v>36.47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109</v>
      </c>
      <c r="CA72">
        <v>57</v>
      </c>
      <c r="CE72">
        <v>0</v>
      </c>
      <c r="CF72">
        <v>0</v>
      </c>
      <c r="CG72">
        <v>0</v>
      </c>
      <c r="CM72">
        <v>0</v>
      </c>
      <c r="CN72" t="s">
        <v>363</v>
      </c>
      <c r="CO72">
        <v>0</v>
      </c>
      <c r="CP72">
        <f t="shared" si="80"/>
        <v>1759.4099999999999</v>
      </c>
      <c r="CQ72">
        <f t="shared" si="81"/>
        <v>36.67</v>
      </c>
      <c r="CR72">
        <f t="shared" si="82"/>
        <v>237.42</v>
      </c>
      <c r="CS72">
        <f t="shared" si="83"/>
        <v>27.33</v>
      </c>
      <c r="CT72">
        <f t="shared" si="84"/>
        <v>241.44</v>
      </c>
      <c r="CU72">
        <f t="shared" si="85"/>
        <v>0</v>
      </c>
      <c r="CV72">
        <f t="shared" si="86"/>
        <v>27.945</v>
      </c>
      <c r="CW72">
        <f t="shared" si="87"/>
        <v>2.425</v>
      </c>
      <c r="CX72">
        <f t="shared" si="88"/>
        <v>0</v>
      </c>
      <c r="CY72">
        <f t="shared" si="89"/>
        <v>899.83206</v>
      </c>
      <c r="CZ72">
        <f t="shared" si="90"/>
        <v>444.41247000000004</v>
      </c>
      <c r="DE72" t="s">
        <v>111</v>
      </c>
      <c r="DF72" t="s">
        <v>111</v>
      </c>
      <c r="DG72" t="s">
        <v>112</v>
      </c>
      <c r="DI72" t="s">
        <v>112</v>
      </c>
      <c r="DJ72" t="s">
        <v>111</v>
      </c>
      <c r="DL72" t="s">
        <v>113</v>
      </c>
      <c r="DM72" t="s">
        <v>114</v>
      </c>
      <c r="DN72">
        <v>0</v>
      </c>
      <c r="DO72">
        <v>0</v>
      </c>
      <c r="DP72">
        <v>1</v>
      </c>
      <c r="DQ72">
        <v>1</v>
      </c>
      <c r="DU72">
        <v>1005</v>
      </c>
      <c r="DV72" t="s">
        <v>23</v>
      </c>
      <c r="DW72" t="s">
        <v>23</v>
      </c>
      <c r="DX72">
        <v>100</v>
      </c>
      <c r="EE72">
        <v>55402612</v>
      </c>
      <c r="EF72">
        <v>2</v>
      </c>
      <c r="EG72" t="s">
        <v>25</v>
      </c>
      <c r="EH72">
        <v>12</v>
      </c>
      <c r="EI72" t="s">
        <v>115</v>
      </c>
      <c r="EJ72">
        <v>1</v>
      </c>
      <c r="EK72">
        <v>12001</v>
      </c>
      <c r="EL72" t="s">
        <v>115</v>
      </c>
      <c r="EM72" t="s">
        <v>116</v>
      </c>
      <c r="EO72" t="s">
        <v>117</v>
      </c>
      <c r="EQ72">
        <v>0</v>
      </c>
      <c r="ER72">
        <v>436.55</v>
      </c>
      <c r="ES72">
        <v>36.67</v>
      </c>
      <c r="ET72">
        <v>189.93</v>
      </c>
      <c r="EU72">
        <v>21.86</v>
      </c>
      <c r="EV72">
        <v>209.95</v>
      </c>
      <c r="EW72">
        <v>24.3</v>
      </c>
      <c r="EX72">
        <v>1.94</v>
      </c>
      <c r="EY72">
        <v>0</v>
      </c>
      <c r="FQ72">
        <v>0</v>
      </c>
      <c r="FR72">
        <f t="shared" si="91"/>
        <v>0</v>
      </c>
      <c r="FS72">
        <v>0</v>
      </c>
      <c r="FX72">
        <v>98.1</v>
      </c>
      <c r="FY72">
        <v>48.45</v>
      </c>
      <c r="GD72">
        <v>1</v>
      </c>
      <c r="GF72">
        <v>-1131866763</v>
      </c>
      <c r="GG72">
        <v>2</v>
      </c>
      <c r="GH72">
        <v>1</v>
      </c>
      <c r="GI72">
        <v>4</v>
      </c>
      <c r="GJ72">
        <v>0</v>
      </c>
      <c r="GK72">
        <v>0</v>
      </c>
      <c r="GL72">
        <f t="shared" si="92"/>
        <v>0</v>
      </c>
      <c r="GM72">
        <f t="shared" si="93"/>
        <v>3103.65</v>
      </c>
      <c r="GN72">
        <f t="shared" si="94"/>
        <v>3103.65</v>
      </c>
      <c r="GO72">
        <f t="shared" si="95"/>
        <v>0</v>
      </c>
      <c r="GP72">
        <f t="shared" si="96"/>
        <v>0</v>
      </c>
      <c r="GR72">
        <v>0</v>
      </c>
      <c r="GS72">
        <v>0</v>
      </c>
      <c r="GT72">
        <v>0</v>
      </c>
      <c r="GV72">
        <f t="shared" si="97"/>
        <v>0</v>
      </c>
      <c r="GW72">
        <v>1</v>
      </c>
      <c r="GX72">
        <f t="shared" si="98"/>
        <v>0</v>
      </c>
      <c r="HA72">
        <v>0</v>
      </c>
      <c r="HB72">
        <v>0</v>
      </c>
      <c r="HC72">
        <f t="shared" si="99"/>
        <v>0</v>
      </c>
      <c r="HI72">
        <f t="shared" si="100"/>
        <v>3401.56</v>
      </c>
      <c r="HJ72">
        <f t="shared" si="101"/>
        <v>30050.92</v>
      </c>
      <c r="HK72">
        <f t="shared" si="102"/>
        <v>32816.88</v>
      </c>
      <c r="HL72">
        <f t="shared" si="103"/>
        <v>16207.73</v>
      </c>
      <c r="HN72" t="s">
        <v>118</v>
      </c>
      <c r="HO72" t="s">
        <v>119</v>
      </c>
      <c r="HP72" t="s">
        <v>115</v>
      </c>
      <c r="HQ72" t="s">
        <v>115</v>
      </c>
      <c r="IK72">
        <v>0</v>
      </c>
    </row>
    <row r="73" spans="1:255" ht="12.75">
      <c r="A73" s="2">
        <v>18</v>
      </c>
      <c r="B73" s="2">
        <v>1</v>
      </c>
      <c r="C73" s="2">
        <v>23</v>
      </c>
      <c r="D73" s="2"/>
      <c r="E73" s="2" t="s">
        <v>120</v>
      </c>
      <c r="F73" s="2" t="s">
        <v>121</v>
      </c>
      <c r="G73" s="2" t="s">
        <v>122</v>
      </c>
      <c r="H73" s="2" t="s">
        <v>123</v>
      </c>
      <c r="I73" s="2">
        <f>I71*J73</f>
        <v>9.241743</v>
      </c>
      <c r="J73" s="2">
        <v>2.7079650140646976</v>
      </c>
      <c r="K73" s="2">
        <v>2.707965</v>
      </c>
      <c r="L73" s="2"/>
      <c r="M73" s="2"/>
      <c r="N73" s="2"/>
      <c r="O73" s="2">
        <f t="shared" si="66"/>
        <v>11487.95</v>
      </c>
      <c r="P73" s="2">
        <f t="shared" si="67"/>
        <v>11487.95</v>
      </c>
      <c r="Q73" s="2">
        <f t="shared" si="68"/>
        <v>0</v>
      </c>
      <c r="R73" s="2">
        <f t="shared" si="69"/>
        <v>0</v>
      </c>
      <c r="S73" s="2">
        <f t="shared" si="70"/>
        <v>0</v>
      </c>
      <c r="T73" s="2">
        <f t="shared" si="71"/>
        <v>0</v>
      </c>
      <c r="U73" s="2">
        <f t="shared" si="72"/>
        <v>0</v>
      </c>
      <c r="V73" s="2">
        <f t="shared" si="73"/>
        <v>0</v>
      </c>
      <c r="W73" s="2">
        <f t="shared" si="74"/>
        <v>0</v>
      </c>
      <c r="X73" s="2">
        <f t="shared" si="75"/>
        <v>0</v>
      </c>
      <c r="Y73" s="2">
        <f t="shared" si="76"/>
        <v>0</v>
      </c>
      <c r="Z73" s="2"/>
      <c r="AA73" s="2">
        <v>55457795</v>
      </c>
      <c r="AB73" s="2">
        <f t="shared" si="77"/>
        <v>1243.05</v>
      </c>
      <c r="AC73" s="2">
        <f>ROUND((ES73),2)</f>
        <v>1243.05</v>
      </c>
      <c r="AD73" s="2">
        <f>ROUND((((ET73)-(EU73))+AE73),2)</f>
        <v>0</v>
      </c>
      <c r="AE73" s="2">
        <f>ROUND((EU73),2)</f>
        <v>0</v>
      </c>
      <c r="AF73" s="2">
        <f>ROUND((EV73),2)</f>
        <v>0</v>
      </c>
      <c r="AG73" s="2">
        <f t="shared" si="78"/>
        <v>0</v>
      </c>
      <c r="AH73" s="2">
        <f>(EW73)</f>
        <v>0</v>
      </c>
      <c r="AI73" s="2">
        <f>(EX73)</f>
        <v>0</v>
      </c>
      <c r="AJ73" s="2">
        <f t="shared" si="79"/>
        <v>0</v>
      </c>
      <c r="AK73" s="2">
        <v>1243.05</v>
      </c>
      <c r="AL73" s="2">
        <v>1243.05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109</v>
      </c>
      <c r="AU73" s="2">
        <v>57</v>
      </c>
      <c r="AV73" s="2">
        <v>1</v>
      </c>
      <c r="AW73" s="2">
        <v>1</v>
      </c>
      <c r="AX73" s="2"/>
      <c r="AY73" s="2"/>
      <c r="AZ73" s="2">
        <v>1</v>
      </c>
      <c r="BA73" s="2">
        <v>1</v>
      </c>
      <c r="BB73" s="2">
        <v>1</v>
      </c>
      <c r="BC73" s="2">
        <v>1</v>
      </c>
      <c r="BD73" s="2" t="s">
        <v>3</v>
      </c>
      <c r="BE73" s="2" t="s">
        <v>3</v>
      </c>
      <c r="BF73" s="2" t="s">
        <v>3</v>
      </c>
      <c r="BG73" s="2" t="s">
        <v>3</v>
      </c>
      <c r="BH73" s="2">
        <v>3</v>
      </c>
      <c r="BI73" s="2">
        <v>1</v>
      </c>
      <c r="BJ73" s="2" t="s">
        <v>124</v>
      </c>
      <c r="BK73" s="2"/>
      <c r="BL73" s="2"/>
      <c r="BM73" s="2">
        <v>12001</v>
      </c>
      <c r="BN73" s="2">
        <v>0</v>
      </c>
      <c r="BO73" s="2" t="s">
        <v>3</v>
      </c>
      <c r="BP73" s="2">
        <v>0</v>
      </c>
      <c r="BQ73" s="2">
        <v>2</v>
      </c>
      <c r="BR73" s="2">
        <v>0</v>
      </c>
      <c r="BS73" s="2">
        <v>1</v>
      </c>
      <c r="BT73" s="2">
        <v>1</v>
      </c>
      <c r="BU73" s="2">
        <v>1</v>
      </c>
      <c r="BV73" s="2">
        <v>1</v>
      </c>
      <c r="BW73" s="2">
        <v>1</v>
      </c>
      <c r="BX73" s="2">
        <v>1</v>
      </c>
      <c r="BY73" s="2" t="s">
        <v>3</v>
      </c>
      <c r="BZ73" s="2">
        <v>109</v>
      </c>
      <c r="CA73" s="2">
        <v>57</v>
      </c>
      <c r="CB73" s="2" t="s">
        <v>3</v>
      </c>
      <c r="CC73" s="2"/>
      <c r="CD73" s="2"/>
      <c r="CE73" s="2">
        <v>0</v>
      </c>
      <c r="CF73" s="2">
        <v>0</v>
      </c>
      <c r="CG73" s="2">
        <v>0</v>
      </c>
      <c r="CH73" s="2"/>
      <c r="CI73" s="2"/>
      <c r="CJ73" s="2"/>
      <c r="CK73" s="2"/>
      <c r="CL73" s="2"/>
      <c r="CM73" s="2">
        <v>0</v>
      </c>
      <c r="CN73" s="2" t="s">
        <v>3</v>
      </c>
      <c r="CO73" s="2">
        <v>0</v>
      </c>
      <c r="CP73" s="2">
        <f t="shared" si="80"/>
        <v>11487.95</v>
      </c>
      <c r="CQ73" s="2">
        <f t="shared" si="81"/>
        <v>1243.05</v>
      </c>
      <c r="CR73" s="2">
        <f t="shared" si="82"/>
        <v>0</v>
      </c>
      <c r="CS73" s="2">
        <f t="shared" si="83"/>
        <v>0</v>
      </c>
      <c r="CT73" s="2">
        <f t="shared" si="84"/>
        <v>0</v>
      </c>
      <c r="CU73" s="2">
        <f t="shared" si="85"/>
        <v>0</v>
      </c>
      <c r="CV73" s="2">
        <f t="shared" si="86"/>
        <v>0</v>
      </c>
      <c r="CW73" s="2">
        <f t="shared" si="87"/>
        <v>0</v>
      </c>
      <c r="CX73" s="2">
        <f t="shared" si="88"/>
        <v>0</v>
      </c>
      <c r="CY73" s="2">
        <f t="shared" si="89"/>
        <v>0</v>
      </c>
      <c r="CZ73" s="2">
        <f t="shared" si="90"/>
        <v>0</v>
      </c>
      <c r="DA73" s="2"/>
      <c r="DB73" s="2"/>
      <c r="DC73" s="2" t="s">
        <v>3</v>
      </c>
      <c r="DD73" s="2" t="s">
        <v>3</v>
      </c>
      <c r="DE73" s="2" t="s">
        <v>3</v>
      </c>
      <c r="DF73" s="2" t="s">
        <v>3</v>
      </c>
      <c r="DG73" s="2" t="s">
        <v>3</v>
      </c>
      <c r="DH73" s="2" t="s">
        <v>3</v>
      </c>
      <c r="DI73" s="2" t="s">
        <v>3</v>
      </c>
      <c r="DJ73" s="2" t="s">
        <v>3</v>
      </c>
      <c r="DK73" s="2" t="s">
        <v>3</v>
      </c>
      <c r="DL73" s="2" t="s">
        <v>3</v>
      </c>
      <c r="DM73" s="2" t="s">
        <v>3</v>
      </c>
      <c r="DN73" s="2">
        <v>0</v>
      </c>
      <c r="DO73" s="2">
        <v>0</v>
      </c>
      <c r="DP73" s="2">
        <v>1</v>
      </c>
      <c r="DQ73" s="2">
        <v>1</v>
      </c>
      <c r="DR73" s="2"/>
      <c r="DS73" s="2"/>
      <c r="DT73" s="2"/>
      <c r="DU73" s="2">
        <v>1009</v>
      </c>
      <c r="DV73" s="2" t="s">
        <v>123</v>
      </c>
      <c r="DW73" s="2" t="s">
        <v>123</v>
      </c>
      <c r="DX73" s="2">
        <v>1000</v>
      </c>
      <c r="DY73" s="2"/>
      <c r="DZ73" s="2" t="s">
        <v>3</v>
      </c>
      <c r="EA73" s="2" t="s">
        <v>3</v>
      </c>
      <c r="EB73" s="2" t="s">
        <v>3</v>
      </c>
      <c r="EC73" s="2" t="s">
        <v>3</v>
      </c>
      <c r="ED73" s="2"/>
      <c r="EE73" s="2">
        <v>55402612</v>
      </c>
      <c r="EF73" s="2">
        <v>2</v>
      </c>
      <c r="EG73" s="2" t="s">
        <v>25</v>
      </c>
      <c r="EH73" s="2">
        <v>12</v>
      </c>
      <c r="EI73" s="2" t="s">
        <v>115</v>
      </c>
      <c r="EJ73" s="2">
        <v>1</v>
      </c>
      <c r="EK73" s="2">
        <v>12001</v>
      </c>
      <c r="EL73" s="2" t="s">
        <v>115</v>
      </c>
      <c r="EM73" s="2" t="s">
        <v>116</v>
      </c>
      <c r="EN73" s="2"/>
      <c r="EO73" s="2" t="s">
        <v>3</v>
      </c>
      <c r="EP73" s="2"/>
      <c r="EQ73" s="2">
        <v>0</v>
      </c>
      <c r="ER73" s="2">
        <v>1243.05</v>
      </c>
      <c r="ES73" s="2">
        <v>1243.05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>
        <v>0</v>
      </c>
      <c r="FR73" s="2">
        <f t="shared" si="91"/>
        <v>0</v>
      </c>
      <c r="FS73" s="2">
        <v>0</v>
      </c>
      <c r="FT73" s="2"/>
      <c r="FU73" s="2"/>
      <c r="FV73" s="2"/>
      <c r="FW73" s="2"/>
      <c r="FX73" s="2">
        <v>109</v>
      </c>
      <c r="FY73" s="2">
        <v>57</v>
      </c>
      <c r="FZ73" s="2"/>
      <c r="GA73" s="2" t="s">
        <v>3</v>
      </c>
      <c r="GB73" s="2"/>
      <c r="GC73" s="2"/>
      <c r="GD73" s="2">
        <v>1</v>
      </c>
      <c r="GE73" s="2"/>
      <c r="GF73" s="2">
        <v>-1961211957</v>
      </c>
      <c r="GG73" s="2">
        <v>2</v>
      </c>
      <c r="GH73" s="2">
        <v>1</v>
      </c>
      <c r="GI73" s="2">
        <v>-2</v>
      </c>
      <c r="GJ73" s="2">
        <v>0</v>
      </c>
      <c r="GK73" s="2">
        <v>0</v>
      </c>
      <c r="GL73" s="2">
        <f t="shared" si="92"/>
        <v>0</v>
      </c>
      <c r="GM73" s="2">
        <f t="shared" si="93"/>
        <v>11487.95</v>
      </c>
      <c r="GN73" s="2">
        <f t="shared" si="94"/>
        <v>11487.95</v>
      </c>
      <c r="GO73" s="2">
        <f t="shared" si="95"/>
        <v>0</v>
      </c>
      <c r="GP73" s="2">
        <f t="shared" si="96"/>
        <v>0</v>
      </c>
      <c r="GQ73" s="2"/>
      <c r="GR73" s="2">
        <v>0</v>
      </c>
      <c r="GS73" s="2">
        <v>0</v>
      </c>
      <c r="GT73" s="2">
        <v>0</v>
      </c>
      <c r="GU73" s="2" t="s">
        <v>3</v>
      </c>
      <c r="GV73" s="2">
        <f t="shared" si="97"/>
        <v>0</v>
      </c>
      <c r="GW73" s="2">
        <v>1</v>
      </c>
      <c r="GX73" s="2">
        <f t="shared" si="98"/>
        <v>0</v>
      </c>
      <c r="GY73" s="2"/>
      <c r="GZ73" s="2"/>
      <c r="HA73" s="2">
        <v>0</v>
      </c>
      <c r="HB73" s="2">
        <v>0</v>
      </c>
      <c r="HC73" s="2">
        <f t="shared" si="99"/>
        <v>0</v>
      </c>
      <c r="HD73" s="2"/>
      <c r="HE73" s="2" t="s">
        <v>3</v>
      </c>
      <c r="HF73" s="2" t="s">
        <v>3</v>
      </c>
      <c r="HG73" s="2"/>
      <c r="HH73" s="2"/>
      <c r="HI73" s="2">
        <f t="shared" si="100"/>
        <v>0</v>
      </c>
      <c r="HJ73" s="2">
        <f t="shared" si="101"/>
        <v>0</v>
      </c>
      <c r="HK73" s="2">
        <f t="shared" si="102"/>
        <v>0</v>
      </c>
      <c r="HL73" s="2">
        <f t="shared" si="103"/>
        <v>0</v>
      </c>
      <c r="HM73" s="2" t="s">
        <v>3</v>
      </c>
      <c r="HN73" s="2" t="s">
        <v>118</v>
      </c>
      <c r="HO73" s="2" t="s">
        <v>119</v>
      </c>
      <c r="HP73" s="2" t="s">
        <v>115</v>
      </c>
      <c r="HQ73" s="2" t="s">
        <v>115</v>
      </c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>
        <v>0</v>
      </c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45" ht="12.75">
      <c r="A74">
        <v>18</v>
      </c>
      <c r="B74">
        <v>1</v>
      </c>
      <c r="C74">
        <v>31</v>
      </c>
      <c r="E74" t="s">
        <v>120</v>
      </c>
      <c r="F74" t="s">
        <v>121</v>
      </c>
      <c r="G74" t="s">
        <v>122</v>
      </c>
      <c r="H74" t="s">
        <v>123</v>
      </c>
      <c r="I74">
        <f>I72*J74</f>
        <v>9.241743</v>
      </c>
      <c r="J74">
        <v>2.7079650140646976</v>
      </c>
      <c r="K74">
        <v>2.707965</v>
      </c>
      <c r="O74">
        <f t="shared" si="66"/>
        <v>11487.95</v>
      </c>
      <c r="P74">
        <f t="shared" si="67"/>
        <v>11487.95</v>
      </c>
      <c r="Q74">
        <f t="shared" si="68"/>
        <v>0</v>
      </c>
      <c r="R74">
        <f t="shared" si="69"/>
        <v>0</v>
      </c>
      <c r="S74">
        <f t="shared" si="70"/>
        <v>0</v>
      </c>
      <c r="T74">
        <f t="shared" si="71"/>
        <v>0</v>
      </c>
      <c r="U74">
        <f t="shared" si="72"/>
        <v>0</v>
      </c>
      <c r="V74">
        <f t="shared" si="73"/>
        <v>0</v>
      </c>
      <c r="W74">
        <f t="shared" si="74"/>
        <v>0</v>
      </c>
      <c r="X74">
        <f t="shared" si="75"/>
        <v>0</v>
      </c>
      <c r="Y74">
        <f t="shared" si="76"/>
        <v>0</v>
      </c>
      <c r="AA74">
        <v>55457796</v>
      </c>
      <c r="AB74">
        <f t="shared" si="77"/>
        <v>1243.05</v>
      </c>
      <c r="AC74">
        <f>ROUND((ES74),2)</f>
        <v>1243.05</v>
      </c>
      <c r="AD74">
        <f>ROUND((((ET74)-(EU74))+AE74),2)</f>
        <v>0</v>
      </c>
      <c r="AE74">
        <f>ROUND((EU74),2)</f>
        <v>0</v>
      </c>
      <c r="AF74">
        <f>ROUND((EV74),2)</f>
        <v>0</v>
      </c>
      <c r="AG74">
        <f t="shared" si="78"/>
        <v>0</v>
      </c>
      <c r="AH74">
        <f>(EW74)</f>
        <v>0</v>
      </c>
      <c r="AI74">
        <f>(EX74)</f>
        <v>0</v>
      </c>
      <c r="AJ74">
        <f t="shared" si="79"/>
        <v>0</v>
      </c>
      <c r="AK74">
        <v>1243.05</v>
      </c>
      <c r="AL74">
        <v>1243.05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109</v>
      </c>
      <c r="AU74">
        <v>57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1</v>
      </c>
      <c r="BJ74" t="s">
        <v>124</v>
      </c>
      <c r="BM74">
        <v>12001</v>
      </c>
      <c r="BN74">
        <v>0</v>
      </c>
      <c r="BO74" t="s">
        <v>31</v>
      </c>
      <c r="BP74">
        <v>1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109</v>
      </c>
      <c r="CA74">
        <v>57</v>
      </c>
      <c r="CE74">
        <v>0</v>
      </c>
      <c r="CF74">
        <v>0</v>
      </c>
      <c r="CG74">
        <v>0</v>
      </c>
      <c r="CM74">
        <v>0</v>
      </c>
      <c r="CO74">
        <v>0</v>
      </c>
      <c r="CP74">
        <f t="shared" si="80"/>
        <v>11487.95</v>
      </c>
      <c r="CQ74">
        <f t="shared" si="81"/>
        <v>1243.05</v>
      </c>
      <c r="CR74">
        <f t="shared" si="82"/>
        <v>0</v>
      </c>
      <c r="CS74">
        <f t="shared" si="83"/>
        <v>0</v>
      </c>
      <c r="CT74">
        <f t="shared" si="84"/>
        <v>0</v>
      </c>
      <c r="CU74">
        <f t="shared" si="85"/>
        <v>0</v>
      </c>
      <c r="CV74">
        <f t="shared" si="86"/>
        <v>0</v>
      </c>
      <c r="CW74">
        <f t="shared" si="87"/>
        <v>0</v>
      </c>
      <c r="CX74">
        <f t="shared" si="88"/>
        <v>0</v>
      </c>
      <c r="CY74">
        <f t="shared" si="89"/>
        <v>0</v>
      </c>
      <c r="CZ74">
        <f t="shared" si="90"/>
        <v>0</v>
      </c>
      <c r="DN74">
        <v>0</v>
      </c>
      <c r="DO74">
        <v>0</v>
      </c>
      <c r="DP74">
        <v>1</v>
      </c>
      <c r="DQ74">
        <v>1</v>
      </c>
      <c r="DU74">
        <v>1009</v>
      </c>
      <c r="DV74" t="s">
        <v>123</v>
      </c>
      <c r="DW74" t="s">
        <v>123</v>
      </c>
      <c r="DX74">
        <v>1000</v>
      </c>
      <c r="EE74">
        <v>55402612</v>
      </c>
      <c r="EF74">
        <v>2</v>
      </c>
      <c r="EG74" t="s">
        <v>25</v>
      </c>
      <c r="EH74">
        <v>12</v>
      </c>
      <c r="EI74" t="s">
        <v>115</v>
      </c>
      <c r="EJ74">
        <v>1</v>
      </c>
      <c r="EK74">
        <v>12001</v>
      </c>
      <c r="EL74" t="s">
        <v>115</v>
      </c>
      <c r="EM74" t="s">
        <v>116</v>
      </c>
      <c r="EQ74">
        <v>0</v>
      </c>
      <c r="ER74">
        <v>1243.05</v>
      </c>
      <c r="ES74">
        <v>1243.05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91"/>
        <v>0</v>
      </c>
      <c r="FS74">
        <v>0</v>
      </c>
      <c r="FX74">
        <v>109</v>
      </c>
      <c r="FY74">
        <v>57</v>
      </c>
      <c r="GD74">
        <v>1</v>
      </c>
      <c r="GF74">
        <v>-1961211957</v>
      </c>
      <c r="GG74">
        <v>2</v>
      </c>
      <c r="GH74">
        <v>1</v>
      </c>
      <c r="GI74">
        <v>4</v>
      </c>
      <c r="GJ74">
        <v>0</v>
      </c>
      <c r="GK74">
        <v>0</v>
      </c>
      <c r="GL74">
        <f t="shared" si="92"/>
        <v>0</v>
      </c>
      <c r="GM74">
        <f t="shared" si="93"/>
        <v>11487.95</v>
      </c>
      <c r="GN74">
        <f t="shared" si="94"/>
        <v>11487.95</v>
      </c>
      <c r="GO74">
        <f t="shared" si="95"/>
        <v>0</v>
      </c>
      <c r="GP74">
        <f t="shared" si="96"/>
        <v>0</v>
      </c>
      <c r="GR74">
        <v>0</v>
      </c>
      <c r="GS74">
        <v>0</v>
      </c>
      <c r="GT74">
        <v>0</v>
      </c>
      <c r="GV74">
        <f t="shared" si="97"/>
        <v>0</v>
      </c>
      <c r="GW74">
        <v>1</v>
      </c>
      <c r="GX74">
        <f t="shared" si="98"/>
        <v>0</v>
      </c>
      <c r="HA74">
        <v>0</v>
      </c>
      <c r="HB74">
        <v>0</v>
      </c>
      <c r="HC74">
        <f t="shared" si="99"/>
        <v>0</v>
      </c>
      <c r="HI74">
        <f t="shared" si="100"/>
        <v>0</v>
      </c>
      <c r="HJ74">
        <f t="shared" si="101"/>
        <v>0</v>
      </c>
      <c r="HK74">
        <f t="shared" si="102"/>
        <v>0</v>
      </c>
      <c r="HL74">
        <f t="shared" si="103"/>
        <v>0</v>
      </c>
      <c r="HN74" t="s">
        <v>118</v>
      </c>
      <c r="HO74" t="s">
        <v>119</v>
      </c>
      <c r="HP74" t="s">
        <v>115</v>
      </c>
      <c r="HQ74" t="s">
        <v>115</v>
      </c>
      <c r="IK74">
        <v>0</v>
      </c>
    </row>
    <row r="75" spans="1:255" ht="12.75">
      <c r="A75" s="2">
        <v>17</v>
      </c>
      <c r="B75" s="2">
        <v>1</v>
      </c>
      <c r="C75" s="2">
        <f>ROW(SmtRes!A37)</f>
        <v>37</v>
      </c>
      <c r="D75" s="2">
        <f>ROW(EtalonRes!A37)</f>
        <v>37</v>
      </c>
      <c r="E75" s="2" t="s">
        <v>125</v>
      </c>
      <c r="F75" s="2" t="s">
        <v>126</v>
      </c>
      <c r="G75" s="2" t="s">
        <v>127</v>
      </c>
      <c r="H75" s="2" t="s">
        <v>23</v>
      </c>
      <c r="I75" s="2">
        <f>ROUND(341.28/100,7)</f>
        <v>3.4128</v>
      </c>
      <c r="J75" s="2">
        <v>0</v>
      </c>
      <c r="K75" s="2">
        <f>ROUND(341.28/100,7)</f>
        <v>3.4128</v>
      </c>
      <c r="L75" s="2"/>
      <c r="M75" s="2"/>
      <c r="N75" s="2"/>
      <c r="O75" s="2">
        <f t="shared" si="66"/>
        <v>226.3</v>
      </c>
      <c r="P75" s="2">
        <f t="shared" si="67"/>
        <v>0</v>
      </c>
      <c r="Q75" s="2">
        <f t="shared" si="68"/>
        <v>56.75</v>
      </c>
      <c r="R75" s="2">
        <f t="shared" si="69"/>
        <v>7.27</v>
      </c>
      <c r="S75" s="2">
        <f t="shared" si="70"/>
        <v>169.55</v>
      </c>
      <c r="T75" s="2">
        <f t="shared" si="71"/>
        <v>0</v>
      </c>
      <c r="U75" s="2">
        <f t="shared" si="72"/>
        <v>19.6236</v>
      </c>
      <c r="V75" s="2">
        <f t="shared" si="73"/>
        <v>0.6398999999999999</v>
      </c>
      <c r="W75" s="2">
        <f t="shared" si="74"/>
        <v>0</v>
      </c>
      <c r="X75" s="2">
        <f t="shared" si="75"/>
        <v>173.46</v>
      </c>
      <c r="Y75" s="2">
        <f t="shared" si="76"/>
        <v>85.67</v>
      </c>
      <c r="Z75" s="2"/>
      <c r="AA75" s="2">
        <v>55457795</v>
      </c>
      <c r="AB75" s="2">
        <f t="shared" si="77"/>
        <v>66.31</v>
      </c>
      <c r="AC75" s="2">
        <f>ROUND(((ES75*ROUND(5,7))),2)</f>
        <v>0</v>
      </c>
      <c r="AD75" s="2">
        <f>ROUND(((((ET75*ROUND((1.25*5),7)))-((EU75*ROUND((1.25*5),7))))+AE75),2)</f>
        <v>16.63</v>
      </c>
      <c r="AE75" s="2">
        <f>ROUND(((EU75*ROUND((1.25*5),7))),2)</f>
        <v>2.13</v>
      </c>
      <c r="AF75" s="2">
        <f>ROUND(((EV75*ROUND((1.15*5),7))),2)</f>
        <v>49.68</v>
      </c>
      <c r="AG75" s="2">
        <f t="shared" si="78"/>
        <v>0</v>
      </c>
      <c r="AH75" s="2">
        <f>((EW75*ROUND((1.15*5),7)))</f>
        <v>5.75</v>
      </c>
      <c r="AI75" s="2">
        <f>((EX75*ROUND((1.25*5),7)))</f>
        <v>0.1875</v>
      </c>
      <c r="AJ75" s="2">
        <f t="shared" si="79"/>
        <v>0</v>
      </c>
      <c r="AK75" s="2">
        <v>11.3</v>
      </c>
      <c r="AL75" s="2">
        <v>0</v>
      </c>
      <c r="AM75" s="2">
        <v>2.66</v>
      </c>
      <c r="AN75" s="2">
        <v>0.34</v>
      </c>
      <c r="AO75" s="2">
        <v>8.64</v>
      </c>
      <c r="AP75" s="2">
        <v>0</v>
      </c>
      <c r="AQ75" s="2">
        <v>1</v>
      </c>
      <c r="AR75" s="2">
        <v>0.03</v>
      </c>
      <c r="AS75" s="2">
        <v>0</v>
      </c>
      <c r="AT75" s="2">
        <v>98.1</v>
      </c>
      <c r="AU75" s="2">
        <v>48.45</v>
      </c>
      <c r="AV75" s="2">
        <v>1</v>
      </c>
      <c r="AW75" s="2">
        <v>1</v>
      </c>
      <c r="AX75" s="2"/>
      <c r="AY75" s="2"/>
      <c r="AZ75" s="2">
        <v>1</v>
      </c>
      <c r="BA75" s="2">
        <v>1</v>
      </c>
      <c r="BB75" s="2">
        <v>1</v>
      </c>
      <c r="BC75" s="2">
        <v>1</v>
      </c>
      <c r="BD75" s="2" t="s">
        <v>3</v>
      </c>
      <c r="BE75" s="2" t="s">
        <v>3</v>
      </c>
      <c r="BF75" s="2" t="s">
        <v>3</v>
      </c>
      <c r="BG75" s="2" t="s">
        <v>3</v>
      </c>
      <c r="BH75" s="2">
        <v>0</v>
      </c>
      <c r="BI75" s="2">
        <v>1</v>
      </c>
      <c r="BJ75" s="2" t="s">
        <v>128</v>
      </c>
      <c r="BK75" s="2"/>
      <c r="BL75" s="2"/>
      <c r="BM75" s="2">
        <v>12001</v>
      </c>
      <c r="BN75" s="2">
        <v>0</v>
      </c>
      <c r="BO75" s="2" t="s">
        <v>3</v>
      </c>
      <c r="BP75" s="2">
        <v>0</v>
      </c>
      <c r="BQ75" s="2">
        <v>2</v>
      </c>
      <c r="BR75" s="2">
        <v>0</v>
      </c>
      <c r="BS75" s="2">
        <v>1</v>
      </c>
      <c r="BT75" s="2">
        <v>1</v>
      </c>
      <c r="BU75" s="2">
        <v>1</v>
      </c>
      <c r="BV75" s="2">
        <v>1</v>
      </c>
      <c r="BW75" s="2">
        <v>1</v>
      </c>
      <c r="BX75" s="2">
        <v>1</v>
      </c>
      <c r="BY75" s="2" t="s">
        <v>3</v>
      </c>
      <c r="BZ75" s="2">
        <v>109</v>
      </c>
      <c r="CA75" s="2">
        <v>57</v>
      </c>
      <c r="CB75" s="2" t="s">
        <v>3</v>
      </c>
      <c r="CC75" s="2"/>
      <c r="CD75" s="2"/>
      <c r="CE75" s="2">
        <v>0</v>
      </c>
      <c r="CF75" s="2">
        <v>0</v>
      </c>
      <c r="CG75" s="2">
        <v>0</v>
      </c>
      <c r="CH75" s="2"/>
      <c r="CI75" s="2"/>
      <c r="CJ75" s="2"/>
      <c r="CK75" s="2"/>
      <c r="CL75" s="2"/>
      <c r="CM75" s="2">
        <v>0</v>
      </c>
      <c r="CN75" s="2" t="s">
        <v>363</v>
      </c>
      <c r="CO75" s="2">
        <v>0</v>
      </c>
      <c r="CP75" s="2">
        <f t="shared" si="80"/>
        <v>226.3</v>
      </c>
      <c r="CQ75" s="2">
        <f t="shared" si="81"/>
        <v>0</v>
      </c>
      <c r="CR75" s="2">
        <f t="shared" si="82"/>
        <v>16.63</v>
      </c>
      <c r="CS75" s="2">
        <f t="shared" si="83"/>
        <v>2.13</v>
      </c>
      <c r="CT75" s="2">
        <f t="shared" si="84"/>
        <v>49.68</v>
      </c>
      <c r="CU75" s="2">
        <f t="shared" si="85"/>
        <v>0</v>
      </c>
      <c r="CV75" s="2">
        <f t="shared" si="86"/>
        <v>5.75</v>
      </c>
      <c r="CW75" s="2">
        <f t="shared" si="87"/>
        <v>0.1875</v>
      </c>
      <c r="CX75" s="2">
        <f t="shared" si="88"/>
        <v>0</v>
      </c>
      <c r="CY75" s="2">
        <f t="shared" si="89"/>
        <v>173.46042</v>
      </c>
      <c r="CZ75" s="2">
        <f t="shared" si="90"/>
        <v>85.66929000000002</v>
      </c>
      <c r="DA75" s="2"/>
      <c r="DB75" s="2"/>
      <c r="DC75" s="2" t="s">
        <v>3</v>
      </c>
      <c r="DD75" s="2" t="s">
        <v>129</v>
      </c>
      <c r="DE75" s="2" t="s">
        <v>130</v>
      </c>
      <c r="DF75" s="2" t="s">
        <v>130</v>
      </c>
      <c r="DG75" s="2" t="s">
        <v>131</v>
      </c>
      <c r="DH75" s="2" t="s">
        <v>3</v>
      </c>
      <c r="DI75" s="2" t="s">
        <v>131</v>
      </c>
      <c r="DJ75" s="2" t="s">
        <v>130</v>
      </c>
      <c r="DK75" s="2" t="s">
        <v>3</v>
      </c>
      <c r="DL75" s="2" t="s">
        <v>113</v>
      </c>
      <c r="DM75" s="2" t="s">
        <v>114</v>
      </c>
      <c r="DN75" s="2">
        <v>0</v>
      </c>
      <c r="DO75" s="2">
        <v>0</v>
      </c>
      <c r="DP75" s="2">
        <v>1</v>
      </c>
      <c r="DQ75" s="2">
        <v>1</v>
      </c>
      <c r="DR75" s="2"/>
      <c r="DS75" s="2"/>
      <c r="DT75" s="2"/>
      <c r="DU75" s="2">
        <v>1005</v>
      </c>
      <c r="DV75" s="2" t="s">
        <v>23</v>
      </c>
      <c r="DW75" s="2" t="s">
        <v>23</v>
      </c>
      <c r="DX75" s="2">
        <v>100</v>
      </c>
      <c r="DY75" s="2"/>
      <c r="DZ75" s="2" t="s">
        <v>3</v>
      </c>
      <c r="EA75" s="2" t="s">
        <v>3</v>
      </c>
      <c r="EB75" s="2" t="s">
        <v>3</v>
      </c>
      <c r="EC75" s="2" t="s">
        <v>3</v>
      </c>
      <c r="ED75" s="2"/>
      <c r="EE75" s="2">
        <v>55402612</v>
      </c>
      <c r="EF75" s="2">
        <v>2</v>
      </c>
      <c r="EG75" s="2" t="s">
        <v>25</v>
      </c>
      <c r="EH75" s="2">
        <v>12</v>
      </c>
      <c r="EI75" s="2" t="s">
        <v>115</v>
      </c>
      <c r="EJ75" s="2">
        <v>1</v>
      </c>
      <c r="EK75" s="2">
        <v>12001</v>
      </c>
      <c r="EL75" s="2" t="s">
        <v>115</v>
      </c>
      <c r="EM75" s="2" t="s">
        <v>116</v>
      </c>
      <c r="EN75" s="2"/>
      <c r="EO75" s="2" t="s">
        <v>117</v>
      </c>
      <c r="EP75" s="2"/>
      <c r="EQ75" s="2">
        <v>0</v>
      </c>
      <c r="ER75" s="2">
        <v>11.3</v>
      </c>
      <c r="ES75" s="2">
        <v>0</v>
      </c>
      <c r="ET75" s="2">
        <v>2.66</v>
      </c>
      <c r="EU75" s="2">
        <v>0.34</v>
      </c>
      <c r="EV75" s="2">
        <v>8.64</v>
      </c>
      <c r="EW75" s="2">
        <v>1</v>
      </c>
      <c r="EX75" s="2">
        <v>0.03</v>
      </c>
      <c r="EY75" s="2">
        <v>0</v>
      </c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>
        <v>0</v>
      </c>
      <c r="FR75" s="2">
        <f t="shared" si="91"/>
        <v>0</v>
      </c>
      <c r="FS75" s="2">
        <v>0</v>
      </c>
      <c r="FT75" s="2"/>
      <c r="FU75" s="2"/>
      <c r="FV75" s="2"/>
      <c r="FW75" s="2"/>
      <c r="FX75" s="2">
        <v>98.1</v>
      </c>
      <c r="FY75" s="2">
        <v>48.45</v>
      </c>
      <c r="FZ75" s="2"/>
      <c r="GA75" s="2" t="s">
        <v>3</v>
      </c>
      <c r="GB75" s="2"/>
      <c r="GC75" s="2"/>
      <c r="GD75" s="2">
        <v>1</v>
      </c>
      <c r="GE75" s="2"/>
      <c r="GF75" s="2">
        <v>456578496</v>
      </c>
      <c r="GG75" s="2">
        <v>2</v>
      </c>
      <c r="GH75" s="2">
        <v>1</v>
      </c>
      <c r="GI75" s="2">
        <v>-2</v>
      </c>
      <c r="GJ75" s="2">
        <v>0</v>
      </c>
      <c r="GK75" s="2">
        <v>0</v>
      </c>
      <c r="GL75" s="2">
        <f t="shared" si="92"/>
        <v>0</v>
      </c>
      <c r="GM75" s="2">
        <f t="shared" si="93"/>
        <v>485.43</v>
      </c>
      <c r="GN75" s="2">
        <f t="shared" si="94"/>
        <v>485.43</v>
      </c>
      <c r="GO75" s="2">
        <f t="shared" si="95"/>
        <v>0</v>
      </c>
      <c r="GP75" s="2">
        <f t="shared" si="96"/>
        <v>0</v>
      </c>
      <c r="GQ75" s="2"/>
      <c r="GR75" s="2">
        <v>0</v>
      </c>
      <c r="GS75" s="2">
        <v>0</v>
      </c>
      <c r="GT75" s="2">
        <v>0</v>
      </c>
      <c r="GU75" s="2" t="s">
        <v>3</v>
      </c>
      <c r="GV75" s="2">
        <f t="shared" si="97"/>
        <v>0</v>
      </c>
      <c r="GW75" s="2">
        <v>1</v>
      </c>
      <c r="GX75" s="2">
        <f t="shared" si="98"/>
        <v>0</v>
      </c>
      <c r="GY75" s="2"/>
      <c r="GZ75" s="2"/>
      <c r="HA75" s="2">
        <v>0</v>
      </c>
      <c r="HB75" s="2">
        <v>0</v>
      </c>
      <c r="HC75" s="2">
        <f t="shared" si="99"/>
        <v>0</v>
      </c>
      <c r="HD75" s="2"/>
      <c r="HE75" s="2" t="s">
        <v>3</v>
      </c>
      <c r="HF75" s="2" t="s">
        <v>3</v>
      </c>
      <c r="HG75" s="2"/>
      <c r="HH75" s="2"/>
      <c r="HI75" s="2">
        <f t="shared" si="100"/>
        <v>7.27</v>
      </c>
      <c r="HJ75" s="2">
        <f t="shared" si="101"/>
        <v>169.55</v>
      </c>
      <c r="HK75" s="2">
        <f t="shared" si="102"/>
        <v>173.46</v>
      </c>
      <c r="HL75" s="2">
        <f t="shared" si="103"/>
        <v>85.67</v>
      </c>
      <c r="HM75" s="2" t="s">
        <v>3</v>
      </c>
      <c r="HN75" s="2" t="s">
        <v>118</v>
      </c>
      <c r="HO75" s="2" t="s">
        <v>119</v>
      </c>
      <c r="HP75" s="2" t="s">
        <v>115</v>
      </c>
      <c r="HQ75" s="2" t="s">
        <v>115</v>
      </c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>
        <v>0</v>
      </c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45" ht="12.75">
      <c r="A76">
        <v>17</v>
      </c>
      <c r="B76">
        <v>1</v>
      </c>
      <c r="C76">
        <f>ROW(SmtRes!A42)</f>
        <v>42</v>
      </c>
      <c r="D76">
        <f>ROW(EtalonRes!A42)</f>
        <v>42</v>
      </c>
      <c r="E76" t="s">
        <v>125</v>
      </c>
      <c r="F76" t="s">
        <v>126</v>
      </c>
      <c r="G76" t="s">
        <v>127</v>
      </c>
      <c r="H76" t="s">
        <v>23</v>
      </c>
      <c r="I76">
        <f>ROUND(341.28/100,7)</f>
        <v>3.4128</v>
      </c>
      <c r="J76">
        <v>0</v>
      </c>
      <c r="K76">
        <f>ROUND(341.28/100,7)</f>
        <v>3.4128</v>
      </c>
      <c r="O76">
        <f t="shared" si="66"/>
        <v>226.3</v>
      </c>
      <c r="P76">
        <f t="shared" si="67"/>
        <v>0</v>
      </c>
      <c r="Q76">
        <f t="shared" si="68"/>
        <v>56.75</v>
      </c>
      <c r="R76">
        <f t="shared" si="69"/>
        <v>7.27</v>
      </c>
      <c r="S76">
        <f t="shared" si="70"/>
        <v>169.55</v>
      </c>
      <c r="T76">
        <f t="shared" si="71"/>
        <v>0</v>
      </c>
      <c r="U76">
        <f t="shared" si="72"/>
        <v>19.6236</v>
      </c>
      <c r="V76">
        <f t="shared" si="73"/>
        <v>0.6398999999999999</v>
      </c>
      <c r="W76">
        <f t="shared" si="74"/>
        <v>0</v>
      </c>
      <c r="X76">
        <f t="shared" si="75"/>
        <v>173.46</v>
      </c>
      <c r="Y76">
        <f t="shared" si="76"/>
        <v>85.67</v>
      </c>
      <c r="AA76">
        <v>55457796</v>
      </c>
      <c r="AB76">
        <f t="shared" si="77"/>
        <v>66.31</v>
      </c>
      <c r="AC76">
        <f>ROUND(((ES76*ROUND(5,7))),2)</f>
        <v>0</v>
      </c>
      <c r="AD76">
        <f>ROUND(((((ET76*ROUND((1.25*5),7)))-((EU76*ROUND((1.25*5),7))))+AE76),2)</f>
        <v>16.63</v>
      </c>
      <c r="AE76">
        <f>ROUND(((EU76*ROUND((1.25*5),7))),2)</f>
        <v>2.13</v>
      </c>
      <c r="AF76">
        <f>ROUND(((EV76*ROUND((1.15*5),7))),2)</f>
        <v>49.68</v>
      </c>
      <c r="AG76">
        <f t="shared" si="78"/>
        <v>0</v>
      </c>
      <c r="AH76">
        <f>((EW76*ROUND((1.15*5),7)))</f>
        <v>5.75</v>
      </c>
      <c r="AI76">
        <f>((EX76*ROUND((1.25*5),7)))</f>
        <v>0.1875</v>
      </c>
      <c r="AJ76">
        <f t="shared" si="79"/>
        <v>0</v>
      </c>
      <c r="AK76">
        <v>11.3</v>
      </c>
      <c r="AL76">
        <v>0</v>
      </c>
      <c r="AM76">
        <v>2.66</v>
      </c>
      <c r="AN76">
        <v>0.34</v>
      </c>
      <c r="AO76">
        <v>8.64</v>
      </c>
      <c r="AP76">
        <v>0</v>
      </c>
      <c r="AQ76">
        <v>1</v>
      </c>
      <c r="AR76">
        <v>0.03</v>
      </c>
      <c r="AS76">
        <v>0</v>
      </c>
      <c r="AT76">
        <v>98.1</v>
      </c>
      <c r="AU76">
        <v>48.45</v>
      </c>
      <c r="AV76">
        <v>1</v>
      </c>
      <c r="AW76">
        <v>1</v>
      </c>
      <c r="AZ76">
        <v>1</v>
      </c>
      <c r="BA76">
        <v>36.47</v>
      </c>
      <c r="BB76">
        <v>1</v>
      </c>
      <c r="BC76">
        <v>1</v>
      </c>
      <c r="BH76">
        <v>0</v>
      </c>
      <c r="BI76">
        <v>1</v>
      </c>
      <c r="BJ76" t="s">
        <v>128</v>
      </c>
      <c r="BM76">
        <v>12001</v>
      </c>
      <c r="BN76">
        <v>0</v>
      </c>
      <c r="BO76" t="s">
        <v>31</v>
      </c>
      <c r="BP76">
        <v>1</v>
      </c>
      <c r="BQ76">
        <v>2</v>
      </c>
      <c r="BR76">
        <v>0</v>
      </c>
      <c r="BS76">
        <v>36.47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109</v>
      </c>
      <c r="CA76">
        <v>57</v>
      </c>
      <c r="CE76">
        <v>0</v>
      </c>
      <c r="CF76">
        <v>0</v>
      </c>
      <c r="CG76">
        <v>0</v>
      </c>
      <c r="CM76">
        <v>0</v>
      </c>
      <c r="CN76" t="s">
        <v>363</v>
      </c>
      <c r="CO76">
        <v>0</v>
      </c>
      <c r="CP76">
        <f t="shared" si="80"/>
        <v>226.3</v>
      </c>
      <c r="CQ76">
        <f t="shared" si="81"/>
        <v>0</v>
      </c>
      <c r="CR76">
        <f t="shared" si="82"/>
        <v>16.63</v>
      </c>
      <c r="CS76">
        <f t="shared" si="83"/>
        <v>2.13</v>
      </c>
      <c r="CT76">
        <f t="shared" si="84"/>
        <v>49.68</v>
      </c>
      <c r="CU76">
        <f t="shared" si="85"/>
        <v>0</v>
      </c>
      <c r="CV76">
        <f t="shared" si="86"/>
        <v>5.75</v>
      </c>
      <c r="CW76">
        <f t="shared" si="87"/>
        <v>0.1875</v>
      </c>
      <c r="CX76">
        <f t="shared" si="88"/>
        <v>0</v>
      </c>
      <c r="CY76">
        <f t="shared" si="89"/>
        <v>173.46042</v>
      </c>
      <c r="CZ76">
        <f t="shared" si="90"/>
        <v>85.66929000000002</v>
      </c>
      <c r="DD76" t="s">
        <v>129</v>
      </c>
      <c r="DE76" t="s">
        <v>130</v>
      </c>
      <c r="DF76" t="s">
        <v>130</v>
      </c>
      <c r="DG76" t="s">
        <v>131</v>
      </c>
      <c r="DI76" t="s">
        <v>131</v>
      </c>
      <c r="DJ76" t="s">
        <v>130</v>
      </c>
      <c r="DL76" t="s">
        <v>113</v>
      </c>
      <c r="DM76" t="s">
        <v>114</v>
      </c>
      <c r="DN76">
        <v>0</v>
      </c>
      <c r="DO76">
        <v>0</v>
      </c>
      <c r="DP76">
        <v>1</v>
      </c>
      <c r="DQ76">
        <v>1</v>
      </c>
      <c r="DU76">
        <v>1005</v>
      </c>
      <c r="DV76" t="s">
        <v>23</v>
      </c>
      <c r="DW76" t="s">
        <v>23</v>
      </c>
      <c r="DX76">
        <v>100</v>
      </c>
      <c r="EE76">
        <v>55402612</v>
      </c>
      <c r="EF76">
        <v>2</v>
      </c>
      <c r="EG76" t="s">
        <v>25</v>
      </c>
      <c r="EH76">
        <v>12</v>
      </c>
      <c r="EI76" t="s">
        <v>115</v>
      </c>
      <c r="EJ76">
        <v>1</v>
      </c>
      <c r="EK76">
        <v>12001</v>
      </c>
      <c r="EL76" t="s">
        <v>115</v>
      </c>
      <c r="EM76" t="s">
        <v>116</v>
      </c>
      <c r="EO76" t="s">
        <v>117</v>
      </c>
      <c r="EQ76">
        <v>0</v>
      </c>
      <c r="ER76">
        <v>11.3</v>
      </c>
      <c r="ES76">
        <v>0</v>
      </c>
      <c r="ET76">
        <v>2.66</v>
      </c>
      <c r="EU76">
        <v>0.34</v>
      </c>
      <c r="EV76">
        <v>8.64</v>
      </c>
      <c r="EW76">
        <v>1</v>
      </c>
      <c r="EX76">
        <v>0.03</v>
      </c>
      <c r="EY76">
        <v>0</v>
      </c>
      <c r="FQ76">
        <v>0</v>
      </c>
      <c r="FR76">
        <f t="shared" si="91"/>
        <v>0</v>
      </c>
      <c r="FS76">
        <v>0</v>
      </c>
      <c r="FX76">
        <v>98.1</v>
      </c>
      <c r="FY76">
        <v>48.45</v>
      </c>
      <c r="GD76">
        <v>1</v>
      </c>
      <c r="GF76">
        <v>456578496</v>
      </c>
      <c r="GG76">
        <v>2</v>
      </c>
      <c r="GH76">
        <v>1</v>
      </c>
      <c r="GI76">
        <v>4</v>
      </c>
      <c r="GJ76">
        <v>0</v>
      </c>
      <c r="GK76">
        <v>0</v>
      </c>
      <c r="GL76">
        <f t="shared" si="92"/>
        <v>0</v>
      </c>
      <c r="GM76">
        <f t="shared" si="93"/>
        <v>485.43</v>
      </c>
      <c r="GN76">
        <f t="shared" si="94"/>
        <v>485.43</v>
      </c>
      <c r="GO76">
        <f t="shared" si="95"/>
        <v>0</v>
      </c>
      <c r="GP76">
        <f t="shared" si="96"/>
        <v>0</v>
      </c>
      <c r="GR76">
        <v>0</v>
      </c>
      <c r="GS76">
        <v>0</v>
      </c>
      <c r="GT76">
        <v>0</v>
      </c>
      <c r="GV76">
        <f t="shared" si="97"/>
        <v>0</v>
      </c>
      <c r="GW76">
        <v>1</v>
      </c>
      <c r="GX76">
        <f t="shared" si="98"/>
        <v>0</v>
      </c>
      <c r="HA76">
        <v>0</v>
      </c>
      <c r="HB76">
        <v>0</v>
      </c>
      <c r="HC76">
        <f t="shared" si="99"/>
        <v>0</v>
      </c>
      <c r="HI76">
        <f t="shared" si="100"/>
        <v>265.14</v>
      </c>
      <c r="HJ76">
        <f t="shared" si="101"/>
        <v>6183.49</v>
      </c>
      <c r="HK76">
        <f t="shared" si="102"/>
        <v>6326.11</v>
      </c>
      <c r="HL76">
        <f t="shared" si="103"/>
        <v>3124.36</v>
      </c>
      <c r="HN76" t="s">
        <v>118</v>
      </c>
      <c r="HO76" t="s">
        <v>119</v>
      </c>
      <c r="HP76" t="s">
        <v>115</v>
      </c>
      <c r="HQ76" t="s">
        <v>115</v>
      </c>
      <c r="IK76">
        <v>0</v>
      </c>
    </row>
    <row r="77" spans="1:255" ht="12.75">
      <c r="A77" s="2">
        <v>18</v>
      </c>
      <c r="B77" s="2">
        <v>1</v>
      </c>
      <c r="C77" s="2">
        <v>37</v>
      </c>
      <c r="D77" s="2"/>
      <c r="E77" s="2" t="s">
        <v>132</v>
      </c>
      <c r="F77" s="2" t="s">
        <v>121</v>
      </c>
      <c r="G77" s="2" t="s">
        <v>122</v>
      </c>
      <c r="H77" s="2" t="s">
        <v>123</v>
      </c>
      <c r="I77" s="2">
        <f>I75*J77</f>
        <v>3.082929</v>
      </c>
      <c r="J77" s="2">
        <v>0.9033430028129396</v>
      </c>
      <c r="K77" s="2">
        <v>0.903343</v>
      </c>
      <c r="L77" s="2"/>
      <c r="M77" s="2"/>
      <c r="N77" s="2"/>
      <c r="O77" s="2">
        <f t="shared" si="66"/>
        <v>3832.23</v>
      </c>
      <c r="P77" s="2">
        <f t="shared" si="67"/>
        <v>3832.23</v>
      </c>
      <c r="Q77" s="2">
        <f t="shared" si="68"/>
        <v>0</v>
      </c>
      <c r="R77" s="2">
        <f t="shared" si="69"/>
        <v>0</v>
      </c>
      <c r="S77" s="2">
        <f t="shared" si="70"/>
        <v>0</v>
      </c>
      <c r="T77" s="2">
        <f t="shared" si="71"/>
        <v>0</v>
      </c>
      <c r="U77" s="2">
        <f t="shared" si="72"/>
        <v>0</v>
      </c>
      <c r="V77" s="2">
        <f t="shared" si="73"/>
        <v>0</v>
      </c>
      <c r="W77" s="2">
        <f t="shared" si="74"/>
        <v>0</v>
      </c>
      <c r="X77" s="2">
        <f t="shared" si="75"/>
        <v>0</v>
      </c>
      <c r="Y77" s="2">
        <f t="shared" si="76"/>
        <v>0</v>
      </c>
      <c r="Z77" s="2"/>
      <c r="AA77" s="2">
        <v>55457795</v>
      </c>
      <c r="AB77" s="2">
        <f t="shared" si="77"/>
        <v>1243.05</v>
      </c>
      <c r="AC77" s="2">
        <f aca="true" t="shared" si="104" ref="AC77:AC110">ROUND((ES77),2)</f>
        <v>1243.05</v>
      </c>
      <c r="AD77" s="2">
        <f>ROUND((((ET77)-(EU77))+AE77),2)</f>
        <v>0</v>
      </c>
      <c r="AE77" s="2">
        <f>ROUND((EU77),2)</f>
        <v>0</v>
      </c>
      <c r="AF77" s="2">
        <f>ROUND((EV77),2)</f>
        <v>0</v>
      </c>
      <c r="AG77" s="2">
        <f t="shared" si="78"/>
        <v>0</v>
      </c>
      <c r="AH77" s="2">
        <f>(EW77)</f>
        <v>0</v>
      </c>
      <c r="AI77" s="2">
        <f>(EX77)</f>
        <v>0</v>
      </c>
      <c r="AJ77" s="2">
        <f t="shared" si="79"/>
        <v>0</v>
      </c>
      <c r="AK77" s="2">
        <v>1243.05</v>
      </c>
      <c r="AL77" s="2">
        <v>1243.05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109</v>
      </c>
      <c r="AU77" s="2">
        <v>57</v>
      </c>
      <c r="AV77" s="2">
        <v>1</v>
      </c>
      <c r="AW77" s="2">
        <v>1</v>
      </c>
      <c r="AX77" s="2"/>
      <c r="AY77" s="2"/>
      <c r="AZ77" s="2">
        <v>1</v>
      </c>
      <c r="BA77" s="2">
        <v>1</v>
      </c>
      <c r="BB77" s="2">
        <v>1</v>
      </c>
      <c r="BC77" s="2">
        <v>1</v>
      </c>
      <c r="BD77" s="2" t="s">
        <v>3</v>
      </c>
      <c r="BE77" s="2" t="s">
        <v>3</v>
      </c>
      <c r="BF77" s="2" t="s">
        <v>3</v>
      </c>
      <c r="BG77" s="2" t="s">
        <v>3</v>
      </c>
      <c r="BH77" s="2">
        <v>3</v>
      </c>
      <c r="BI77" s="2">
        <v>1</v>
      </c>
      <c r="BJ77" s="2" t="s">
        <v>124</v>
      </c>
      <c r="BK77" s="2"/>
      <c r="BL77" s="2"/>
      <c r="BM77" s="2">
        <v>12001</v>
      </c>
      <c r="BN77" s="2">
        <v>0</v>
      </c>
      <c r="BO77" s="2" t="s">
        <v>3</v>
      </c>
      <c r="BP77" s="2">
        <v>0</v>
      </c>
      <c r="BQ77" s="2">
        <v>2</v>
      </c>
      <c r="BR77" s="2">
        <v>0</v>
      </c>
      <c r="BS77" s="2">
        <v>1</v>
      </c>
      <c r="BT77" s="2">
        <v>1</v>
      </c>
      <c r="BU77" s="2">
        <v>1</v>
      </c>
      <c r="BV77" s="2">
        <v>1</v>
      </c>
      <c r="BW77" s="2">
        <v>1</v>
      </c>
      <c r="BX77" s="2">
        <v>1</v>
      </c>
      <c r="BY77" s="2" t="s">
        <v>3</v>
      </c>
      <c r="BZ77" s="2">
        <v>109</v>
      </c>
      <c r="CA77" s="2">
        <v>57</v>
      </c>
      <c r="CB77" s="2" t="s">
        <v>3</v>
      </c>
      <c r="CC77" s="2"/>
      <c r="CD77" s="2"/>
      <c r="CE77" s="2">
        <v>0</v>
      </c>
      <c r="CF77" s="2">
        <v>0</v>
      </c>
      <c r="CG77" s="2">
        <v>0</v>
      </c>
      <c r="CH77" s="2"/>
      <c r="CI77" s="2"/>
      <c r="CJ77" s="2"/>
      <c r="CK77" s="2"/>
      <c r="CL77" s="2"/>
      <c r="CM77" s="2">
        <v>0</v>
      </c>
      <c r="CN77" s="2" t="s">
        <v>363</v>
      </c>
      <c r="CO77" s="2">
        <v>0</v>
      </c>
      <c r="CP77" s="2">
        <f t="shared" si="80"/>
        <v>3832.23</v>
      </c>
      <c r="CQ77" s="2">
        <f t="shared" si="81"/>
        <v>1243.05</v>
      </c>
      <c r="CR77" s="2">
        <f t="shared" si="82"/>
        <v>0</v>
      </c>
      <c r="CS77" s="2">
        <f t="shared" si="83"/>
        <v>0</v>
      </c>
      <c r="CT77" s="2">
        <f t="shared" si="84"/>
        <v>0</v>
      </c>
      <c r="CU77" s="2">
        <f t="shared" si="85"/>
        <v>0</v>
      </c>
      <c r="CV77" s="2">
        <f t="shared" si="86"/>
        <v>0</v>
      </c>
      <c r="CW77" s="2">
        <f t="shared" si="87"/>
        <v>0</v>
      </c>
      <c r="CX77" s="2">
        <f t="shared" si="88"/>
        <v>0</v>
      </c>
      <c r="CY77" s="2">
        <f t="shared" si="89"/>
        <v>0</v>
      </c>
      <c r="CZ77" s="2">
        <f t="shared" si="90"/>
        <v>0</v>
      </c>
      <c r="DA77" s="2"/>
      <c r="DB77" s="2"/>
      <c r="DC77" s="2" t="s">
        <v>3</v>
      </c>
      <c r="DD77" s="2" t="s">
        <v>3</v>
      </c>
      <c r="DE77" s="2" t="s">
        <v>3</v>
      </c>
      <c r="DF77" s="2" t="s">
        <v>3</v>
      </c>
      <c r="DG77" s="2" t="s">
        <v>3</v>
      </c>
      <c r="DH77" s="2" t="s">
        <v>3</v>
      </c>
      <c r="DI77" s="2" t="s">
        <v>3</v>
      </c>
      <c r="DJ77" s="2" t="s">
        <v>3</v>
      </c>
      <c r="DK77" s="2" t="s">
        <v>3</v>
      </c>
      <c r="DL77" s="2" t="s">
        <v>3</v>
      </c>
      <c r="DM77" s="2" t="s">
        <v>3</v>
      </c>
      <c r="DN77" s="2">
        <v>0</v>
      </c>
      <c r="DO77" s="2">
        <v>0</v>
      </c>
      <c r="DP77" s="2">
        <v>1</v>
      </c>
      <c r="DQ77" s="2">
        <v>1</v>
      </c>
      <c r="DR77" s="2"/>
      <c r="DS77" s="2"/>
      <c r="DT77" s="2"/>
      <c r="DU77" s="2">
        <v>1009</v>
      </c>
      <c r="DV77" s="2" t="s">
        <v>123</v>
      </c>
      <c r="DW77" s="2" t="s">
        <v>123</v>
      </c>
      <c r="DX77" s="2">
        <v>1000</v>
      </c>
      <c r="DY77" s="2"/>
      <c r="DZ77" s="2" t="s">
        <v>3</v>
      </c>
      <c r="EA77" s="2" t="s">
        <v>3</v>
      </c>
      <c r="EB77" s="2" t="s">
        <v>3</v>
      </c>
      <c r="EC77" s="2" t="s">
        <v>3</v>
      </c>
      <c r="ED77" s="2"/>
      <c r="EE77" s="2">
        <v>55402612</v>
      </c>
      <c r="EF77" s="2">
        <v>2</v>
      </c>
      <c r="EG77" s="2" t="s">
        <v>25</v>
      </c>
      <c r="EH77" s="2">
        <v>12</v>
      </c>
      <c r="EI77" s="2" t="s">
        <v>115</v>
      </c>
      <c r="EJ77" s="2">
        <v>1</v>
      </c>
      <c r="EK77" s="2">
        <v>12001</v>
      </c>
      <c r="EL77" s="2" t="s">
        <v>115</v>
      </c>
      <c r="EM77" s="2" t="s">
        <v>116</v>
      </c>
      <c r="EN77" s="2"/>
      <c r="EO77" s="2" t="s">
        <v>117</v>
      </c>
      <c r="EP77" s="2"/>
      <c r="EQ77" s="2">
        <v>0</v>
      </c>
      <c r="ER77" s="2">
        <v>1243.05</v>
      </c>
      <c r="ES77" s="2">
        <v>1243.05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>
        <v>0</v>
      </c>
      <c r="FR77" s="2">
        <f t="shared" si="91"/>
        <v>0</v>
      </c>
      <c r="FS77" s="2">
        <v>0</v>
      </c>
      <c r="FT77" s="2"/>
      <c r="FU77" s="2"/>
      <c r="FV77" s="2"/>
      <c r="FW77" s="2"/>
      <c r="FX77" s="2">
        <v>109</v>
      </c>
      <c r="FY77" s="2">
        <v>57</v>
      </c>
      <c r="FZ77" s="2"/>
      <c r="GA77" s="2" t="s">
        <v>3</v>
      </c>
      <c r="GB77" s="2"/>
      <c r="GC77" s="2"/>
      <c r="GD77" s="2">
        <v>1</v>
      </c>
      <c r="GE77" s="2"/>
      <c r="GF77" s="2">
        <v>-1961211957</v>
      </c>
      <c r="GG77" s="2">
        <v>2</v>
      </c>
      <c r="GH77" s="2">
        <v>1</v>
      </c>
      <c r="GI77" s="2">
        <v>-2</v>
      </c>
      <c r="GJ77" s="2">
        <v>0</v>
      </c>
      <c r="GK77" s="2">
        <v>0</v>
      </c>
      <c r="GL77" s="2">
        <f t="shared" si="92"/>
        <v>0</v>
      </c>
      <c r="GM77" s="2">
        <f t="shared" si="93"/>
        <v>3832.23</v>
      </c>
      <c r="GN77" s="2">
        <f t="shared" si="94"/>
        <v>3832.23</v>
      </c>
      <c r="GO77" s="2">
        <f t="shared" si="95"/>
        <v>0</v>
      </c>
      <c r="GP77" s="2">
        <f t="shared" si="96"/>
        <v>0</v>
      </c>
      <c r="GQ77" s="2"/>
      <c r="GR77" s="2">
        <v>0</v>
      </c>
      <c r="GS77" s="2">
        <v>0</v>
      </c>
      <c r="GT77" s="2">
        <v>0</v>
      </c>
      <c r="GU77" s="2" t="s">
        <v>3</v>
      </c>
      <c r="GV77" s="2">
        <f t="shared" si="97"/>
        <v>0</v>
      </c>
      <c r="GW77" s="2">
        <v>1</v>
      </c>
      <c r="GX77" s="2">
        <f t="shared" si="98"/>
        <v>0</v>
      </c>
      <c r="GY77" s="2"/>
      <c r="GZ77" s="2"/>
      <c r="HA77" s="2">
        <v>0</v>
      </c>
      <c r="HB77" s="2">
        <v>0</v>
      </c>
      <c r="HC77" s="2">
        <f t="shared" si="99"/>
        <v>0</v>
      </c>
      <c r="HD77" s="2"/>
      <c r="HE77" s="2" t="s">
        <v>3</v>
      </c>
      <c r="HF77" s="2" t="s">
        <v>3</v>
      </c>
      <c r="HG77" s="2"/>
      <c r="HH77" s="2"/>
      <c r="HI77" s="2">
        <f t="shared" si="100"/>
        <v>0</v>
      </c>
      <c r="HJ77" s="2">
        <f t="shared" si="101"/>
        <v>0</v>
      </c>
      <c r="HK77" s="2">
        <f t="shared" si="102"/>
        <v>0</v>
      </c>
      <c r="HL77" s="2">
        <f t="shared" si="103"/>
        <v>0</v>
      </c>
      <c r="HM77" s="2" t="s">
        <v>3</v>
      </c>
      <c r="HN77" s="2" t="s">
        <v>118</v>
      </c>
      <c r="HO77" s="2" t="s">
        <v>119</v>
      </c>
      <c r="HP77" s="2" t="s">
        <v>115</v>
      </c>
      <c r="HQ77" s="2" t="s">
        <v>115</v>
      </c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>
        <v>0</v>
      </c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45" ht="12.75">
      <c r="A78">
        <v>18</v>
      </c>
      <c r="B78">
        <v>1</v>
      </c>
      <c r="C78">
        <v>42</v>
      </c>
      <c r="E78" t="s">
        <v>132</v>
      </c>
      <c r="F78" t="s">
        <v>121</v>
      </c>
      <c r="G78" t="s">
        <v>122</v>
      </c>
      <c r="H78" t="s">
        <v>123</v>
      </c>
      <c r="I78">
        <f>I76*J78</f>
        <v>3.082929</v>
      </c>
      <c r="J78">
        <v>0.9033430028129396</v>
      </c>
      <c r="K78">
        <v>0.903343</v>
      </c>
      <c r="O78">
        <f t="shared" si="66"/>
        <v>3832.23</v>
      </c>
      <c r="P78">
        <f t="shared" si="67"/>
        <v>3832.23</v>
      </c>
      <c r="Q78">
        <f t="shared" si="68"/>
        <v>0</v>
      </c>
      <c r="R78">
        <f t="shared" si="69"/>
        <v>0</v>
      </c>
      <c r="S78">
        <f t="shared" si="70"/>
        <v>0</v>
      </c>
      <c r="T78">
        <f t="shared" si="71"/>
        <v>0</v>
      </c>
      <c r="U78">
        <f t="shared" si="72"/>
        <v>0</v>
      </c>
      <c r="V78">
        <f t="shared" si="73"/>
        <v>0</v>
      </c>
      <c r="W78">
        <f t="shared" si="74"/>
        <v>0</v>
      </c>
      <c r="X78">
        <f t="shared" si="75"/>
        <v>0</v>
      </c>
      <c r="Y78">
        <f t="shared" si="76"/>
        <v>0</v>
      </c>
      <c r="AA78">
        <v>55457796</v>
      </c>
      <c r="AB78">
        <f t="shared" si="77"/>
        <v>1243.05</v>
      </c>
      <c r="AC78">
        <f t="shared" si="104"/>
        <v>1243.05</v>
      </c>
      <c r="AD78">
        <f>ROUND((((ET78)-(EU78))+AE78),2)</f>
        <v>0</v>
      </c>
      <c r="AE78">
        <f>ROUND((EU78),2)</f>
        <v>0</v>
      </c>
      <c r="AF78">
        <f>ROUND((EV78),2)</f>
        <v>0</v>
      </c>
      <c r="AG78">
        <f t="shared" si="78"/>
        <v>0</v>
      </c>
      <c r="AH78">
        <f>(EW78)</f>
        <v>0</v>
      </c>
      <c r="AI78">
        <f>(EX78)</f>
        <v>0</v>
      </c>
      <c r="AJ78">
        <f t="shared" si="79"/>
        <v>0</v>
      </c>
      <c r="AK78">
        <v>1243.05</v>
      </c>
      <c r="AL78">
        <v>1243.05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109</v>
      </c>
      <c r="AU78">
        <v>57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1</v>
      </c>
      <c r="BJ78" t="s">
        <v>124</v>
      </c>
      <c r="BM78">
        <v>12001</v>
      </c>
      <c r="BN78">
        <v>0</v>
      </c>
      <c r="BO78" t="s">
        <v>31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109</v>
      </c>
      <c r="CA78">
        <v>57</v>
      </c>
      <c r="CE78">
        <v>0</v>
      </c>
      <c r="CF78">
        <v>0</v>
      </c>
      <c r="CG78">
        <v>0</v>
      </c>
      <c r="CM78">
        <v>0</v>
      </c>
      <c r="CN78" t="s">
        <v>363</v>
      </c>
      <c r="CO78">
        <v>0</v>
      </c>
      <c r="CP78">
        <f t="shared" si="80"/>
        <v>3832.23</v>
      </c>
      <c r="CQ78">
        <f t="shared" si="81"/>
        <v>1243.05</v>
      </c>
      <c r="CR78">
        <f t="shared" si="82"/>
        <v>0</v>
      </c>
      <c r="CS78">
        <f t="shared" si="83"/>
        <v>0</v>
      </c>
      <c r="CT78">
        <f t="shared" si="84"/>
        <v>0</v>
      </c>
      <c r="CU78">
        <f t="shared" si="85"/>
        <v>0</v>
      </c>
      <c r="CV78">
        <f t="shared" si="86"/>
        <v>0</v>
      </c>
      <c r="CW78">
        <f t="shared" si="87"/>
        <v>0</v>
      </c>
      <c r="CX78">
        <f t="shared" si="88"/>
        <v>0</v>
      </c>
      <c r="CY78">
        <f t="shared" si="89"/>
        <v>0</v>
      </c>
      <c r="CZ78">
        <f t="shared" si="90"/>
        <v>0</v>
      </c>
      <c r="DN78">
        <v>0</v>
      </c>
      <c r="DO78">
        <v>0</v>
      </c>
      <c r="DP78">
        <v>1</v>
      </c>
      <c r="DQ78">
        <v>1</v>
      </c>
      <c r="DU78">
        <v>1009</v>
      </c>
      <c r="DV78" t="s">
        <v>123</v>
      </c>
      <c r="DW78" t="s">
        <v>123</v>
      </c>
      <c r="DX78">
        <v>1000</v>
      </c>
      <c r="EE78">
        <v>55402612</v>
      </c>
      <c r="EF78">
        <v>2</v>
      </c>
      <c r="EG78" t="s">
        <v>25</v>
      </c>
      <c r="EH78">
        <v>12</v>
      </c>
      <c r="EI78" t="s">
        <v>115</v>
      </c>
      <c r="EJ78">
        <v>1</v>
      </c>
      <c r="EK78">
        <v>12001</v>
      </c>
      <c r="EL78" t="s">
        <v>115</v>
      </c>
      <c r="EM78" t="s">
        <v>116</v>
      </c>
      <c r="EO78" t="s">
        <v>117</v>
      </c>
      <c r="EQ78">
        <v>0</v>
      </c>
      <c r="ER78">
        <v>1243.05</v>
      </c>
      <c r="ES78">
        <v>1243.05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91"/>
        <v>0</v>
      </c>
      <c r="FS78">
        <v>0</v>
      </c>
      <c r="FX78">
        <v>109</v>
      </c>
      <c r="FY78">
        <v>57</v>
      </c>
      <c r="GD78">
        <v>1</v>
      </c>
      <c r="GF78">
        <v>-1961211957</v>
      </c>
      <c r="GG78">
        <v>2</v>
      </c>
      <c r="GH78">
        <v>1</v>
      </c>
      <c r="GI78">
        <v>4</v>
      </c>
      <c r="GJ78">
        <v>0</v>
      </c>
      <c r="GK78">
        <v>0</v>
      </c>
      <c r="GL78">
        <f t="shared" si="92"/>
        <v>0</v>
      </c>
      <c r="GM78">
        <f t="shared" si="93"/>
        <v>3832.23</v>
      </c>
      <c r="GN78">
        <f t="shared" si="94"/>
        <v>3832.23</v>
      </c>
      <c r="GO78">
        <f t="shared" si="95"/>
        <v>0</v>
      </c>
      <c r="GP78">
        <f t="shared" si="96"/>
        <v>0</v>
      </c>
      <c r="GR78">
        <v>0</v>
      </c>
      <c r="GS78">
        <v>0</v>
      </c>
      <c r="GT78">
        <v>0</v>
      </c>
      <c r="GV78">
        <f t="shared" si="97"/>
        <v>0</v>
      </c>
      <c r="GW78">
        <v>1</v>
      </c>
      <c r="GX78">
        <f t="shared" si="98"/>
        <v>0</v>
      </c>
      <c r="HA78">
        <v>0</v>
      </c>
      <c r="HB78">
        <v>0</v>
      </c>
      <c r="HC78">
        <f t="shared" si="99"/>
        <v>0</v>
      </c>
      <c r="HI78">
        <f t="shared" si="100"/>
        <v>0</v>
      </c>
      <c r="HJ78">
        <f t="shared" si="101"/>
        <v>0</v>
      </c>
      <c r="HK78">
        <f t="shared" si="102"/>
        <v>0</v>
      </c>
      <c r="HL78">
        <f t="shared" si="103"/>
        <v>0</v>
      </c>
      <c r="HN78" t="s">
        <v>118</v>
      </c>
      <c r="HO78" t="s">
        <v>119</v>
      </c>
      <c r="HP78" t="s">
        <v>115</v>
      </c>
      <c r="HQ78" t="s">
        <v>115</v>
      </c>
      <c r="IK78">
        <v>0</v>
      </c>
    </row>
    <row r="79" spans="1:255" ht="12.75">
      <c r="A79" s="2">
        <v>17</v>
      </c>
      <c r="B79" s="2">
        <v>1</v>
      </c>
      <c r="C79" s="2">
        <f>ROW(SmtRes!A46)</f>
        <v>46</v>
      </c>
      <c r="D79" s="2">
        <f>ROW(EtalonRes!A46)</f>
        <v>46</v>
      </c>
      <c r="E79" s="2" t="s">
        <v>133</v>
      </c>
      <c r="F79" s="2" t="s">
        <v>134</v>
      </c>
      <c r="G79" s="2" t="s">
        <v>135</v>
      </c>
      <c r="H79" s="2" t="s">
        <v>23</v>
      </c>
      <c r="I79" s="2">
        <f>ROUND(1137.6/100,7)</f>
        <v>11.376</v>
      </c>
      <c r="J79" s="2">
        <v>0</v>
      </c>
      <c r="K79" s="2">
        <f>ROUND(1137.6/100,7)</f>
        <v>11.376</v>
      </c>
      <c r="L79" s="2"/>
      <c r="M79" s="2"/>
      <c r="N79" s="2"/>
      <c r="O79" s="2">
        <f t="shared" si="66"/>
        <v>1381.39</v>
      </c>
      <c r="P79" s="2">
        <f t="shared" si="67"/>
        <v>1023.84</v>
      </c>
      <c r="Q79" s="2">
        <f t="shared" si="68"/>
        <v>37.43</v>
      </c>
      <c r="R79" s="2">
        <f t="shared" si="69"/>
        <v>6.6</v>
      </c>
      <c r="S79" s="2">
        <f t="shared" si="70"/>
        <v>320.12</v>
      </c>
      <c r="T79" s="2">
        <f t="shared" si="71"/>
        <v>0</v>
      </c>
      <c r="U79" s="2">
        <f t="shared" si="72"/>
        <v>36.63072</v>
      </c>
      <c r="V79" s="2">
        <f t="shared" si="73"/>
        <v>0.5688</v>
      </c>
      <c r="W79" s="2">
        <f t="shared" si="74"/>
        <v>0</v>
      </c>
      <c r="X79" s="2">
        <f t="shared" si="75"/>
        <v>320.51</v>
      </c>
      <c r="Y79" s="2">
        <f t="shared" si="76"/>
        <v>158.3</v>
      </c>
      <c r="Z79" s="2"/>
      <c r="AA79" s="2">
        <v>55457795</v>
      </c>
      <c r="AB79" s="2">
        <f t="shared" si="77"/>
        <v>121.43</v>
      </c>
      <c r="AC79" s="2">
        <f t="shared" si="104"/>
        <v>90</v>
      </c>
      <c r="AD79" s="2">
        <f>ROUND(((((ET79*ROUND(1.25,7)))-((EU79*ROUND(1.25,7))))+AE79),2)</f>
        <v>3.29</v>
      </c>
      <c r="AE79" s="2">
        <f>ROUND(((EU79*ROUND(1.25,7))),2)</f>
        <v>0.58</v>
      </c>
      <c r="AF79" s="2">
        <f>ROUND(((EV79*ROUND(1.15,7))),2)</f>
        <v>28.14</v>
      </c>
      <c r="AG79" s="2">
        <f t="shared" si="78"/>
        <v>0</v>
      </c>
      <c r="AH79" s="2">
        <f>((EW79*ROUND(1.15,7)))</f>
        <v>3.2199999999999998</v>
      </c>
      <c r="AI79" s="2">
        <f>((EX79*ROUND(1.25,7)))</f>
        <v>0.05</v>
      </c>
      <c r="AJ79" s="2">
        <f t="shared" si="79"/>
        <v>0</v>
      </c>
      <c r="AK79" s="2">
        <v>117.1</v>
      </c>
      <c r="AL79" s="2">
        <v>90</v>
      </c>
      <c r="AM79" s="2">
        <v>2.63</v>
      </c>
      <c r="AN79" s="2">
        <v>0.46</v>
      </c>
      <c r="AO79" s="2">
        <v>24.47</v>
      </c>
      <c r="AP79" s="2">
        <v>0</v>
      </c>
      <c r="AQ79" s="2">
        <v>2.8</v>
      </c>
      <c r="AR79" s="2">
        <v>0.04</v>
      </c>
      <c r="AS79" s="2">
        <v>0</v>
      </c>
      <c r="AT79" s="2">
        <v>98.1</v>
      </c>
      <c r="AU79" s="2">
        <v>48.45</v>
      </c>
      <c r="AV79" s="2">
        <v>1</v>
      </c>
      <c r="AW79" s="2">
        <v>1</v>
      </c>
      <c r="AX79" s="2"/>
      <c r="AY79" s="2"/>
      <c r="AZ79" s="2">
        <v>1</v>
      </c>
      <c r="BA79" s="2">
        <v>1</v>
      </c>
      <c r="BB79" s="2">
        <v>1</v>
      </c>
      <c r="BC79" s="2">
        <v>1</v>
      </c>
      <c r="BD79" s="2" t="s">
        <v>3</v>
      </c>
      <c r="BE79" s="2" t="s">
        <v>3</v>
      </c>
      <c r="BF79" s="2" t="s">
        <v>3</v>
      </c>
      <c r="BG79" s="2" t="s">
        <v>3</v>
      </c>
      <c r="BH79" s="2">
        <v>0</v>
      </c>
      <c r="BI79" s="2">
        <v>1</v>
      </c>
      <c r="BJ79" s="2" t="s">
        <v>136</v>
      </c>
      <c r="BK79" s="2"/>
      <c r="BL79" s="2"/>
      <c r="BM79" s="2">
        <v>12001</v>
      </c>
      <c r="BN79" s="2">
        <v>0</v>
      </c>
      <c r="BO79" s="2" t="s">
        <v>3</v>
      </c>
      <c r="BP79" s="2">
        <v>0</v>
      </c>
      <c r="BQ79" s="2">
        <v>2</v>
      </c>
      <c r="BR79" s="2">
        <v>0</v>
      </c>
      <c r="BS79" s="2">
        <v>1</v>
      </c>
      <c r="BT79" s="2">
        <v>1</v>
      </c>
      <c r="BU79" s="2">
        <v>1</v>
      </c>
      <c r="BV79" s="2">
        <v>1</v>
      </c>
      <c r="BW79" s="2">
        <v>1</v>
      </c>
      <c r="BX79" s="2">
        <v>1</v>
      </c>
      <c r="BY79" s="2" t="s">
        <v>3</v>
      </c>
      <c r="BZ79" s="2">
        <v>109</v>
      </c>
      <c r="CA79" s="2">
        <v>57</v>
      </c>
      <c r="CB79" s="2" t="s">
        <v>3</v>
      </c>
      <c r="CC79" s="2"/>
      <c r="CD79" s="2"/>
      <c r="CE79" s="2">
        <v>0</v>
      </c>
      <c r="CF79" s="2">
        <v>0</v>
      </c>
      <c r="CG79" s="2">
        <v>0</v>
      </c>
      <c r="CH79" s="2"/>
      <c r="CI79" s="2"/>
      <c r="CJ79" s="2"/>
      <c r="CK79" s="2"/>
      <c r="CL79" s="2"/>
      <c r="CM79" s="2">
        <v>0</v>
      </c>
      <c r="CN79" s="2" t="s">
        <v>363</v>
      </c>
      <c r="CO79" s="2">
        <v>0</v>
      </c>
      <c r="CP79" s="2">
        <f t="shared" si="80"/>
        <v>1381.3899999999999</v>
      </c>
      <c r="CQ79" s="2">
        <f t="shared" si="81"/>
        <v>90</v>
      </c>
      <c r="CR79" s="2">
        <f t="shared" si="82"/>
        <v>3.29</v>
      </c>
      <c r="CS79" s="2">
        <f t="shared" si="83"/>
        <v>0.58</v>
      </c>
      <c r="CT79" s="2">
        <f t="shared" si="84"/>
        <v>28.14</v>
      </c>
      <c r="CU79" s="2">
        <f t="shared" si="85"/>
        <v>0</v>
      </c>
      <c r="CV79" s="2">
        <f t="shared" si="86"/>
        <v>3.2199999999999998</v>
      </c>
      <c r="CW79" s="2">
        <f t="shared" si="87"/>
        <v>0.05</v>
      </c>
      <c r="CX79" s="2">
        <f t="shared" si="88"/>
        <v>0</v>
      </c>
      <c r="CY79" s="2">
        <f t="shared" si="89"/>
        <v>320.51232</v>
      </c>
      <c r="CZ79" s="2">
        <f t="shared" si="90"/>
        <v>158.29584000000003</v>
      </c>
      <c r="DA79" s="2"/>
      <c r="DB79" s="2"/>
      <c r="DC79" s="2" t="s">
        <v>3</v>
      </c>
      <c r="DD79" s="2" t="s">
        <v>3</v>
      </c>
      <c r="DE79" s="2" t="s">
        <v>111</v>
      </c>
      <c r="DF79" s="2" t="s">
        <v>111</v>
      </c>
      <c r="DG79" s="2" t="s">
        <v>112</v>
      </c>
      <c r="DH79" s="2" t="s">
        <v>3</v>
      </c>
      <c r="DI79" s="2" t="s">
        <v>112</v>
      </c>
      <c r="DJ79" s="2" t="s">
        <v>111</v>
      </c>
      <c r="DK79" s="2" t="s">
        <v>3</v>
      </c>
      <c r="DL79" s="2" t="s">
        <v>113</v>
      </c>
      <c r="DM79" s="2" t="s">
        <v>114</v>
      </c>
      <c r="DN79" s="2">
        <v>0</v>
      </c>
      <c r="DO79" s="2">
        <v>0</v>
      </c>
      <c r="DP79" s="2">
        <v>1</v>
      </c>
      <c r="DQ79" s="2">
        <v>1</v>
      </c>
      <c r="DR79" s="2"/>
      <c r="DS79" s="2"/>
      <c r="DT79" s="2"/>
      <c r="DU79" s="2">
        <v>1005</v>
      </c>
      <c r="DV79" s="2" t="s">
        <v>23</v>
      </c>
      <c r="DW79" s="2" t="s">
        <v>23</v>
      </c>
      <c r="DX79" s="2">
        <v>100</v>
      </c>
      <c r="DY79" s="2"/>
      <c r="DZ79" s="2" t="s">
        <v>3</v>
      </c>
      <c r="EA79" s="2" t="s">
        <v>3</v>
      </c>
      <c r="EB79" s="2" t="s">
        <v>3</v>
      </c>
      <c r="EC79" s="2" t="s">
        <v>3</v>
      </c>
      <c r="ED79" s="2"/>
      <c r="EE79" s="2">
        <v>55402612</v>
      </c>
      <c r="EF79" s="2">
        <v>2</v>
      </c>
      <c r="EG79" s="2" t="s">
        <v>25</v>
      </c>
      <c r="EH79" s="2">
        <v>12</v>
      </c>
      <c r="EI79" s="2" t="s">
        <v>115</v>
      </c>
      <c r="EJ79" s="2">
        <v>1</v>
      </c>
      <c r="EK79" s="2">
        <v>12001</v>
      </c>
      <c r="EL79" s="2" t="s">
        <v>115</v>
      </c>
      <c r="EM79" s="2" t="s">
        <v>116</v>
      </c>
      <c r="EN79" s="2"/>
      <c r="EO79" s="2" t="s">
        <v>117</v>
      </c>
      <c r="EP79" s="2"/>
      <c r="EQ79" s="2">
        <v>0</v>
      </c>
      <c r="ER79" s="2">
        <v>117.1</v>
      </c>
      <c r="ES79" s="2">
        <v>90</v>
      </c>
      <c r="ET79" s="2">
        <v>2.63</v>
      </c>
      <c r="EU79" s="2">
        <v>0.46</v>
      </c>
      <c r="EV79" s="2">
        <v>24.47</v>
      </c>
      <c r="EW79" s="2">
        <v>2.8</v>
      </c>
      <c r="EX79" s="2">
        <v>0.04</v>
      </c>
      <c r="EY79" s="2">
        <v>0</v>
      </c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>
        <v>0</v>
      </c>
      <c r="FR79" s="2">
        <f t="shared" si="91"/>
        <v>0</v>
      </c>
      <c r="FS79" s="2">
        <v>0</v>
      </c>
      <c r="FT79" s="2"/>
      <c r="FU79" s="2"/>
      <c r="FV79" s="2"/>
      <c r="FW79" s="2"/>
      <c r="FX79" s="2">
        <v>98.1</v>
      </c>
      <c r="FY79" s="2">
        <v>48.45</v>
      </c>
      <c r="FZ79" s="2"/>
      <c r="GA79" s="2" t="s">
        <v>3</v>
      </c>
      <c r="GB79" s="2"/>
      <c r="GC79" s="2"/>
      <c r="GD79" s="2">
        <v>1</v>
      </c>
      <c r="GE79" s="2"/>
      <c r="GF79" s="2">
        <v>-1376981920</v>
      </c>
      <c r="GG79" s="2">
        <v>2</v>
      </c>
      <c r="GH79" s="2">
        <v>1</v>
      </c>
      <c r="GI79" s="2">
        <v>-2</v>
      </c>
      <c r="GJ79" s="2">
        <v>0</v>
      </c>
      <c r="GK79" s="2">
        <v>0</v>
      </c>
      <c r="GL79" s="2">
        <f t="shared" si="92"/>
        <v>0</v>
      </c>
      <c r="GM79" s="2">
        <f t="shared" si="93"/>
        <v>1860.2</v>
      </c>
      <c r="GN79" s="2">
        <f t="shared" si="94"/>
        <v>1860.2</v>
      </c>
      <c r="GO79" s="2">
        <f t="shared" si="95"/>
        <v>0</v>
      </c>
      <c r="GP79" s="2">
        <f t="shared" si="96"/>
        <v>0</v>
      </c>
      <c r="GQ79" s="2"/>
      <c r="GR79" s="2">
        <v>0</v>
      </c>
      <c r="GS79" s="2">
        <v>3</v>
      </c>
      <c r="GT79" s="2">
        <v>0</v>
      </c>
      <c r="GU79" s="2" t="s">
        <v>3</v>
      </c>
      <c r="GV79" s="2">
        <f t="shared" si="97"/>
        <v>0</v>
      </c>
      <c r="GW79" s="2">
        <v>1</v>
      </c>
      <c r="GX79" s="2">
        <f t="shared" si="98"/>
        <v>0</v>
      </c>
      <c r="GY79" s="2"/>
      <c r="GZ79" s="2"/>
      <c r="HA79" s="2">
        <v>0</v>
      </c>
      <c r="HB79" s="2">
        <v>0</v>
      </c>
      <c r="HC79" s="2">
        <f t="shared" si="99"/>
        <v>0</v>
      </c>
      <c r="HD79" s="2"/>
      <c r="HE79" s="2" t="s">
        <v>3</v>
      </c>
      <c r="HF79" s="2" t="s">
        <v>3</v>
      </c>
      <c r="HG79" s="2"/>
      <c r="HH79" s="2"/>
      <c r="HI79" s="2">
        <f t="shared" si="100"/>
        <v>6.6</v>
      </c>
      <c r="HJ79" s="2">
        <f t="shared" si="101"/>
        <v>320.12</v>
      </c>
      <c r="HK79" s="2">
        <f t="shared" si="102"/>
        <v>320.51</v>
      </c>
      <c r="HL79" s="2">
        <f t="shared" si="103"/>
        <v>158.3</v>
      </c>
      <c r="HM79" s="2" t="s">
        <v>3</v>
      </c>
      <c r="HN79" s="2" t="s">
        <v>118</v>
      </c>
      <c r="HO79" s="2" t="s">
        <v>119</v>
      </c>
      <c r="HP79" s="2" t="s">
        <v>115</v>
      </c>
      <c r="HQ79" s="2" t="s">
        <v>115</v>
      </c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>
        <v>0</v>
      </c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45" ht="12.75">
      <c r="A80">
        <v>17</v>
      </c>
      <c r="B80">
        <v>1</v>
      </c>
      <c r="C80">
        <f>ROW(SmtRes!A50)</f>
        <v>50</v>
      </c>
      <c r="D80">
        <f>ROW(EtalonRes!A50)</f>
        <v>50</v>
      </c>
      <c r="E80" t="s">
        <v>133</v>
      </c>
      <c r="F80" t="s">
        <v>134</v>
      </c>
      <c r="G80" t="s">
        <v>135</v>
      </c>
      <c r="H80" t="s">
        <v>23</v>
      </c>
      <c r="I80">
        <f>ROUND(1137.6/100,7)</f>
        <v>11.376</v>
      </c>
      <c r="J80">
        <v>0</v>
      </c>
      <c r="K80">
        <f>ROUND(1137.6/100,7)</f>
        <v>11.376</v>
      </c>
      <c r="O80">
        <f t="shared" si="66"/>
        <v>1381.39</v>
      </c>
      <c r="P80">
        <f t="shared" si="67"/>
        <v>1023.84</v>
      </c>
      <c r="Q80">
        <f t="shared" si="68"/>
        <v>37.43</v>
      </c>
      <c r="R80">
        <f t="shared" si="69"/>
        <v>6.6</v>
      </c>
      <c r="S80">
        <f t="shared" si="70"/>
        <v>320.12</v>
      </c>
      <c r="T80">
        <f t="shared" si="71"/>
        <v>0</v>
      </c>
      <c r="U80">
        <f t="shared" si="72"/>
        <v>36.63072</v>
      </c>
      <c r="V80">
        <f t="shared" si="73"/>
        <v>0.5688</v>
      </c>
      <c r="W80">
        <f t="shared" si="74"/>
        <v>0</v>
      </c>
      <c r="X80">
        <f t="shared" si="75"/>
        <v>320.51</v>
      </c>
      <c r="Y80">
        <f t="shared" si="76"/>
        <v>158.3</v>
      </c>
      <c r="AA80">
        <v>55457796</v>
      </c>
      <c r="AB80">
        <f t="shared" si="77"/>
        <v>121.43</v>
      </c>
      <c r="AC80">
        <f t="shared" si="104"/>
        <v>90</v>
      </c>
      <c r="AD80">
        <f>ROUND(((((ET80*ROUND(1.25,7)))-((EU80*ROUND(1.25,7))))+AE80),2)</f>
        <v>3.29</v>
      </c>
      <c r="AE80">
        <f>ROUND(((EU80*ROUND(1.25,7))),2)</f>
        <v>0.58</v>
      </c>
      <c r="AF80">
        <f>ROUND(((EV80*ROUND(1.15,7))),2)</f>
        <v>28.14</v>
      </c>
      <c r="AG80">
        <f t="shared" si="78"/>
        <v>0</v>
      </c>
      <c r="AH80">
        <f>((EW80*ROUND(1.15,7)))</f>
        <v>3.2199999999999998</v>
      </c>
      <c r="AI80">
        <f>((EX80*ROUND(1.25,7)))</f>
        <v>0.05</v>
      </c>
      <c r="AJ80">
        <f t="shared" si="79"/>
        <v>0</v>
      </c>
      <c r="AK80">
        <v>117.1</v>
      </c>
      <c r="AL80">
        <v>90</v>
      </c>
      <c r="AM80">
        <v>2.63</v>
      </c>
      <c r="AN80">
        <v>0.46</v>
      </c>
      <c r="AO80">
        <v>24.47</v>
      </c>
      <c r="AP80">
        <v>0</v>
      </c>
      <c r="AQ80">
        <v>2.8</v>
      </c>
      <c r="AR80">
        <v>0.04</v>
      </c>
      <c r="AS80">
        <v>0</v>
      </c>
      <c r="AT80">
        <v>98.1</v>
      </c>
      <c r="AU80">
        <v>48.45</v>
      </c>
      <c r="AV80">
        <v>1</v>
      </c>
      <c r="AW80">
        <v>1</v>
      </c>
      <c r="AZ80">
        <v>1</v>
      </c>
      <c r="BA80">
        <v>36.47</v>
      </c>
      <c r="BB80">
        <v>1</v>
      </c>
      <c r="BC80">
        <v>1</v>
      </c>
      <c r="BH80">
        <v>0</v>
      </c>
      <c r="BI80">
        <v>1</v>
      </c>
      <c r="BJ80" t="s">
        <v>136</v>
      </c>
      <c r="BM80">
        <v>12001</v>
      </c>
      <c r="BN80">
        <v>0</v>
      </c>
      <c r="BO80" t="s">
        <v>31</v>
      </c>
      <c r="BP80">
        <v>1</v>
      </c>
      <c r="BQ80">
        <v>2</v>
      </c>
      <c r="BR80">
        <v>0</v>
      </c>
      <c r="BS80">
        <v>36.47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109</v>
      </c>
      <c r="CA80">
        <v>57</v>
      </c>
      <c r="CE80">
        <v>0</v>
      </c>
      <c r="CF80">
        <v>0</v>
      </c>
      <c r="CG80">
        <v>0</v>
      </c>
      <c r="CM80">
        <v>0</v>
      </c>
      <c r="CN80" t="s">
        <v>363</v>
      </c>
      <c r="CO80">
        <v>0</v>
      </c>
      <c r="CP80">
        <f t="shared" si="80"/>
        <v>1381.3899999999999</v>
      </c>
      <c r="CQ80">
        <f t="shared" si="81"/>
        <v>90</v>
      </c>
      <c r="CR80">
        <f t="shared" si="82"/>
        <v>3.29</v>
      </c>
      <c r="CS80">
        <f t="shared" si="83"/>
        <v>0.58</v>
      </c>
      <c r="CT80">
        <f t="shared" si="84"/>
        <v>28.14</v>
      </c>
      <c r="CU80">
        <f t="shared" si="85"/>
        <v>0</v>
      </c>
      <c r="CV80">
        <f t="shared" si="86"/>
        <v>3.2199999999999998</v>
      </c>
      <c r="CW80">
        <f t="shared" si="87"/>
        <v>0.05</v>
      </c>
      <c r="CX80">
        <f t="shared" si="88"/>
        <v>0</v>
      </c>
      <c r="CY80">
        <f t="shared" si="89"/>
        <v>320.51232</v>
      </c>
      <c r="CZ80">
        <f t="shared" si="90"/>
        <v>158.29584000000003</v>
      </c>
      <c r="DE80" t="s">
        <v>111</v>
      </c>
      <c r="DF80" t="s">
        <v>111</v>
      </c>
      <c r="DG80" t="s">
        <v>112</v>
      </c>
      <c r="DI80" t="s">
        <v>112</v>
      </c>
      <c r="DJ80" t="s">
        <v>111</v>
      </c>
      <c r="DL80" t="s">
        <v>113</v>
      </c>
      <c r="DM80" t="s">
        <v>114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23</v>
      </c>
      <c r="DW80" t="s">
        <v>23</v>
      </c>
      <c r="DX80">
        <v>100</v>
      </c>
      <c r="EE80">
        <v>55402612</v>
      </c>
      <c r="EF80">
        <v>2</v>
      </c>
      <c r="EG80" t="s">
        <v>25</v>
      </c>
      <c r="EH80">
        <v>12</v>
      </c>
      <c r="EI80" t="s">
        <v>115</v>
      </c>
      <c r="EJ80">
        <v>1</v>
      </c>
      <c r="EK80">
        <v>12001</v>
      </c>
      <c r="EL80" t="s">
        <v>115</v>
      </c>
      <c r="EM80" t="s">
        <v>116</v>
      </c>
      <c r="EO80" t="s">
        <v>117</v>
      </c>
      <c r="EQ80">
        <v>0</v>
      </c>
      <c r="ER80">
        <v>117.1</v>
      </c>
      <c r="ES80">
        <v>90</v>
      </c>
      <c r="ET80">
        <v>2.63</v>
      </c>
      <c r="EU80">
        <v>0.46</v>
      </c>
      <c r="EV80">
        <v>24.47</v>
      </c>
      <c r="EW80">
        <v>2.8</v>
      </c>
      <c r="EX80">
        <v>0.04</v>
      </c>
      <c r="EY80">
        <v>0</v>
      </c>
      <c r="FQ80">
        <v>0</v>
      </c>
      <c r="FR80">
        <f t="shared" si="91"/>
        <v>0</v>
      </c>
      <c r="FS80">
        <v>0</v>
      </c>
      <c r="FX80">
        <v>98.1</v>
      </c>
      <c r="FY80">
        <v>48.45</v>
      </c>
      <c r="GD80">
        <v>1</v>
      </c>
      <c r="GF80">
        <v>-1376981920</v>
      </c>
      <c r="GG80">
        <v>2</v>
      </c>
      <c r="GH80">
        <v>1</v>
      </c>
      <c r="GI80">
        <v>4</v>
      </c>
      <c r="GJ80">
        <v>0</v>
      </c>
      <c r="GK80">
        <v>0</v>
      </c>
      <c r="GL80">
        <f t="shared" si="92"/>
        <v>0</v>
      </c>
      <c r="GM80">
        <f t="shared" si="93"/>
        <v>1860.2</v>
      </c>
      <c r="GN80">
        <f t="shared" si="94"/>
        <v>1860.2</v>
      </c>
      <c r="GO80">
        <f t="shared" si="95"/>
        <v>0</v>
      </c>
      <c r="GP80">
        <f t="shared" si="96"/>
        <v>0</v>
      </c>
      <c r="GR80">
        <v>0</v>
      </c>
      <c r="GS80">
        <v>3</v>
      </c>
      <c r="GT80">
        <v>0</v>
      </c>
      <c r="GV80">
        <f t="shared" si="97"/>
        <v>0</v>
      </c>
      <c r="GW80">
        <v>1</v>
      </c>
      <c r="GX80">
        <f t="shared" si="98"/>
        <v>0</v>
      </c>
      <c r="HA80">
        <v>0</v>
      </c>
      <c r="HB80">
        <v>0</v>
      </c>
      <c r="HC80">
        <f t="shared" si="99"/>
        <v>0</v>
      </c>
      <c r="HI80">
        <f t="shared" si="100"/>
        <v>240.7</v>
      </c>
      <c r="HJ80">
        <f t="shared" si="101"/>
        <v>11674.78</v>
      </c>
      <c r="HK80">
        <f t="shared" si="102"/>
        <v>11689.09</v>
      </c>
      <c r="HL80">
        <f t="shared" si="103"/>
        <v>5773.05</v>
      </c>
      <c r="HN80" t="s">
        <v>118</v>
      </c>
      <c r="HO80" t="s">
        <v>119</v>
      </c>
      <c r="HP80" t="s">
        <v>115</v>
      </c>
      <c r="HQ80" t="s">
        <v>115</v>
      </c>
      <c r="IK80">
        <v>0</v>
      </c>
    </row>
    <row r="81" spans="1:255" ht="12.75">
      <c r="A81" s="2">
        <v>17</v>
      </c>
      <c r="B81" s="2">
        <v>1</v>
      </c>
      <c r="C81" s="2">
        <f>ROW(SmtRes!A58)</f>
        <v>58</v>
      </c>
      <c r="D81" s="2">
        <f>ROW(EtalonRes!A58)</f>
        <v>58</v>
      </c>
      <c r="E81" s="2" t="s">
        <v>137</v>
      </c>
      <c r="F81" s="2" t="s">
        <v>138</v>
      </c>
      <c r="G81" s="2" t="s">
        <v>139</v>
      </c>
      <c r="H81" s="2" t="s">
        <v>23</v>
      </c>
      <c r="I81" s="2">
        <f>ROUND(1137.6/100,7)</f>
        <v>11.376</v>
      </c>
      <c r="J81" s="2">
        <v>0</v>
      </c>
      <c r="K81" s="2">
        <f>ROUND(1137.6/100,7)</f>
        <v>11.376</v>
      </c>
      <c r="L81" s="2"/>
      <c r="M81" s="2"/>
      <c r="N81" s="2"/>
      <c r="O81" s="2">
        <f t="shared" si="66"/>
        <v>4190.47</v>
      </c>
      <c r="P81" s="2">
        <f t="shared" si="67"/>
        <v>2074.19</v>
      </c>
      <c r="Q81" s="2">
        <f t="shared" si="68"/>
        <v>350.38</v>
      </c>
      <c r="R81" s="2">
        <f t="shared" si="69"/>
        <v>53.35</v>
      </c>
      <c r="S81" s="2">
        <f t="shared" si="70"/>
        <v>1765.9</v>
      </c>
      <c r="T81" s="2">
        <f t="shared" si="71"/>
        <v>0</v>
      </c>
      <c r="U81" s="2">
        <f t="shared" si="72"/>
        <v>187.863264</v>
      </c>
      <c r="V81" s="2">
        <f t="shared" si="73"/>
        <v>4.123799999999999</v>
      </c>
      <c r="W81" s="2">
        <f t="shared" si="74"/>
        <v>0</v>
      </c>
      <c r="X81" s="2">
        <f t="shared" si="75"/>
        <v>1784.68</v>
      </c>
      <c r="Y81" s="2">
        <f t="shared" si="76"/>
        <v>881.43</v>
      </c>
      <c r="Z81" s="2"/>
      <c r="AA81" s="2">
        <v>55457795</v>
      </c>
      <c r="AB81" s="2">
        <f t="shared" si="77"/>
        <v>368.36</v>
      </c>
      <c r="AC81" s="2">
        <f t="shared" si="104"/>
        <v>182.33</v>
      </c>
      <c r="AD81" s="2">
        <f>ROUND(((((ET81*ROUND(1.25,7)))-((EU81*ROUND(1.25,7))))+AE81),2)</f>
        <v>30.8</v>
      </c>
      <c r="AE81" s="2">
        <f>ROUND(((EU81*ROUND(1.25,7))),2)</f>
        <v>4.69</v>
      </c>
      <c r="AF81" s="2">
        <f>ROUND(((EV81*ROUND(1.15,7))),2)</f>
        <v>155.23</v>
      </c>
      <c r="AG81" s="2">
        <f t="shared" si="78"/>
        <v>0</v>
      </c>
      <c r="AH81" s="2">
        <f>((EW81*ROUND(1.15,7)))</f>
        <v>16.514</v>
      </c>
      <c r="AI81" s="2">
        <f>((EX81*ROUND(1.25,7)))</f>
        <v>0.3625</v>
      </c>
      <c r="AJ81" s="2">
        <f t="shared" si="79"/>
        <v>0</v>
      </c>
      <c r="AK81" s="2">
        <v>341.95</v>
      </c>
      <c r="AL81" s="2">
        <v>182.33</v>
      </c>
      <c r="AM81" s="2">
        <v>24.64</v>
      </c>
      <c r="AN81" s="2">
        <v>3.75</v>
      </c>
      <c r="AO81" s="2">
        <v>134.98</v>
      </c>
      <c r="AP81" s="2">
        <v>0</v>
      </c>
      <c r="AQ81" s="2">
        <v>14.36</v>
      </c>
      <c r="AR81" s="2">
        <v>0.29</v>
      </c>
      <c r="AS81" s="2">
        <v>0</v>
      </c>
      <c r="AT81" s="2">
        <v>98.1</v>
      </c>
      <c r="AU81" s="2">
        <v>48.45</v>
      </c>
      <c r="AV81" s="2">
        <v>1</v>
      </c>
      <c r="AW81" s="2">
        <v>1</v>
      </c>
      <c r="AX81" s="2"/>
      <c r="AY81" s="2"/>
      <c r="AZ81" s="2">
        <v>1</v>
      </c>
      <c r="BA81" s="2">
        <v>1</v>
      </c>
      <c r="BB81" s="2">
        <v>1</v>
      </c>
      <c r="BC81" s="2">
        <v>1</v>
      </c>
      <c r="BD81" s="2" t="s">
        <v>3</v>
      </c>
      <c r="BE81" s="2" t="s">
        <v>3</v>
      </c>
      <c r="BF81" s="2" t="s">
        <v>3</v>
      </c>
      <c r="BG81" s="2" t="s">
        <v>3</v>
      </c>
      <c r="BH81" s="2">
        <v>0</v>
      </c>
      <c r="BI81" s="2">
        <v>1</v>
      </c>
      <c r="BJ81" s="2" t="s">
        <v>140</v>
      </c>
      <c r="BK81" s="2"/>
      <c r="BL81" s="2"/>
      <c r="BM81" s="2">
        <v>12001</v>
      </c>
      <c r="BN81" s="2">
        <v>0</v>
      </c>
      <c r="BO81" s="2" t="s">
        <v>3</v>
      </c>
      <c r="BP81" s="2">
        <v>0</v>
      </c>
      <c r="BQ81" s="2">
        <v>2</v>
      </c>
      <c r="BR81" s="2">
        <v>0</v>
      </c>
      <c r="BS81" s="2">
        <v>1</v>
      </c>
      <c r="BT81" s="2">
        <v>1</v>
      </c>
      <c r="BU81" s="2">
        <v>1</v>
      </c>
      <c r="BV81" s="2">
        <v>1</v>
      </c>
      <c r="BW81" s="2">
        <v>1</v>
      </c>
      <c r="BX81" s="2">
        <v>1</v>
      </c>
      <c r="BY81" s="2" t="s">
        <v>3</v>
      </c>
      <c r="BZ81" s="2">
        <v>109</v>
      </c>
      <c r="CA81" s="2">
        <v>57</v>
      </c>
      <c r="CB81" s="2" t="s">
        <v>3</v>
      </c>
      <c r="CC81" s="2"/>
      <c r="CD81" s="2"/>
      <c r="CE81" s="2">
        <v>0</v>
      </c>
      <c r="CF81" s="2">
        <v>0</v>
      </c>
      <c r="CG81" s="2">
        <v>0</v>
      </c>
      <c r="CH81" s="2"/>
      <c r="CI81" s="2"/>
      <c r="CJ81" s="2"/>
      <c r="CK81" s="2"/>
      <c r="CL81" s="2"/>
      <c r="CM81" s="2">
        <v>0</v>
      </c>
      <c r="CN81" s="2" t="s">
        <v>363</v>
      </c>
      <c r="CO81" s="2">
        <v>0</v>
      </c>
      <c r="CP81" s="2">
        <f t="shared" si="80"/>
        <v>4190.47</v>
      </c>
      <c r="CQ81" s="2">
        <f t="shared" si="81"/>
        <v>182.33</v>
      </c>
      <c r="CR81" s="2">
        <f t="shared" si="82"/>
        <v>30.8</v>
      </c>
      <c r="CS81" s="2">
        <f t="shared" si="83"/>
        <v>4.69</v>
      </c>
      <c r="CT81" s="2">
        <f t="shared" si="84"/>
        <v>155.23</v>
      </c>
      <c r="CU81" s="2">
        <f t="shared" si="85"/>
        <v>0</v>
      </c>
      <c r="CV81" s="2">
        <f t="shared" si="86"/>
        <v>16.514</v>
      </c>
      <c r="CW81" s="2">
        <f t="shared" si="87"/>
        <v>0.3625</v>
      </c>
      <c r="CX81" s="2">
        <f t="shared" si="88"/>
        <v>0</v>
      </c>
      <c r="CY81" s="2">
        <f t="shared" si="89"/>
        <v>1784.6842499999998</v>
      </c>
      <c r="CZ81" s="2">
        <f t="shared" si="90"/>
        <v>881.4266250000001</v>
      </c>
      <c r="DA81" s="2"/>
      <c r="DB81" s="2"/>
      <c r="DC81" s="2" t="s">
        <v>3</v>
      </c>
      <c r="DD81" s="2" t="s">
        <v>3</v>
      </c>
      <c r="DE81" s="2" t="s">
        <v>111</v>
      </c>
      <c r="DF81" s="2" t="s">
        <v>111</v>
      </c>
      <c r="DG81" s="2" t="s">
        <v>112</v>
      </c>
      <c r="DH81" s="2" t="s">
        <v>3</v>
      </c>
      <c r="DI81" s="2" t="s">
        <v>112</v>
      </c>
      <c r="DJ81" s="2" t="s">
        <v>111</v>
      </c>
      <c r="DK81" s="2" t="s">
        <v>3</v>
      </c>
      <c r="DL81" s="2" t="s">
        <v>113</v>
      </c>
      <c r="DM81" s="2" t="s">
        <v>114</v>
      </c>
      <c r="DN81" s="2">
        <v>0</v>
      </c>
      <c r="DO81" s="2">
        <v>0</v>
      </c>
      <c r="DP81" s="2">
        <v>1</v>
      </c>
      <c r="DQ81" s="2">
        <v>1</v>
      </c>
      <c r="DR81" s="2"/>
      <c r="DS81" s="2"/>
      <c r="DT81" s="2"/>
      <c r="DU81" s="2">
        <v>1005</v>
      </c>
      <c r="DV81" s="2" t="s">
        <v>23</v>
      </c>
      <c r="DW81" s="2" t="s">
        <v>23</v>
      </c>
      <c r="DX81" s="2">
        <v>100</v>
      </c>
      <c r="DY81" s="2"/>
      <c r="DZ81" s="2" t="s">
        <v>3</v>
      </c>
      <c r="EA81" s="2" t="s">
        <v>3</v>
      </c>
      <c r="EB81" s="2" t="s">
        <v>3</v>
      </c>
      <c r="EC81" s="2" t="s">
        <v>3</v>
      </c>
      <c r="ED81" s="2"/>
      <c r="EE81" s="2">
        <v>55402612</v>
      </c>
      <c r="EF81" s="2">
        <v>2</v>
      </c>
      <c r="EG81" s="2" t="s">
        <v>25</v>
      </c>
      <c r="EH81" s="2">
        <v>12</v>
      </c>
      <c r="EI81" s="2" t="s">
        <v>115</v>
      </c>
      <c r="EJ81" s="2">
        <v>1</v>
      </c>
      <c r="EK81" s="2">
        <v>12001</v>
      </c>
      <c r="EL81" s="2" t="s">
        <v>115</v>
      </c>
      <c r="EM81" s="2" t="s">
        <v>116</v>
      </c>
      <c r="EN81" s="2"/>
      <c r="EO81" s="2" t="s">
        <v>117</v>
      </c>
      <c r="EP81" s="2"/>
      <c r="EQ81" s="2">
        <v>0</v>
      </c>
      <c r="ER81" s="2">
        <v>341.95</v>
      </c>
      <c r="ES81" s="2">
        <v>182.33</v>
      </c>
      <c r="ET81" s="2">
        <v>24.64</v>
      </c>
      <c r="EU81" s="2">
        <v>3.75</v>
      </c>
      <c r="EV81" s="2">
        <v>134.98</v>
      </c>
      <c r="EW81" s="2">
        <v>14.36</v>
      </c>
      <c r="EX81" s="2">
        <v>0.29</v>
      </c>
      <c r="EY81" s="2">
        <v>0</v>
      </c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>
        <v>0</v>
      </c>
      <c r="FR81" s="2">
        <f t="shared" si="91"/>
        <v>0</v>
      </c>
      <c r="FS81" s="2">
        <v>0</v>
      </c>
      <c r="FT81" s="2"/>
      <c r="FU81" s="2"/>
      <c r="FV81" s="2"/>
      <c r="FW81" s="2"/>
      <c r="FX81" s="2">
        <v>98.1</v>
      </c>
      <c r="FY81" s="2">
        <v>48.45</v>
      </c>
      <c r="FZ81" s="2"/>
      <c r="GA81" s="2" t="s">
        <v>3</v>
      </c>
      <c r="GB81" s="2"/>
      <c r="GC81" s="2"/>
      <c r="GD81" s="2">
        <v>1</v>
      </c>
      <c r="GE81" s="2"/>
      <c r="GF81" s="2">
        <v>-541611451</v>
      </c>
      <c r="GG81" s="2">
        <v>2</v>
      </c>
      <c r="GH81" s="2">
        <v>1</v>
      </c>
      <c r="GI81" s="2">
        <v>-2</v>
      </c>
      <c r="GJ81" s="2">
        <v>0</v>
      </c>
      <c r="GK81" s="2">
        <v>0</v>
      </c>
      <c r="GL81" s="2">
        <f t="shared" si="92"/>
        <v>0</v>
      </c>
      <c r="GM81" s="2">
        <f t="shared" si="93"/>
        <v>6856.58</v>
      </c>
      <c r="GN81" s="2">
        <f t="shared" si="94"/>
        <v>6856.58</v>
      </c>
      <c r="GO81" s="2">
        <f t="shared" si="95"/>
        <v>0</v>
      </c>
      <c r="GP81" s="2">
        <f t="shared" si="96"/>
        <v>0</v>
      </c>
      <c r="GQ81" s="2"/>
      <c r="GR81" s="2">
        <v>0</v>
      </c>
      <c r="GS81" s="2">
        <v>0</v>
      </c>
      <c r="GT81" s="2">
        <v>0</v>
      </c>
      <c r="GU81" s="2" t="s">
        <v>3</v>
      </c>
      <c r="GV81" s="2">
        <f t="shared" si="97"/>
        <v>0</v>
      </c>
      <c r="GW81" s="2">
        <v>1</v>
      </c>
      <c r="GX81" s="2">
        <f t="shared" si="98"/>
        <v>0</v>
      </c>
      <c r="GY81" s="2"/>
      <c r="GZ81" s="2"/>
      <c r="HA81" s="2">
        <v>0</v>
      </c>
      <c r="HB81" s="2">
        <v>0</v>
      </c>
      <c r="HC81" s="2">
        <f t="shared" si="99"/>
        <v>0</v>
      </c>
      <c r="HD81" s="2"/>
      <c r="HE81" s="2" t="s">
        <v>3</v>
      </c>
      <c r="HF81" s="2" t="s">
        <v>3</v>
      </c>
      <c r="HG81" s="2"/>
      <c r="HH81" s="2"/>
      <c r="HI81" s="2">
        <f t="shared" si="100"/>
        <v>53.35</v>
      </c>
      <c r="HJ81" s="2">
        <f t="shared" si="101"/>
        <v>1765.9</v>
      </c>
      <c r="HK81" s="2">
        <f t="shared" si="102"/>
        <v>1784.68</v>
      </c>
      <c r="HL81" s="2">
        <f t="shared" si="103"/>
        <v>881.43</v>
      </c>
      <c r="HM81" s="2" t="s">
        <v>3</v>
      </c>
      <c r="HN81" s="2" t="s">
        <v>118</v>
      </c>
      <c r="HO81" s="2" t="s">
        <v>119</v>
      </c>
      <c r="HP81" s="2" t="s">
        <v>115</v>
      </c>
      <c r="HQ81" s="2" t="s">
        <v>115</v>
      </c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>
        <v>0</v>
      </c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45" ht="12.75">
      <c r="A82">
        <v>17</v>
      </c>
      <c r="B82">
        <v>1</v>
      </c>
      <c r="C82">
        <f>ROW(SmtRes!A66)</f>
        <v>66</v>
      </c>
      <c r="D82">
        <f>ROW(EtalonRes!A66)</f>
        <v>66</v>
      </c>
      <c r="E82" t="s">
        <v>137</v>
      </c>
      <c r="F82" t="s">
        <v>138</v>
      </c>
      <c r="G82" t="s">
        <v>139</v>
      </c>
      <c r="H82" t="s">
        <v>23</v>
      </c>
      <c r="I82">
        <f>ROUND(1137.6/100,7)</f>
        <v>11.376</v>
      </c>
      <c r="J82">
        <v>0</v>
      </c>
      <c r="K82">
        <f>ROUND(1137.6/100,7)</f>
        <v>11.376</v>
      </c>
      <c r="O82">
        <f t="shared" si="66"/>
        <v>4190.47</v>
      </c>
      <c r="P82">
        <f t="shared" si="67"/>
        <v>2074.19</v>
      </c>
      <c r="Q82">
        <f t="shared" si="68"/>
        <v>350.38</v>
      </c>
      <c r="R82">
        <f t="shared" si="69"/>
        <v>53.35</v>
      </c>
      <c r="S82">
        <f t="shared" si="70"/>
        <v>1765.9</v>
      </c>
      <c r="T82">
        <f t="shared" si="71"/>
        <v>0</v>
      </c>
      <c r="U82">
        <f t="shared" si="72"/>
        <v>187.863264</v>
      </c>
      <c r="V82">
        <f t="shared" si="73"/>
        <v>4.123799999999999</v>
      </c>
      <c r="W82">
        <f t="shared" si="74"/>
        <v>0</v>
      </c>
      <c r="X82">
        <f t="shared" si="75"/>
        <v>1784.68</v>
      </c>
      <c r="Y82">
        <f t="shared" si="76"/>
        <v>881.43</v>
      </c>
      <c r="AA82">
        <v>55457796</v>
      </c>
      <c r="AB82">
        <f t="shared" si="77"/>
        <v>368.36</v>
      </c>
      <c r="AC82">
        <f t="shared" si="104"/>
        <v>182.33</v>
      </c>
      <c r="AD82">
        <f>ROUND(((((ET82*ROUND(1.25,7)))-((EU82*ROUND(1.25,7))))+AE82),2)</f>
        <v>30.8</v>
      </c>
      <c r="AE82">
        <f>ROUND(((EU82*ROUND(1.25,7))),2)</f>
        <v>4.69</v>
      </c>
      <c r="AF82">
        <f>ROUND(((EV82*ROUND(1.15,7))),2)</f>
        <v>155.23</v>
      </c>
      <c r="AG82">
        <f t="shared" si="78"/>
        <v>0</v>
      </c>
      <c r="AH82">
        <f>((EW82*ROUND(1.15,7)))</f>
        <v>16.514</v>
      </c>
      <c r="AI82">
        <f>((EX82*ROUND(1.25,7)))</f>
        <v>0.3625</v>
      </c>
      <c r="AJ82">
        <f t="shared" si="79"/>
        <v>0</v>
      </c>
      <c r="AK82">
        <v>341.95</v>
      </c>
      <c r="AL82">
        <v>182.33</v>
      </c>
      <c r="AM82">
        <v>24.64</v>
      </c>
      <c r="AN82">
        <v>3.75</v>
      </c>
      <c r="AO82">
        <v>134.98</v>
      </c>
      <c r="AP82">
        <v>0</v>
      </c>
      <c r="AQ82">
        <v>14.36</v>
      </c>
      <c r="AR82">
        <v>0.29</v>
      </c>
      <c r="AS82">
        <v>0</v>
      </c>
      <c r="AT82">
        <v>98.1</v>
      </c>
      <c r="AU82">
        <v>48.45</v>
      </c>
      <c r="AV82">
        <v>1</v>
      </c>
      <c r="AW82">
        <v>1</v>
      </c>
      <c r="AZ82">
        <v>1</v>
      </c>
      <c r="BA82">
        <v>36.47</v>
      </c>
      <c r="BB82">
        <v>1</v>
      </c>
      <c r="BC82">
        <v>1</v>
      </c>
      <c r="BH82">
        <v>0</v>
      </c>
      <c r="BI82">
        <v>1</v>
      </c>
      <c r="BJ82" t="s">
        <v>140</v>
      </c>
      <c r="BM82">
        <v>12001</v>
      </c>
      <c r="BN82">
        <v>0</v>
      </c>
      <c r="BO82" t="s">
        <v>31</v>
      </c>
      <c r="BP82">
        <v>1</v>
      </c>
      <c r="BQ82">
        <v>2</v>
      </c>
      <c r="BR82">
        <v>0</v>
      </c>
      <c r="BS82">
        <v>36.47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109</v>
      </c>
      <c r="CA82">
        <v>57</v>
      </c>
      <c r="CE82">
        <v>0</v>
      </c>
      <c r="CF82">
        <v>0</v>
      </c>
      <c r="CG82">
        <v>0</v>
      </c>
      <c r="CM82">
        <v>0</v>
      </c>
      <c r="CN82" t="s">
        <v>363</v>
      </c>
      <c r="CO82">
        <v>0</v>
      </c>
      <c r="CP82">
        <f t="shared" si="80"/>
        <v>4190.47</v>
      </c>
      <c r="CQ82">
        <f t="shared" si="81"/>
        <v>182.33</v>
      </c>
      <c r="CR82">
        <f t="shared" si="82"/>
        <v>30.8</v>
      </c>
      <c r="CS82">
        <f t="shared" si="83"/>
        <v>4.69</v>
      </c>
      <c r="CT82">
        <f t="shared" si="84"/>
        <v>155.23</v>
      </c>
      <c r="CU82">
        <f t="shared" si="85"/>
        <v>0</v>
      </c>
      <c r="CV82">
        <f t="shared" si="86"/>
        <v>16.514</v>
      </c>
      <c r="CW82">
        <f t="shared" si="87"/>
        <v>0.3625</v>
      </c>
      <c r="CX82">
        <f t="shared" si="88"/>
        <v>0</v>
      </c>
      <c r="CY82">
        <f t="shared" si="89"/>
        <v>1784.6842499999998</v>
      </c>
      <c r="CZ82">
        <f t="shared" si="90"/>
        <v>881.4266250000001</v>
      </c>
      <c r="DE82" t="s">
        <v>111</v>
      </c>
      <c r="DF82" t="s">
        <v>111</v>
      </c>
      <c r="DG82" t="s">
        <v>112</v>
      </c>
      <c r="DI82" t="s">
        <v>112</v>
      </c>
      <c r="DJ82" t="s">
        <v>111</v>
      </c>
      <c r="DL82" t="s">
        <v>113</v>
      </c>
      <c r="DM82" t="s">
        <v>114</v>
      </c>
      <c r="DN82">
        <v>0</v>
      </c>
      <c r="DO82">
        <v>0</v>
      </c>
      <c r="DP82">
        <v>1</v>
      </c>
      <c r="DQ82">
        <v>1</v>
      </c>
      <c r="DU82">
        <v>1005</v>
      </c>
      <c r="DV82" t="s">
        <v>23</v>
      </c>
      <c r="DW82" t="s">
        <v>23</v>
      </c>
      <c r="DX82">
        <v>100</v>
      </c>
      <c r="EE82">
        <v>55402612</v>
      </c>
      <c r="EF82">
        <v>2</v>
      </c>
      <c r="EG82" t="s">
        <v>25</v>
      </c>
      <c r="EH82">
        <v>12</v>
      </c>
      <c r="EI82" t="s">
        <v>115</v>
      </c>
      <c r="EJ82">
        <v>1</v>
      </c>
      <c r="EK82">
        <v>12001</v>
      </c>
      <c r="EL82" t="s">
        <v>115</v>
      </c>
      <c r="EM82" t="s">
        <v>116</v>
      </c>
      <c r="EO82" t="s">
        <v>117</v>
      </c>
      <c r="EQ82">
        <v>0</v>
      </c>
      <c r="ER82">
        <v>341.95</v>
      </c>
      <c r="ES82">
        <v>182.33</v>
      </c>
      <c r="ET82">
        <v>24.64</v>
      </c>
      <c r="EU82">
        <v>3.75</v>
      </c>
      <c r="EV82">
        <v>134.98</v>
      </c>
      <c r="EW82">
        <v>14.36</v>
      </c>
      <c r="EX82">
        <v>0.29</v>
      </c>
      <c r="EY82">
        <v>0</v>
      </c>
      <c r="FQ82">
        <v>0</v>
      </c>
      <c r="FR82">
        <f t="shared" si="91"/>
        <v>0</v>
      </c>
      <c r="FS82">
        <v>0</v>
      </c>
      <c r="FX82">
        <v>98.1</v>
      </c>
      <c r="FY82">
        <v>48.45</v>
      </c>
      <c r="GD82">
        <v>1</v>
      </c>
      <c r="GF82">
        <v>-541611451</v>
      </c>
      <c r="GG82">
        <v>2</v>
      </c>
      <c r="GH82">
        <v>1</v>
      </c>
      <c r="GI82">
        <v>4</v>
      </c>
      <c r="GJ82">
        <v>0</v>
      </c>
      <c r="GK82">
        <v>0</v>
      </c>
      <c r="GL82">
        <f t="shared" si="92"/>
        <v>0</v>
      </c>
      <c r="GM82">
        <f t="shared" si="93"/>
        <v>6856.58</v>
      </c>
      <c r="GN82">
        <f t="shared" si="94"/>
        <v>6856.58</v>
      </c>
      <c r="GO82">
        <f t="shared" si="95"/>
        <v>0</v>
      </c>
      <c r="GP82">
        <f t="shared" si="96"/>
        <v>0</v>
      </c>
      <c r="GR82">
        <v>0</v>
      </c>
      <c r="GS82">
        <v>0</v>
      </c>
      <c r="GT82">
        <v>0</v>
      </c>
      <c r="GV82">
        <f t="shared" si="97"/>
        <v>0</v>
      </c>
      <c r="GW82">
        <v>1</v>
      </c>
      <c r="GX82">
        <f t="shared" si="98"/>
        <v>0</v>
      </c>
      <c r="HA82">
        <v>0</v>
      </c>
      <c r="HB82">
        <v>0</v>
      </c>
      <c r="HC82">
        <f t="shared" si="99"/>
        <v>0</v>
      </c>
      <c r="HI82">
        <f t="shared" si="100"/>
        <v>1945.67</v>
      </c>
      <c r="HJ82">
        <f t="shared" si="101"/>
        <v>64402.37</v>
      </c>
      <c r="HK82">
        <f t="shared" si="102"/>
        <v>65087.43</v>
      </c>
      <c r="HL82">
        <f t="shared" si="103"/>
        <v>32145.63</v>
      </c>
      <c r="HN82" t="s">
        <v>118</v>
      </c>
      <c r="HO82" t="s">
        <v>119</v>
      </c>
      <c r="HP82" t="s">
        <v>115</v>
      </c>
      <c r="HQ82" t="s">
        <v>115</v>
      </c>
      <c r="IK82">
        <v>0</v>
      </c>
    </row>
    <row r="83" spans="1:255" ht="12.75">
      <c r="A83" s="2">
        <v>18</v>
      </c>
      <c r="B83" s="2">
        <v>1</v>
      </c>
      <c r="C83" s="2">
        <v>57</v>
      </c>
      <c r="D83" s="2"/>
      <c r="E83" s="2" t="s">
        <v>141</v>
      </c>
      <c r="F83" s="2" t="s">
        <v>142</v>
      </c>
      <c r="G83" s="2" t="s">
        <v>143</v>
      </c>
      <c r="H83" s="2" t="s">
        <v>144</v>
      </c>
      <c r="I83" s="2">
        <f>I81*J83</f>
        <v>1296.864</v>
      </c>
      <c r="J83" s="2">
        <v>114.00000000000001</v>
      </c>
      <c r="K83" s="2">
        <v>114</v>
      </c>
      <c r="L83" s="2"/>
      <c r="M83" s="2"/>
      <c r="N83" s="2"/>
      <c r="O83" s="2">
        <f t="shared" si="66"/>
        <v>35962.04</v>
      </c>
      <c r="P83" s="2">
        <f t="shared" si="67"/>
        <v>35962.04</v>
      </c>
      <c r="Q83" s="2">
        <f t="shared" si="68"/>
        <v>0</v>
      </c>
      <c r="R83" s="2">
        <f t="shared" si="69"/>
        <v>0</v>
      </c>
      <c r="S83" s="2">
        <f t="shared" si="70"/>
        <v>0</v>
      </c>
      <c r="T83" s="2">
        <f t="shared" si="71"/>
        <v>0</v>
      </c>
      <c r="U83" s="2">
        <f t="shared" si="72"/>
        <v>0</v>
      </c>
      <c r="V83" s="2">
        <f t="shared" si="73"/>
        <v>0</v>
      </c>
      <c r="W83" s="2">
        <f t="shared" si="74"/>
        <v>0</v>
      </c>
      <c r="X83" s="2">
        <f t="shared" si="75"/>
        <v>0</v>
      </c>
      <c r="Y83" s="2">
        <f t="shared" si="76"/>
        <v>0</v>
      </c>
      <c r="Z83" s="2"/>
      <c r="AA83" s="2">
        <v>55457795</v>
      </c>
      <c r="AB83" s="2">
        <f t="shared" si="77"/>
        <v>27.73</v>
      </c>
      <c r="AC83" s="2">
        <f t="shared" si="104"/>
        <v>27.73</v>
      </c>
      <c r="AD83" s="2">
        <f>ROUND((((ET83)-(EU83))+AE83),2)</f>
        <v>0</v>
      </c>
      <c r="AE83" s="2">
        <f aca="true" t="shared" si="105" ref="AE83:AF86">ROUND((EU83),2)</f>
        <v>0</v>
      </c>
      <c r="AF83" s="2">
        <f t="shared" si="105"/>
        <v>0</v>
      </c>
      <c r="AG83" s="2">
        <f t="shared" si="78"/>
        <v>0</v>
      </c>
      <c r="AH83" s="2">
        <f aca="true" t="shared" si="106" ref="AH83:AI86">(EW83)</f>
        <v>0</v>
      </c>
      <c r="AI83" s="2">
        <f t="shared" si="106"/>
        <v>0</v>
      </c>
      <c r="AJ83" s="2">
        <f t="shared" si="79"/>
        <v>0</v>
      </c>
      <c r="AK83" s="2">
        <v>27.73</v>
      </c>
      <c r="AL83" s="2">
        <v>27.73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109</v>
      </c>
      <c r="AU83" s="2">
        <v>57</v>
      </c>
      <c r="AV83" s="2">
        <v>1</v>
      </c>
      <c r="AW83" s="2">
        <v>1</v>
      </c>
      <c r="AX83" s="2"/>
      <c r="AY83" s="2"/>
      <c r="AZ83" s="2">
        <v>1</v>
      </c>
      <c r="BA83" s="2">
        <v>1</v>
      </c>
      <c r="BB83" s="2">
        <v>1</v>
      </c>
      <c r="BC83" s="2">
        <v>1</v>
      </c>
      <c r="BD83" s="2" t="s">
        <v>3</v>
      </c>
      <c r="BE83" s="2" t="s">
        <v>3</v>
      </c>
      <c r="BF83" s="2" t="s">
        <v>3</v>
      </c>
      <c r="BG83" s="2" t="s">
        <v>3</v>
      </c>
      <c r="BH83" s="2">
        <v>3</v>
      </c>
      <c r="BI83" s="2">
        <v>1</v>
      </c>
      <c r="BJ83" s="2" t="s">
        <v>145</v>
      </c>
      <c r="BK83" s="2"/>
      <c r="BL83" s="2"/>
      <c r="BM83" s="2">
        <v>12001</v>
      </c>
      <c r="BN83" s="2">
        <v>0</v>
      </c>
      <c r="BO83" s="2" t="s">
        <v>3</v>
      </c>
      <c r="BP83" s="2">
        <v>0</v>
      </c>
      <c r="BQ83" s="2">
        <v>2</v>
      </c>
      <c r="BR83" s="2">
        <v>0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 t="s">
        <v>3</v>
      </c>
      <c r="BZ83" s="2">
        <v>109</v>
      </c>
      <c r="CA83" s="2">
        <v>57</v>
      </c>
      <c r="CB83" s="2" t="s">
        <v>3</v>
      </c>
      <c r="CC83" s="2"/>
      <c r="CD83" s="2"/>
      <c r="CE83" s="2">
        <v>0</v>
      </c>
      <c r="CF83" s="2">
        <v>0</v>
      </c>
      <c r="CG83" s="2">
        <v>0</v>
      </c>
      <c r="CH83" s="2"/>
      <c r="CI83" s="2"/>
      <c r="CJ83" s="2"/>
      <c r="CK83" s="2"/>
      <c r="CL83" s="2"/>
      <c r="CM83" s="2">
        <v>0</v>
      </c>
      <c r="CN83" s="2" t="s">
        <v>3</v>
      </c>
      <c r="CO83" s="2">
        <v>0</v>
      </c>
      <c r="CP83" s="2">
        <f t="shared" si="80"/>
        <v>35962.04</v>
      </c>
      <c r="CQ83" s="2">
        <f t="shared" si="81"/>
        <v>27.73</v>
      </c>
      <c r="CR83" s="2">
        <f t="shared" si="82"/>
        <v>0</v>
      </c>
      <c r="CS83" s="2">
        <f t="shared" si="83"/>
        <v>0</v>
      </c>
      <c r="CT83" s="2">
        <f t="shared" si="84"/>
        <v>0</v>
      </c>
      <c r="CU83" s="2">
        <f t="shared" si="85"/>
        <v>0</v>
      </c>
      <c r="CV83" s="2">
        <f t="shared" si="86"/>
        <v>0</v>
      </c>
      <c r="CW83" s="2">
        <f t="shared" si="87"/>
        <v>0</v>
      </c>
      <c r="CX83" s="2">
        <f t="shared" si="88"/>
        <v>0</v>
      </c>
      <c r="CY83" s="2">
        <f t="shared" si="89"/>
        <v>0</v>
      </c>
      <c r="CZ83" s="2">
        <f t="shared" si="90"/>
        <v>0</v>
      </c>
      <c r="DA83" s="2"/>
      <c r="DB83" s="2"/>
      <c r="DC83" s="2" t="s">
        <v>3</v>
      </c>
      <c r="DD83" s="2" t="s">
        <v>3</v>
      </c>
      <c r="DE83" s="2" t="s">
        <v>3</v>
      </c>
      <c r="DF83" s="2" t="s">
        <v>3</v>
      </c>
      <c r="DG83" s="2" t="s">
        <v>3</v>
      </c>
      <c r="DH83" s="2" t="s">
        <v>3</v>
      </c>
      <c r="DI83" s="2" t="s">
        <v>3</v>
      </c>
      <c r="DJ83" s="2" t="s">
        <v>3</v>
      </c>
      <c r="DK83" s="2" t="s">
        <v>3</v>
      </c>
      <c r="DL83" s="2" t="s">
        <v>3</v>
      </c>
      <c r="DM83" s="2" t="s">
        <v>3</v>
      </c>
      <c r="DN83" s="2">
        <v>0</v>
      </c>
      <c r="DO83" s="2">
        <v>0</v>
      </c>
      <c r="DP83" s="2">
        <v>1</v>
      </c>
      <c r="DQ83" s="2">
        <v>1</v>
      </c>
      <c r="DR83" s="2"/>
      <c r="DS83" s="2"/>
      <c r="DT83" s="2"/>
      <c r="DU83" s="2">
        <v>1005</v>
      </c>
      <c r="DV83" s="2" t="s">
        <v>144</v>
      </c>
      <c r="DW83" s="2" t="s">
        <v>144</v>
      </c>
      <c r="DX83" s="2">
        <v>1</v>
      </c>
      <c r="DY83" s="2"/>
      <c r="DZ83" s="2" t="s">
        <v>3</v>
      </c>
      <c r="EA83" s="2" t="s">
        <v>3</v>
      </c>
      <c r="EB83" s="2" t="s">
        <v>3</v>
      </c>
      <c r="EC83" s="2" t="s">
        <v>3</v>
      </c>
      <c r="ED83" s="2"/>
      <c r="EE83" s="2">
        <v>55402612</v>
      </c>
      <c r="EF83" s="2">
        <v>2</v>
      </c>
      <c r="EG83" s="2" t="s">
        <v>25</v>
      </c>
      <c r="EH83" s="2">
        <v>12</v>
      </c>
      <c r="EI83" s="2" t="s">
        <v>115</v>
      </c>
      <c r="EJ83" s="2">
        <v>1</v>
      </c>
      <c r="EK83" s="2">
        <v>12001</v>
      </c>
      <c r="EL83" s="2" t="s">
        <v>115</v>
      </c>
      <c r="EM83" s="2" t="s">
        <v>116</v>
      </c>
      <c r="EN83" s="2"/>
      <c r="EO83" s="2" t="s">
        <v>3</v>
      </c>
      <c r="EP83" s="2"/>
      <c r="EQ83" s="2">
        <v>0</v>
      </c>
      <c r="ER83" s="2">
        <v>27.73</v>
      </c>
      <c r="ES83" s="2">
        <v>27.73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0</v>
      </c>
      <c r="FR83" s="2">
        <f t="shared" si="91"/>
        <v>0</v>
      </c>
      <c r="FS83" s="2">
        <v>0</v>
      </c>
      <c r="FT83" s="2"/>
      <c r="FU83" s="2"/>
      <c r="FV83" s="2"/>
      <c r="FW83" s="2"/>
      <c r="FX83" s="2">
        <v>109</v>
      </c>
      <c r="FY83" s="2">
        <v>57</v>
      </c>
      <c r="FZ83" s="2"/>
      <c r="GA83" s="2" t="s">
        <v>3</v>
      </c>
      <c r="GB83" s="2"/>
      <c r="GC83" s="2"/>
      <c r="GD83" s="2">
        <v>1</v>
      </c>
      <c r="GE83" s="2"/>
      <c r="GF83" s="2">
        <v>1276428827</v>
      </c>
      <c r="GG83" s="2">
        <v>2</v>
      </c>
      <c r="GH83" s="2">
        <v>1</v>
      </c>
      <c r="GI83" s="2">
        <v>-2</v>
      </c>
      <c r="GJ83" s="2">
        <v>0</v>
      </c>
      <c r="GK83" s="2">
        <v>0</v>
      </c>
      <c r="GL83" s="2">
        <f t="shared" si="92"/>
        <v>0</v>
      </c>
      <c r="GM83" s="2">
        <f t="shared" si="93"/>
        <v>35962.04</v>
      </c>
      <c r="GN83" s="2">
        <f t="shared" si="94"/>
        <v>35962.04</v>
      </c>
      <c r="GO83" s="2">
        <f t="shared" si="95"/>
        <v>0</v>
      </c>
      <c r="GP83" s="2">
        <f t="shared" si="96"/>
        <v>0</v>
      </c>
      <c r="GQ83" s="2"/>
      <c r="GR83" s="2">
        <v>0</v>
      </c>
      <c r="GS83" s="2">
        <v>0</v>
      </c>
      <c r="GT83" s="2">
        <v>0</v>
      </c>
      <c r="GU83" s="2" t="s">
        <v>3</v>
      </c>
      <c r="GV83" s="2">
        <f t="shared" si="97"/>
        <v>0</v>
      </c>
      <c r="GW83" s="2">
        <v>1</v>
      </c>
      <c r="GX83" s="2">
        <f t="shared" si="98"/>
        <v>0</v>
      </c>
      <c r="GY83" s="2"/>
      <c r="GZ83" s="2"/>
      <c r="HA83" s="2">
        <v>0</v>
      </c>
      <c r="HB83" s="2">
        <v>0</v>
      </c>
      <c r="HC83" s="2">
        <f t="shared" si="99"/>
        <v>0</v>
      </c>
      <c r="HD83" s="2"/>
      <c r="HE83" s="2" t="s">
        <v>3</v>
      </c>
      <c r="HF83" s="2" t="s">
        <v>3</v>
      </c>
      <c r="HG83" s="2"/>
      <c r="HH83" s="2"/>
      <c r="HI83" s="2">
        <f t="shared" si="100"/>
        <v>0</v>
      </c>
      <c r="HJ83" s="2">
        <f t="shared" si="101"/>
        <v>0</v>
      </c>
      <c r="HK83" s="2">
        <f t="shared" si="102"/>
        <v>0</v>
      </c>
      <c r="HL83" s="2">
        <f t="shared" si="103"/>
        <v>0</v>
      </c>
      <c r="HM83" s="2" t="s">
        <v>3</v>
      </c>
      <c r="HN83" s="2" t="s">
        <v>118</v>
      </c>
      <c r="HO83" s="2" t="s">
        <v>119</v>
      </c>
      <c r="HP83" s="2" t="s">
        <v>115</v>
      </c>
      <c r="HQ83" s="2" t="s">
        <v>115</v>
      </c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45" ht="12.75">
      <c r="A84">
        <v>18</v>
      </c>
      <c r="B84">
        <v>1</v>
      </c>
      <c r="C84">
        <v>65</v>
      </c>
      <c r="E84" t="s">
        <v>141</v>
      </c>
      <c r="F84" t="s">
        <v>142</v>
      </c>
      <c r="G84" t="s">
        <v>143</v>
      </c>
      <c r="H84" t="s">
        <v>144</v>
      </c>
      <c r="I84">
        <f>I82*J84</f>
        <v>1296.864</v>
      </c>
      <c r="J84">
        <v>114.00000000000001</v>
      </c>
      <c r="K84">
        <v>114</v>
      </c>
      <c r="O84">
        <f t="shared" si="66"/>
        <v>35962.04</v>
      </c>
      <c r="P84">
        <f t="shared" si="67"/>
        <v>35962.04</v>
      </c>
      <c r="Q84">
        <f t="shared" si="68"/>
        <v>0</v>
      </c>
      <c r="R84">
        <f t="shared" si="69"/>
        <v>0</v>
      </c>
      <c r="S84">
        <f t="shared" si="70"/>
        <v>0</v>
      </c>
      <c r="T84">
        <f t="shared" si="71"/>
        <v>0</v>
      </c>
      <c r="U84">
        <f t="shared" si="72"/>
        <v>0</v>
      </c>
      <c r="V84">
        <f t="shared" si="73"/>
        <v>0</v>
      </c>
      <c r="W84">
        <f t="shared" si="74"/>
        <v>0</v>
      </c>
      <c r="X84">
        <f t="shared" si="75"/>
        <v>0</v>
      </c>
      <c r="Y84">
        <f t="shared" si="76"/>
        <v>0</v>
      </c>
      <c r="AA84">
        <v>55457796</v>
      </c>
      <c r="AB84">
        <f t="shared" si="77"/>
        <v>27.73</v>
      </c>
      <c r="AC84">
        <f t="shared" si="104"/>
        <v>27.73</v>
      </c>
      <c r="AD84">
        <f>ROUND((((ET84)-(EU84))+AE84),2)</f>
        <v>0</v>
      </c>
      <c r="AE84">
        <f t="shared" si="105"/>
        <v>0</v>
      </c>
      <c r="AF84">
        <f t="shared" si="105"/>
        <v>0</v>
      </c>
      <c r="AG84">
        <f t="shared" si="78"/>
        <v>0</v>
      </c>
      <c r="AH84">
        <f t="shared" si="106"/>
        <v>0</v>
      </c>
      <c r="AI84">
        <f t="shared" si="106"/>
        <v>0</v>
      </c>
      <c r="AJ84">
        <f t="shared" si="79"/>
        <v>0</v>
      </c>
      <c r="AK84">
        <v>27.73</v>
      </c>
      <c r="AL84">
        <v>27.73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109</v>
      </c>
      <c r="AU84">
        <v>57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1</v>
      </c>
      <c r="BJ84" t="s">
        <v>145</v>
      </c>
      <c r="BM84">
        <v>12001</v>
      </c>
      <c r="BN84">
        <v>0</v>
      </c>
      <c r="BO84" t="s">
        <v>31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109</v>
      </c>
      <c r="CA84">
        <v>57</v>
      </c>
      <c r="CE84">
        <v>0</v>
      </c>
      <c r="CF84">
        <v>0</v>
      </c>
      <c r="CG84">
        <v>0</v>
      </c>
      <c r="CM84">
        <v>0</v>
      </c>
      <c r="CO84">
        <v>0</v>
      </c>
      <c r="CP84">
        <f t="shared" si="80"/>
        <v>35962.04</v>
      </c>
      <c r="CQ84">
        <f t="shared" si="81"/>
        <v>27.73</v>
      </c>
      <c r="CR84">
        <f t="shared" si="82"/>
        <v>0</v>
      </c>
      <c r="CS84">
        <f t="shared" si="83"/>
        <v>0</v>
      </c>
      <c r="CT84">
        <f t="shared" si="84"/>
        <v>0</v>
      </c>
      <c r="CU84">
        <f t="shared" si="85"/>
        <v>0</v>
      </c>
      <c r="CV84">
        <f t="shared" si="86"/>
        <v>0</v>
      </c>
      <c r="CW84">
        <f t="shared" si="87"/>
        <v>0</v>
      </c>
      <c r="CX84">
        <f t="shared" si="88"/>
        <v>0</v>
      </c>
      <c r="CY84">
        <f t="shared" si="89"/>
        <v>0</v>
      </c>
      <c r="CZ84">
        <f t="shared" si="90"/>
        <v>0</v>
      </c>
      <c r="DN84">
        <v>0</v>
      </c>
      <c r="DO84">
        <v>0</v>
      </c>
      <c r="DP84">
        <v>1</v>
      </c>
      <c r="DQ84">
        <v>1</v>
      </c>
      <c r="DU84">
        <v>1005</v>
      </c>
      <c r="DV84" t="s">
        <v>144</v>
      </c>
      <c r="DW84" t="s">
        <v>144</v>
      </c>
      <c r="DX84">
        <v>1</v>
      </c>
      <c r="EE84">
        <v>55402612</v>
      </c>
      <c r="EF84">
        <v>2</v>
      </c>
      <c r="EG84" t="s">
        <v>25</v>
      </c>
      <c r="EH84">
        <v>12</v>
      </c>
      <c r="EI84" t="s">
        <v>115</v>
      </c>
      <c r="EJ84">
        <v>1</v>
      </c>
      <c r="EK84">
        <v>12001</v>
      </c>
      <c r="EL84" t="s">
        <v>115</v>
      </c>
      <c r="EM84" t="s">
        <v>116</v>
      </c>
      <c r="EQ84">
        <v>0</v>
      </c>
      <c r="ER84">
        <v>27.73</v>
      </c>
      <c r="ES84">
        <v>27.73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91"/>
        <v>0</v>
      </c>
      <c r="FS84">
        <v>0</v>
      </c>
      <c r="FX84">
        <v>109</v>
      </c>
      <c r="FY84">
        <v>57</v>
      </c>
      <c r="GD84">
        <v>1</v>
      </c>
      <c r="GF84">
        <v>1276428827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t="shared" si="92"/>
        <v>0</v>
      </c>
      <c r="GM84">
        <f t="shared" si="93"/>
        <v>35962.04</v>
      </c>
      <c r="GN84">
        <f t="shared" si="94"/>
        <v>35962.04</v>
      </c>
      <c r="GO84">
        <f t="shared" si="95"/>
        <v>0</v>
      </c>
      <c r="GP84">
        <f t="shared" si="96"/>
        <v>0</v>
      </c>
      <c r="GR84">
        <v>0</v>
      </c>
      <c r="GS84">
        <v>0</v>
      </c>
      <c r="GT84">
        <v>0</v>
      </c>
      <c r="GV84">
        <f t="shared" si="97"/>
        <v>0</v>
      </c>
      <c r="GW84">
        <v>1</v>
      </c>
      <c r="GX84">
        <f t="shared" si="98"/>
        <v>0</v>
      </c>
      <c r="HA84">
        <v>0</v>
      </c>
      <c r="HB84">
        <v>0</v>
      </c>
      <c r="HC84">
        <f t="shared" si="99"/>
        <v>0</v>
      </c>
      <c r="HI84">
        <f t="shared" si="100"/>
        <v>0</v>
      </c>
      <c r="HJ84">
        <f t="shared" si="101"/>
        <v>0</v>
      </c>
      <c r="HK84">
        <f t="shared" si="102"/>
        <v>0</v>
      </c>
      <c r="HL84">
        <f t="shared" si="103"/>
        <v>0</v>
      </c>
      <c r="HN84" t="s">
        <v>118</v>
      </c>
      <c r="HO84" t="s">
        <v>119</v>
      </c>
      <c r="HP84" t="s">
        <v>115</v>
      </c>
      <c r="HQ84" t="s">
        <v>115</v>
      </c>
      <c r="IK84">
        <v>0</v>
      </c>
    </row>
    <row r="85" spans="1:255" ht="12.75">
      <c r="A85" s="2">
        <v>18</v>
      </c>
      <c r="B85" s="2">
        <v>1</v>
      </c>
      <c r="C85" s="2">
        <v>58</v>
      </c>
      <c r="D85" s="2"/>
      <c r="E85" s="2" t="s">
        <v>146</v>
      </c>
      <c r="F85" s="2" t="s">
        <v>147</v>
      </c>
      <c r="G85" s="2" t="s">
        <v>148</v>
      </c>
      <c r="H85" s="2" t="s">
        <v>144</v>
      </c>
      <c r="I85" s="2">
        <f>I81*J85</f>
        <v>1319.616</v>
      </c>
      <c r="J85" s="2">
        <v>116</v>
      </c>
      <c r="K85" s="2">
        <v>116</v>
      </c>
      <c r="L85" s="2"/>
      <c r="M85" s="2"/>
      <c r="N85" s="2"/>
      <c r="O85" s="2">
        <f t="shared" si="66"/>
        <v>26062.42</v>
      </c>
      <c r="P85" s="2">
        <f t="shared" si="67"/>
        <v>26062.42</v>
      </c>
      <c r="Q85" s="2">
        <f t="shared" si="68"/>
        <v>0</v>
      </c>
      <c r="R85" s="2">
        <f t="shared" si="69"/>
        <v>0</v>
      </c>
      <c r="S85" s="2">
        <f t="shared" si="70"/>
        <v>0</v>
      </c>
      <c r="T85" s="2">
        <f t="shared" si="71"/>
        <v>0</v>
      </c>
      <c r="U85" s="2">
        <f t="shared" si="72"/>
        <v>0</v>
      </c>
      <c r="V85" s="2">
        <f t="shared" si="73"/>
        <v>0</v>
      </c>
      <c r="W85" s="2">
        <f t="shared" si="74"/>
        <v>0</v>
      </c>
      <c r="X85" s="2">
        <f t="shared" si="75"/>
        <v>0</v>
      </c>
      <c r="Y85" s="2">
        <f t="shared" si="76"/>
        <v>0</v>
      </c>
      <c r="Z85" s="2"/>
      <c r="AA85" s="2">
        <v>55457795</v>
      </c>
      <c r="AB85" s="2">
        <f t="shared" si="77"/>
        <v>19.75</v>
      </c>
      <c r="AC85" s="2">
        <f t="shared" si="104"/>
        <v>19.75</v>
      </c>
      <c r="AD85" s="2">
        <f>ROUND((((ET85)-(EU85))+AE85),2)</f>
        <v>0</v>
      </c>
      <c r="AE85" s="2">
        <f t="shared" si="105"/>
        <v>0</v>
      </c>
      <c r="AF85" s="2">
        <f t="shared" si="105"/>
        <v>0</v>
      </c>
      <c r="AG85" s="2">
        <f t="shared" si="78"/>
        <v>0</v>
      </c>
      <c r="AH85" s="2">
        <f t="shared" si="106"/>
        <v>0</v>
      </c>
      <c r="AI85" s="2">
        <f t="shared" si="106"/>
        <v>0</v>
      </c>
      <c r="AJ85" s="2">
        <f t="shared" si="79"/>
        <v>0</v>
      </c>
      <c r="AK85" s="2">
        <v>19.75</v>
      </c>
      <c r="AL85" s="2">
        <v>19.75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109</v>
      </c>
      <c r="AU85" s="2">
        <v>57</v>
      </c>
      <c r="AV85" s="2">
        <v>1</v>
      </c>
      <c r="AW85" s="2">
        <v>1</v>
      </c>
      <c r="AX85" s="2"/>
      <c r="AY85" s="2"/>
      <c r="AZ85" s="2">
        <v>1</v>
      </c>
      <c r="BA85" s="2">
        <v>1</v>
      </c>
      <c r="BB85" s="2">
        <v>1</v>
      </c>
      <c r="BC85" s="2">
        <v>1</v>
      </c>
      <c r="BD85" s="2" t="s">
        <v>3</v>
      </c>
      <c r="BE85" s="2" t="s">
        <v>3</v>
      </c>
      <c r="BF85" s="2" t="s">
        <v>3</v>
      </c>
      <c r="BG85" s="2" t="s">
        <v>3</v>
      </c>
      <c r="BH85" s="2">
        <v>3</v>
      </c>
      <c r="BI85" s="2">
        <v>1</v>
      </c>
      <c r="BJ85" s="2" t="s">
        <v>149</v>
      </c>
      <c r="BK85" s="2"/>
      <c r="BL85" s="2"/>
      <c r="BM85" s="2">
        <v>12001</v>
      </c>
      <c r="BN85" s="2">
        <v>0</v>
      </c>
      <c r="BO85" s="2" t="s">
        <v>3</v>
      </c>
      <c r="BP85" s="2">
        <v>0</v>
      </c>
      <c r="BQ85" s="2">
        <v>2</v>
      </c>
      <c r="BR85" s="2">
        <v>0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 t="s">
        <v>3</v>
      </c>
      <c r="BZ85" s="2">
        <v>109</v>
      </c>
      <c r="CA85" s="2">
        <v>57</v>
      </c>
      <c r="CB85" s="2" t="s">
        <v>3</v>
      </c>
      <c r="CC85" s="2"/>
      <c r="CD85" s="2"/>
      <c r="CE85" s="2">
        <v>0</v>
      </c>
      <c r="CF85" s="2">
        <v>0</v>
      </c>
      <c r="CG85" s="2">
        <v>0</v>
      </c>
      <c r="CH85" s="2"/>
      <c r="CI85" s="2"/>
      <c r="CJ85" s="2"/>
      <c r="CK85" s="2"/>
      <c r="CL85" s="2"/>
      <c r="CM85" s="2">
        <v>0</v>
      </c>
      <c r="CN85" s="2" t="s">
        <v>3</v>
      </c>
      <c r="CO85" s="2">
        <v>0</v>
      </c>
      <c r="CP85" s="2">
        <f t="shared" si="80"/>
        <v>26062.42</v>
      </c>
      <c r="CQ85" s="2">
        <f t="shared" si="81"/>
        <v>19.75</v>
      </c>
      <c r="CR85" s="2">
        <f t="shared" si="82"/>
        <v>0</v>
      </c>
      <c r="CS85" s="2">
        <f t="shared" si="83"/>
        <v>0</v>
      </c>
      <c r="CT85" s="2">
        <f t="shared" si="84"/>
        <v>0</v>
      </c>
      <c r="CU85" s="2">
        <f t="shared" si="85"/>
        <v>0</v>
      </c>
      <c r="CV85" s="2">
        <f t="shared" si="86"/>
        <v>0</v>
      </c>
      <c r="CW85" s="2">
        <f t="shared" si="87"/>
        <v>0</v>
      </c>
      <c r="CX85" s="2">
        <f t="shared" si="88"/>
        <v>0</v>
      </c>
      <c r="CY85" s="2">
        <f t="shared" si="89"/>
        <v>0</v>
      </c>
      <c r="CZ85" s="2">
        <f t="shared" si="90"/>
        <v>0</v>
      </c>
      <c r="DA85" s="2"/>
      <c r="DB85" s="2"/>
      <c r="DC85" s="2" t="s">
        <v>3</v>
      </c>
      <c r="DD85" s="2" t="s">
        <v>3</v>
      </c>
      <c r="DE85" s="2" t="s">
        <v>3</v>
      </c>
      <c r="DF85" s="2" t="s">
        <v>3</v>
      </c>
      <c r="DG85" s="2" t="s">
        <v>3</v>
      </c>
      <c r="DH85" s="2" t="s">
        <v>3</v>
      </c>
      <c r="DI85" s="2" t="s">
        <v>3</v>
      </c>
      <c r="DJ85" s="2" t="s">
        <v>3</v>
      </c>
      <c r="DK85" s="2" t="s">
        <v>3</v>
      </c>
      <c r="DL85" s="2" t="s">
        <v>3</v>
      </c>
      <c r="DM85" s="2" t="s">
        <v>3</v>
      </c>
      <c r="DN85" s="2">
        <v>0</v>
      </c>
      <c r="DO85" s="2">
        <v>0</v>
      </c>
      <c r="DP85" s="2">
        <v>1</v>
      </c>
      <c r="DQ85" s="2">
        <v>1</v>
      </c>
      <c r="DR85" s="2"/>
      <c r="DS85" s="2"/>
      <c r="DT85" s="2"/>
      <c r="DU85" s="2">
        <v>1005</v>
      </c>
      <c r="DV85" s="2" t="s">
        <v>144</v>
      </c>
      <c r="DW85" s="2" t="s">
        <v>144</v>
      </c>
      <c r="DX85" s="2">
        <v>1</v>
      </c>
      <c r="DY85" s="2"/>
      <c r="DZ85" s="2" t="s">
        <v>3</v>
      </c>
      <c r="EA85" s="2" t="s">
        <v>3</v>
      </c>
      <c r="EB85" s="2" t="s">
        <v>3</v>
      </c>
      <c r="EC85" s="2" t="s">
        <v>3</v>
      </c>
      <c r="ED85" s="2"/>
      <c r="EE85" s="2">
        <v>55402612</v>
      </c>
      <c r="EF85" s="2">
        <v>2</v>
      </c>
      <c r="EG85" s="2" t="s">
        <v>25</v>
      </c>
      <c r="EH85" s="2">
        <v>12</v>
      </c>
      <c r="EI85" s="2" t="s">
        <v>115</v>
      </c>
      <c r="EJ85" s="2">
        <v>1</v>
      </c>
      <c r="EK85" s="2">
        <v>12001</v>
      </c>
      <c r="EL85" s="2" t="s">
        <v>115</v>
      </c>
      <c r="EM85" s="2" t="s">
        <v>116</v>
      </c>
      <c r="EN85" s="2"/>
      <c r="EO85" s="2" t="s">
        <v>3</v>
      </c>
      <c r="EP85" s="2"/>
      <c r="EQ85" s="2">
        <v>0</v>
      </c>
      <c r="ER85" s="2">
        <v>19.75</v>
      </c>
      <c r="ES85" s="2">
        <v>19.75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>
        <v>0</v>
      </c>
      <c r="FR85" s="2">
        <f t="shared" si="91"/>
        <v>0</v>
      </c>
      <c r="FS85" s="2">
        <v>0</v>
      </c>
      <c r="FT85" s="2"/>
      <c r="FU85" s="2"/>
      <c r="FV85" s="2"/>
      <c r="FW85" s="2"/>
      <c r="FX85" s="2">
        <v>109</v>
      </c>
      <c r="FY85" s="2">
        <v>57</v>
      </c>
      <c r="FZ85" s="2"/>
      <c r="GA85" s="2" t="s">
        <v>3</v>
      </c>
      <c r="GB85" s="2"/>
      <c r="GC85" s="2"/>
      <c r="GD85" s="2">
        <v>1</v>
      </c>
      <c r="GE85" s="2"/>
      <c r="GF85" s="2">
        <v>-583407189</v>
      </c>
      <c r="GG85" s="2">
        <v>2</v>
      </c>
      <c r="GH85" s="2">
        <v>1</v>
      </c>
      <c r="GI85" s="2">
        <v>-2</v>
      </c>
      <c r="GJ85" s="2">
        <v>0</v>
      </c>
      <c r="GK85" s="2">
        <v>0</v>
      </c>
      <c r="GL85" s="2">
        <f t="shared" si="92"/>
        <v>0</v>
      </c>
      <c r="GM85" s="2">
        <f t="shared" si="93"/>
        <v>26062.42</v>
      </c>
      <c r="GN85" s="2">
        <f t="shared" si="94"/>
        <v>26062.42</v>
      </c>
      <c r="GO85" s="2">
        <f t="shared" si="95"/>
        <v>0</v>
      </c>
      <c r="GP85" s="2">
        <f t="shared" si="96"/>
        <v>0</v>
      </c>
      <c r="GQ85" s="2"/>
      <c r="GR85" s="2">
        <v>0</v>
      </c>
      <c r="GS85" s="2">
        <v>0</v>
      </c>
      <c r="GT85" s="2">
        <v>0</v>
      </c>
      <c r="GU85" s="2" t="s">
        <v>3</v>
      </c>
      <c r="GV85" s="2">
        <f t="shared" si="97"/>
        <v>0</v>
      </c>
      <c r="GW85" s="2">
        <v>1</v>
      </c>
      <c r="GX85" s="2">
        <f t="shared" si="98"/>
        <v>0</v>
      </c>
      <c r="GY85" s="2"/>
      <c r="GZ85" s="2"/>
      <c r="HA85" s="2">
        <v>0</v>
      </c>
      <c r="HB85" s="2">
        <v>0</v>
      </c>
      <c r="HC85" s="2">
        <f t="shared" si="99"/>
        <v>0</v>
      </c>
      <c r="HD85" s="2"/>
      <c r="HE85" s="2" t="s">
        <v>3</v>
      </c>
      <c r="HF85" s="2" t="s">
        <v>3</v>
      </c>
      <c r="HG85" s="2"/>
      <c r="HH85" s="2"/>
      <c r="HI85" s="2">
        <f t="shared" si="100"/>
        <v>0</v>
      </c>
      <c r="HJ85" s="2">
        <f t="shared" si="101"/>
        <v>0</v>
      </c>
      <c r="HK85" s="2">
        <f t="shared" si="102"/>
        <v>0</v>
      </c>
      <c r="HL85" s="2">
        <f t="shared" si="103"/>
        <v>0</v>
      </c>
      <c r="HM85" s="2" t="s">
        <v>3</v>
      </c>
      <c r="HN85" s="2" t="s">
        <v>118</v>
      </c>
      <c r="HO85" s="2" t="s">
        <v>119</v>
      </c>
      <c r="HP85" s="2" t="s">
        <v>115</v>
      </c>
      <c r="HQ85" s="2" t="s">
        <v>115</v>
      </c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>
        <v>0</v>
      </c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45" ht="12.75">
      <c r="A86">
        <v>18</v>
      </c>
      <c r="B86">
        <v>1</v>
      </c>
      <c r="C86">
        <v>66</v>
      </c>
      <c r="E86" t="s">
        <v>146</v>
      </c>
      <c r="F86" t="s">
        <v>147</v>
      </c>
      <c r="G86" t="s">
        <v>148</v>
      </c>
      <c r="H86" t="s">
        <v>144</v>
      </c>
      <c r="I86">
        <f>I82*J86</f>
        <v>1319.616</v>
      </c>
      <c r="J86">
        <v>116</v>
      </c>
      <c r="K86">
        <v>116</v>
      </c>
      <c r="O86">
        <f t="shared" si="66"/>
        <v>26062.42</v>
      </c>
      <c r="P86">
        <f t="shared" si="67"/>
        <v>26062.42</v>
      </c>
      <c r="Q86">
        <f t="shared" si="68"/>
        <v>0</v>
      </c>
      <c r="R86">
        <f t="shared" si="69"/>
        <v>0</v>
      </c>
      <c r="S86">
        <f t="shared" si="70"/>
        <v>0</v>
      </c>
      <c r="T86">
        <f t="shared" si="71"/>
        <v>0</v>
      </c>
      <c r="U86">
        <f t="shared" si="72"/>
        <v>0</v>
      </c>
      <c r="V86">
        <f t="shared" si="73"/>
        <v>0</v>
      </c>
      <c r="W86">
        <f t="shared" si="74"/>
        <v>0</v>
      </c>
      <c r="X86">
        <f t="shared" si="75"/>
        <v>0</v>
      </c>
      <c r="Y86">
        <f t="shared" si="76"/>
        <v>0</v>
      </c>
      <c r="AA86">
        <v>55457796</v>
      </c>
      <c r="AB86">
        <f t="shared" si="77"/>
        <v>19.75</v>
      </c>
      <c r="AC86">
        <f t="shared" si="104"/>
        <v>19.75</v>
      </c>
      <c r="AD86">
        <f>ROUND((((ET86)-(EU86))+AE86),2)</f>
        <v>0</v>
      </c>
      <c r="AE86">
        <f t="shared" si="105"/>
        <v>0</v>
      </c>
      <c r="AF86">
        <f t="shared" si="105"/>
        <v>0</v>
      </c>
      <c r="AG86">
        <f t="shared" si="78"/>
        <v>0</v>
      </c>
      <c r="AH86">
        <f t="shared" si="106"/>
        <v>0</v>
      </c>
      <c r="AI86">
        <f t="shared" si="106"/>
        <v>0</v>
      </c>
      <c r="AJ86">
        <f t="shared" si="79"/>
        <v>0</v>
      </c>
      <c r="AK86">
        <v>19.75</v>
      </c>
      <c r="AL86">
        <v>19.75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109</v>
      </c>
      <c r="AU86">
        <v>57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1</v>
      </c>
      <c r="BJ86" t="s">
        <v>149</v>
      </c>
      <c r="BM86">
        <v>12001</v>
      </c>
      <c r="BN86">
        <v>0</v>
      </c>
      <c r="BO86" t="s">
        <v>31</v>
      </c>
      <c r="BP86">
        <v>1</v>
      </c>
      <c r="BQ86">
        <v>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109</v>
      </c>
      <c r="CA86">
        <v>57</v>
      </c>
      <c r="CE86">
        <v>0</v>
      </c>
      <c r="CF86">
        <v>0</v>
      </c>
      <c r="CG86">
        <v>0</v>
      </c>
      <c r="CM86">
        <v>0</v>
      </c>
      <c r="CO86">
        <v>0</v>
      </c>
      <c r="CP86">
        <f t="shared" si="80"/>
        <v>26062.42</v>
      </c>
      <c r="CQ86">
        <f t="shared" si="81"/>
        <v>19.75</v>
      </c>
      <c r="CR86">
        <f t="shared" si="82"/>
        <v>0</v>
      </c>
      <c r="CS86">
        <f t="shared" si="83"/>
        <v>0</v>
      </c>
      <c r="CT86">
        <f t="shared" si="84"/>
        <v>0</v>
      </c>
      <c r="CU86">
        <f t="shared" si="85"/>
        <v>0</v>
      </c>
      <c r="CV86">
        <f t="shared" si="86"/>
        <v>0</v>
      </c>
      <c r="CW86">
        <f t="shared" si="87"/>
        <v>0</v>
      </c>
      <c r="CX86">
        <f t="shared" si="88"/>
        <v>0</v>
      </c>
      <c r="CY86">
        <f t="shared" si="89"/>
        <v>0</v>
      </c>
      <c r="CZ86">
        <f t="shared" si="90"/>
        <v>0</v>
      </c>
      <c r="DN86">
        <v>0</v>
      </c>
      <c r="DO86">
        <v>0</v>
      </c>
      <c r="DP86">
        <v>1</v>
      </c>
      <c r="DQ86">
        <v>1</v>
      </c>
      <c r="DU86">
        <v>1005</v>
      </c>
      <c r="DV86" t="s">
        <v>144</v>
      </c>
      <c r="DW86" t="s">
        <v>144</v>
      </c>
      <c r="DX86">
        <v>1</v>
      </c>
      <c r="EE86">
        <v>55402612</v>
      </c>
      <c r="EF86">
        <v>2</v>
      </c>
      <c r="EG86" t="s">
        <v>25</v>
      </c>
      <c r="EH86">
        <v>12</v>
      </c>
      <c r="EI86" t="s">
        <v>115</v>
      </c>
      <c r="EJ86">
        <v>1</v>
      </c>
      <c r="EK86">
        <v>12001</v>
      </c>
      <c r="EL86" t="s">
        <v>115</v>
      </c>
      <c r="EM86" t="s">
        <v>116</v>
      </c>
      <c r="EQ86">
        <v>0</v>
      </c>
      <c r="ER86">
        <v>19.75</v>
      </c>
      <c r="ES86">
        <v>19.75</v>
      </c>
      <c r="ET86">
        <v>0</v>
      </c>
      <c r="EU86">
        <v>0</v>
      </c>
      <c r="EV86">
        <v>0</v>
      </c>
      <c r="EW86">
        <v>0</v>
      </c>
      <c r="EX86">
        <v>0</v>
      </c>
      <c r="FQ86">
        <v>0</v>
      </c>
      <c r="FR86">
        <f t="shared" si="91"/>
        <v>0</v>
      </c>
      <c r="FS86">
        <v>0</v>
      </c>
      <c r="FX86">
        <v>109</v>
      </c>
      <c r="FY86">
        <v>57</v>
      </c>
      <c r="GD86">
        <v>1</v>
      </c>
      <c r="GF86">
        <v>-583407189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92"/>
        <v>0</v>
      </c>
      <c r="GM86">
        <f t="shared" si="93"/>
        <v>26062.42</v>
      </c>
      <c r="GN86">
        <f t="shared" si="94"/>
        <v>26062.42</v>
      </c>
      <c r="GO86">
        <f t="shared" si="95"/>
        <v>0</v>
      </c>
      <c r="GP86">
        <f t="shared" si="96"/>
        <v>0</v>
      </c>
      <c r="GR86">
        <v>0</v>
      </c>
      <c r="GS86">
        <v>0</v>
      </c>
      <c r="GT86">
        <v>0</v>
      </c>
      <c r="GV86">
        <f t="shared" si="97"/>
        <v>0</v>
      </c>
      <c r="GW86">
        <v>1</v>
      </c>
      <c r="GX86">
        <f t="shared" si="98"/>
        <v>0</v>
      </c>
      <c r="HA86">
        <v>0</v>
      </c>
      <c r="HB86">
        <v>0</v>
      </c>
      <c r="HC86">
        <f t="shared" si="99"/>
        <v>0</v>
      </c>
      <c r="HI86">
        <f t="shared" si="100"/>
        <v>0</v>
      </c>
      <c r="HJ86">
        <f t="shared" si="101"/>
        <v>0</v>
      </c>
      <c r="HK86">
        <f t="shared" si="102"/>
        <v>0</v>
      </c>
      <c r="HL86">
        <f t="shared" si="103"/>
        <v>0</v>
      </c>
      <c r="HN86" t="s">
        <v>118</v>
      </c>
      <c r="HO86" t="s">
        <v>119</v>
      </c>
      <c r="HP86" t="s">
        <v>115</v>
      </c>
      <c r="HQ86" t="s">
        <v>115</v>
      </c>
      <c r="IK86">
        <v>0</v>
      </c>
    </row>
    <row r="87" spans="1:255" ht="12.75">
      <c r="A87" s="2">
        <v>17</v>
      </c>
      <c r="B87" s="2">
        <v>1</v>
      </c>
      <c r="C87" s="2">
        <f>ROW(SmtRes!A74)</f>
        <v>74</v>
      </c>
      <c r="D87" s="2">
        <f>ROW(EtalonRes!A74)</f>
        <v>74</v>
      </c>
      <c r="E87" s="2" t="s">
        <v>150</v>
      </c>
      <c r="F87" s="2" t="s">
        <v>138</v>
      </c>
      <c r="G87" s="2" t="s">
        <v>151</v>
      </c>
      <c r="H87" s="2" t="s">
        <v>23</v>
      </c>
      <c r="I87" s="2">
        <f>ROUND(1/100,7)</f>
        <v>0.01</v>
      </c>
      <c r="J87" s="2">
        <v>0</v>
      </c>
      <c r="K87" s="2">
        <f>ROUND(1/100,7)</f>
        <v>0.01</v>
      </c>
      <c r="L87" s="2"/>
      <c r="M87" s="2"/>
      <c r="N87" s="2"/>
      <c r="O87" s="2">
        <f t="shared" si="66"/>
        <v>3.68</v>
      </c>
      <c r="P87" s="2">
        <f t="shared" si="67"/>
        <v>1.82</v>
      </c>
      <c r="Q87" s="2">
        <f t="shared" si="68"/>
        <v>0.31</v>
      </c>
      <c r="R87" s="2">
        <f t="shared" si="69"/>
        <v>0.05</v>
      </c>
      <c r="S87" s="2">
        <f t="shared" si="70"/>
        <v>1.55</v>
      </c>
      <c r="T87" s="2">
        <f t="shared" si="71"/>
        <v>0</v>
      </c>
      <c r="U87" s="2">
        <f t="shared" si="72"/>
        <v>0.16514</v>
      </c>
      <c r="V87" s="2">
        <f t="shared" si="73"/>
        <v>0.0036249999999999998</v>
      </c>
      <c r="W87" s="2">
        <f t="shared" si="74"/>
        <v>0</v>
      </c>
      <c r="X87" s="2">
        <f t="shared" si="75"/>
        <v>1.57</v>
      </c>
      <c r="Y87" s="2">
        <f t="shared" si="76"/>
        <v>0.78</v>
      </c>
      <c r="Z87" s="2"/>
      <c r="AA87" s="2">
        <v>55457795</v>
      </c>
      <c r="AB87" s="2">
        <f t="shared" si="77"/>
        <v>368.36</v>
      </c>
      <c r="AC87" s="2">
        <f t="shared" si="104"/>
        <v>182.33</v>
      </c>
      <c r="AD87" s="2">
        <f>ROUND(((((ET87*ROUND(1.25,7)))-((EU87*ROUND(1.25,7))))+AE87),2)</f>
        <v>30.8</v>
      </c>
      <c r="AE87" s="2">
        <f>ROUND(((EU87*ROUND(1.25,7))),2)</f>
        <v>4.69</v>
      </c>
      <c r="AF87" s="2">
        <f>ROUND(((EV87*ROUND(1.15,7))),2)</f>
        <v>155.23</v>
      </c>
      <c r="AG87" s="2">
        <f t="shared" si="78"/>
        <v>0</v>
      </c>
      <c r="AH87" s="2">
        <f>((EW87*ROUND(1.15,7)))</f>
        <v>16.514</v>
      </c>
      <c r="AI87" s="2">
        <f>((EX87*ROUND(1.25,7)))</f>
        <v>0.3625</v>
      </c>
      <c r="AJ87" s="2">
        <f t="shared" si="79"/>
        <v>0</v>
      </c>
      <c r="AK87" s="2">
        <v>341.95</v>
      </c>
      <c r="AL87" s="2">
        <v>182.33</v>
      </c>
      <c r="AM87" s="2">
        <v>24.64</v>
      </c>
      <c r="AN87" s="2">
        <v>3.75</v>
      </c>
      <c r="AO87" s="2">
        <v>134.98</v>
      </c>
      <c r="AP87" s="2">
        <v>0</v>
      </c>
      <c r="AQ87" s="2">
        <v>14.36</v>
      </c>
      <c r="AR87" s="2">
        <v>0.29</v>
      </c>
      <c r="AS87" s="2">
        <v>0</v>
      </c>
      <c r="AT87" s="2">
        <v>98.1</v>
      </c>
      <c r="AU87" s="2">
        <v>48.45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0</v>
      </c>
      <c r="BI87" s="2">
        <v>1</v>
      </c>
      <c r="BJ87" s="2" t="s">
        <v>140</v>
      </c>
      <c r="BK87" s="2"/>
      <c r="BL87" s="2"/>
      <c r="BM87" s="2">
        <v>12001</v>
      </c>
      <c r="BN87" s="2">
        <v>0</v>
      </c>
      <c r="BO87" s="2" t="s">
        <v>3</v>
      </c>
      <c r="BP87" s="2">
        <v>0</v>
      </c>
      <c r="BQ87" s="2">
        <v>2</v>
      </c>
      <c r="BR87" s="2">
        <v>0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109</v>
      </c>
      <c r="CA87" s="2">
        <v>57</v>
      </c>
      <c r="CB87" s="2" t="s">
        <v>3</v>
      </c>
      <c r="CC87" s="2"/>
      <c r="CD87" s="2"/>
      <c r="CE87" s="2">
        <v>0</v>
      </c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363</v>
      </c>
      <c r="CO87" s="2">
        <v>0</v>
      </c>
      <c r="CP87" s="2">
        <f t="shared" si="80"/>
        <v>3.6799999999999997</v>
      </c>
      <c r="CQ87" s="2">
        <f t="shared" si="81"/>
        <v>182.33</v>
      </c>
      <c r="CR87" s="2">
        <f t="shared" si="82"/>
        <v>30.8</v>
      </c>
      <c r="CS87" s="2">
        <f t="shared" si="83"/>
        <v>4.69</v>
      </c>
      <c r="CT87" s="2">
        <f t="shared" si="84"/>
        <v>155.23</v>
      </c>
      <c r="CU87" s="2">
        <f t="shared" si="85"/>
        <v>0</v>
      </c>
      <c r="CV87" s="2">
        <f t="shared" si="86"/>
        <v>16.514</v>
      </c>
      <c r="CW87" s="2">
        <f t="shared" si="87"/>
        <v>0.3625</v>
      </c>
      <c r="CX87" s="2">
        <f t="shared" si="88"/>
        <v>0</v>
      </c>
      <c r="CY87" s="2">
        <f t="shared" si="89"/>
        <v>1.5696</v>
      </c>
      <c r="CZ87" s="2">
        <f t="shared" si="90"/>
        <v>0.7752000000000001</v>
      </c>
      <c r="DA87" s="2"/>
      <c r="DB87" s="2"/>
      <c r="DC87" s="2" t="s">
        <v>3</v>
      </c>
      <c r="DD87" s="2" t="s">
        <v>3</v>
      </c>
      <c r="DE87" s="2" t="s">
        <v>111</v>
      </c>
      <c r="DF87" s="2" t="s">
        <v>111</v>
      </c>
      <c r="DG87" s="2" t="s">
        <v>112</v>
      </c>
      <c r="DH87" s="2" t="s">
        <v>3</v>
      </c>
      <c r="DI87" s="2" t="s">
        <v>112</v>
      </c>
      <c r="DJ87" s="2" t="s">
        <v>111</v>
      </c>
      <c r="DK87" s="2" t="s">
        <v>3</v>
      </c>
      <c r="DL87" s="2" t="s">
        <v>113</v>
      </c>
      <c r="DM87" s="2" t="s">
        <v>114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1005</v>
      </c>
      <c r="DV87" s="2" t="s">
        <v>23</v>
      </c>
      <c r="DW87" s="2" t="s">
        <v>23</v>
      </c>
      <c r="DX87" s="2">
        <v>100</v>
      </c>
      <c r="DY87" s="2"/>
      <c r="DZ87" s="2" t="s">
        <v>3</v>
      </c>
      <c r="EA87" s="2" t="s">
        <v>3</v>
      </c>
      <c r="EB87" s="2" t="s">
        <v>3</v>
      </c>
      <c r="EC87" s="2" t="s">
        <v>3</v>
      </c>
      <c r="ED87" s="2"/>
      <c r="EE87" s="2">
        <v>55402612</v>
      </c>
      <c r="EF87" s="2">
        <v>2</v>
      </c>
      <c r="EG87" s="2" t="s">
        <v>25</v>
      </c>
      <c r="EH87" s="2">
        <v>12</v>
      </c>
      <c r="EI87" s="2" t="s">
        <v>115</v>
      </c>
      <c r="EJ87" s="2">
        <v>1</v>
      </c>
      <c r="EK87" s="2">
        <v>12001</v>
      </c>
      <c r="EL87" s="2" t="s">
        <v>115</v>
      </c>
      <c r="EM87" s="2" t="s">
        <v>116</v>
      </c>
      <c r="EN87" s="2"/>
      <c r="EO87" s="2" t="s">
        <v>117</v>
      </c>
      <c r="EP87" s="2"/>
      <c r="EQ87" s="2">
        <v>0</v>
      </c>
      <c r="ER87" s="2">
        <v>341.95</v>
      </c>
      <c r="ES87" s="2">
        <v>182.33</v>
      </c>
      <c r="ET87" s="2">
        <v>24.64</v>
      </c>
      <c r="EU87" s="2">
        <v>3.75</v>
      </c>
      <c r="EV87" s="2">
        <v>134.98</v>
      </c>
      <c r="EW87" s="2">
        <v>14.36</v>
      </c>
      <c r="EX87" s="2">
        <v>0.29</v>
      </c>
      <c r="EY87" s="2">
        <v>0</v>
      </c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t="shared" si="91"/>
        <v>0</v>
      </c>
      <c r="FS87" s="2">
        <v>0</v>
      </c>
      <c r="FT87" s="2"/>
      <c r="FU87" s="2"/>
      <c r="FV87" s="2"/>
      <c r="FW87" s="2"/>
      <c r="FX87" s="2">
        <v>98.1</v>
      </c>
      <c r="FY87" s="2">
        <v>48.45</v>
      </c>
      <c r="FZ87" s="2"/>
      <c r="GA87" s="2" t="s">
        <v>3</v>
      </c>
      <c r="GB87" s="2"/>
      <c r="GC87" s="2"/>
      <c r="GD87" s="2">
        <v>1</v>
      </c>
      <c r="GE87" s="2"/>
      <c r="GF87" s="2">
        <v>814137388</v>
      </c>
      <c r="GG87" s="2">
        <v>2</v>
      </c>
      <c r="GH87" s="2">
        <v>1</v>
      </c>
      <c r="GI87" s="2">
        <v>-2</v>
      </c>
      <c r="GJ87" s="2">
        <v>0</v>
      </c>
      <c r="GK87" s="2">
        <v>0</v>
      </c>
      <c r="GL87" s="2">
        <f t="shared" si="92"/>
        <v>0</v>
      </c>
      <c r="GM87" s="2">
        <f t="shared" si="93"/>
        <v>6.03</v>
      </c>
      <c r="GN87" s="2">
        <f t="shared" si="94"/>
        <v>6.03</v>
      </c>
      <c r="GO87" s="2">
        <f t="shared" si="95"/>
        <v>0</v>
      </c>
      <c r="GP87" s="2">
        <f t="shared" si="96"/>
        <v>0</v>
      </c>
      <c r="GQ87" s="2"/>
      <c r="GR87" s="2">
        <v>0</v>
      </c>
      <c r="GS87" s="2">
        <v>0</v>
      </c>
      <c r="GT87" s="2">
        <v>0</v>
      </c>
      <c r="GU87" s="2" t="s">
        <v>3</v>
      </c>
      <c r="GV87" s="2">
        <f t="shared" si="97"/>
        <v>0</v>
      </c>
      <c r="GW87" s="2">
        <v>1</v>
      </c>
      <c r="GX87" s="2">
        <f t="shared" si="98"/>
        <v>0</v>
      </c>
      <c r="GY87" s="2"/>
      <c r="GZ87" s="2"/>
      <c r="HA87" s="2">
        <v>0</v>
      </c>
      <c r="HB87" s="2">
        <v>0</v>
      </c>
      <c r="HC87" s="2">
        <f t="shared" si="99"/>
        <v>0</v>
      </c>
      <c r="HD87" s="2"/>
      <c r="HE87" s="2" t="s">
        <v>3</v>
      </c>
      <c r="HF87" s="2" t="s">
        <v>3</v>
      </c>
      <c r="HG87" s="2"/>
      <c r="HH87" s="2"/>
      <c r="HI87" s="2">
        <f t="shared" si="100"/>
        <v>0.05</v>
      </c>
      <c r="HJ87" s="2">
        <f t="shared" si="101"/>
        <v>1.55</v>
      </c>
      <c r="HK87" s="2">
        <f t="shared" si="102"/>
        <v>1.57</v>
      </c>
      <c r="HL87" s="2">
        <f t="shared" si="103"/>
        <v>0.78</v>
      </c>
      <c r="HM87" s="2" t="s">
        <v>3</v>
      </c>
      <c r="HN87" s="2" t="s">
        <v>118</v>
      </c>
      <c r="HO87" s="2" t="s">
        <v>119</v>
      </c>
      <c r="HP87" s="2" t="s">
        <v>115</v>
      </c>
      <c r="HQ87" s="2" t="s">
        <v>115</v>
      </c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>
        <v>0</v>
      </c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45" ht="12.75">
      <c r="A88">
        <v>17</v>
      </c>
      <c r="B88">
        <v>1</v>
      </c>
      <c r="C88">
        <f>ROW(SmtRes!A82)</f>
        <v>82</v>
      </c>
      <c r="D88">
        <f>ROW(EtalonRes!A82)</f>
        <v>82</v>
      </c>
      <c r="E88" t="s">
        <v>150</v>
      </c>
      <c r="F88" t="s">
        <v>138</v>
      </c>
      <c r="G88" t="s">
        <v>151</v>
      </c>
      <c r="H88" t="s">
        <v>23</v>
      </c>
      <c r="I88">
        <f>ROUND(1/100,7)</f>
        <v>0.01</v>
      </c>
      <c r="J88">
        <v>0</v>
      </c>
      <c r="K88">
        <f>ROUND(1/100,7)</f>
        <v>0.01</v>
      </c>
      <c r="O88">
        <f t="shared" si="66"/>
        <v>3.68</v>
      </c>
      <c r="P88">
        <f t="shared" si="67"/>
        <v>1.82</v>
      </c>
      <c r="Q88">
        <f t="shared" si="68"/>
        <v>0.31</v>
      </c>
      <c r="R88">
        <f t="shared" si="69"/>
        <v>0.05</v>
      </c>
      <c r="S88">
        <f t="shared" si="70"/>
        <v>1.55</v>
      </c>
      <c r="T88">
        <f t="shared" si="71"/>
        <v>0</v>
      </c>
      <c r="U88">
        <f t="shared" si="72"/>
        <v>0.16514</v>
      </c>
      <c r="V88">
        <f t="shared" si="73"/>
        <v>0.0036249999999999998</v>
      </c>
      <c r="W88">
        <f t="shared" si="74"/>
        <v>0</v>
      </c>
      <c r="X88">
        <f t="shared" si="75"/>
        <v>1.57</v>
      </c>
      <c r="Y88">
        <f t="shared" si="76"/>
        <v>0.78</v>
      </c>
      <c r="AA88">
        <v>55457796</v>
      </c>
      <c r="AB88">
        <f t="shared" si="77"/>
        <v>368.36</v>
      </c>
      <c r="AC88">
        <f t="shared" si="104"/>
        <v>182.33</v>
      </c>
      <c r="AD88">
        <f>ROUND(((((ET88*ROUND(1.25,7)))-((EU88*ROUND(1.25,7))))+AE88),2)</f>
        <v>30.8</v>
      </c>
      <c r="AE88">
        <f>ROUND(((EU88*ROUND(1.25,7))),2)</f>
        <v>4.69</v>
      </c>
      <c r="AF88">
        <f>ROUND(((EV88*ROUND(1.15,7))),2)</f>
        <v>155.23</v>
      </c>
      <c r="AG88">
        <f t="shared" si="78"/>
        <v>0</v>
      </c>
      <c r="AH88">
        <f>((EW88*ROUND(1.15,7)))</f>
        <v>16.514</v>
      </c>
      <c r="AI88">
        <f>((EX88*ROUND(1.25,7)))</f>
        <v>0.3625</v>
      </c>
      <c r="AJ88">
        <f t="shared" si="79"/>
        <v>0</v>
      </c>
      <c r="AK88">
        <v>341.95</v>
      </c>
      <c r="AL88">
        <v>182.33</v>
      </c>
      <c r="AM88">
        <v>24.64</v>
      </c>
      <c r="AN88">
        <v>3.75</v>
      </c>
      <c r="AO88">
        <v>134.98</v>
      </c>
      <c r="AP88">
        <v>0</v>
      </c>
      <c r="AQ88">
        <v>14.36</v>
      </c>
      <c r="AR88">
        <v>0.29</v>
      </c>
      <c r="AS88">
        <v>0</v>
      </c>
      <c r="AT88">
        <v>98.1</v>
      </c>
      <c r="AU88">
        <v>48.45</v>
      </c>
      <c r="AV88">
        <v>1</v>
      </c>
      <c r="AW88">
        <v>1</v>
      </c>
      <c r="AZ88">
        <v>1</v>
      </c>
      <c r="BA88">
        <v>36.47</v>
      </c>
      <c r="BB88">
        <v>1</v>
      </c>
      <c r="BC88">
        <v>1</v>
      </c>
      <c r="BH88">
        <v>0</v>
      </c>
      <c r="BI88">
        <v>1</v>
      </c>
      <c r="BJ88" t="s">
        <v>140</v>
      </c>
      <c r="BM88">
        <v>12001</v>
      </c>
      <c r="BN88">
        <v>0</v>
      </c>
      <c r="BO88" t="s">
        <v>31</v>
      </c>
      <c r="BP88">
        <v>1</v>
      </c>
      <c r="BQ88">
        <v>2</v>
      </c>
      <c r="BR88">
        <v>0</v>
      </c>
      <c r="BS88">
        <v>36.47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109</v>
      </c>
      <c r="CA88">
        <v>57</v>
      </c>
      <c r="CE88">
        <v>0</v>
      </c>
      <c r="CF88">
        <v>0</v>
      </c>
      <c r="CG88">
        <v>0</v>
      </c>
      <c r="CM88">
        <v>0</v>
      </c>
      <c r="CN88" t="s">
        <v>363</v>
      </c>
      <c r="CO88">
        <v>0</v>
      </c>
      <c r="CP88">
        <f t="shared" si="80"/>
        <v>3.6799999999999997</v>
      </c>
      <c r="CQ88">
        <f t="shared" si="81"/>
        <v>182.33</v>
      </c>
      <c r="CR88">
        <f t="shared" si="82"/>
        <v>30.8</v>
      </c>
      <c r="CS88">
        <f t="shared" si="83"/>
        <v>4.69</v>
      </c>
      <c r="CT88">
        <f t="shared" si="84"/>
        <v>155.23</v>
      </c>
      <c r="CU88">
        <f t="shared" si="85"/>
        <v>0</v>
      </c>
      <c r="CV88">
        <f t="shared" si="86"/>
        <v>16.514</v>
      </c>
      <c r="CW88">
        <f t="shared" si="87"/>
        <v>0.3625</v>
      </c>
      <c r="CX88">
        <f t="shared" si="88"/>
        <v>0</v>
      </c>
      <c r="CY88">
        <f t="shared" si="89"/>
        <v>1.5696</v>
      </c>
      <c r="CZ88">
        <f t="shared" si="90"/>
        <v>0.7752000000000001</v>
      </c>
      <c r="DE88" t="s">
        <v>111</v>
      </c>
      <c r="DF88" t="s">
        <v>111</v>
      </c>
      <c r="DG88" t="s">
        <v>112</v>
      </c>
      <c r="DI88" t="s">
        <v>112</v>
      </c>
      <c r="DJ88" t="s">
        <v>111</v>
      </c>
      <c r="DL88" t="s">
        <v>113</v>
      </c>
      <c r="DM88" t="s">
        <v>114</v>
      </c>
      <c r="DN88">
        <v>0</v>
      </c>
      <c r="DO88">
        <v>0</v>
      </c>
      <c r="DP88">
        <v>1</v>
      </c>
      <c r="DQ88">
        <v>1</v>
      </c>
      <c r="DU88">
        <v>1005</v>
      </c>
      <c r="DV88" t="s">
        <v>23</v>
      </c>
      <c r="DW88" t="s">
        <v>23</v>
      </c>
      <c r="DX88">
        <v>100</v>
      </c>
      <c r="EE88">
        <v>55402612</v>
      </c>
      <c r="EF88">
        <v>2</v>
      </c>
      <c r="EG88" t="s">
        <v>25</v>
      </c>
      <c r="EH88">
        <v>12</v>
      </c>
      <c r="EI88" t="s">
        <v>115</v>
      </c>
      <c r="EJ88">
        <v>1</v>
      </c>
      <c r="EK88">
        <v>12001</v>
      </c>
      <c r="EL88" t="s">
        <v>115</v>
      </c>
      <c r="EM88" t="s">
        <v>116</v>
      </c>
      <c r="EO88" t="s">
        <v>117</v>
      </c>
      <c r="EQ88">
        <v>0</v>
      </c>
      <c r="ER88">
        <v>341.95</v>
      </c>
      <c r="ES88">
        <v>182.33</v>
      </c>
      <c r="ET88">
        <v>24.64</v>
      </c>
      <c r="EU88">
        <v>3.75</v>
      </c>
      <c r="EV88">
        <v>134.98</v>
      </c>
      <c r="EW88">
        <v>14.36</v>
      </c>
      <c r="EX88">
        <v>0.29</v>
      </c>
      <c r="EY88">
        <v>0</v>
      </c>
      <c r="FQ88">
        <v>0</v>
      </c>
      <c r="FR88">
        <f t="shared" si="91"/>
        <v>0</v>
      </c>
      <c r="FS88">
        <v>0</v>
      </c>
      <c r="FX88">
        <v>98.1</v>
      </c>
      <c r="FY88">
        <v>48.45</v>
      </c>
      <c r="GD88">
        <v>1</v>
      </c>
      <c r="GF88">
        <v>814137388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92"/>
        <v>0</v>
      </c>
      <c r="GM88">
        <f t="shared" si="93"/>
        <v>6.03</v>
      </c>
      <c r="GN88">
        <f t="shared" si="94"/>
        <v>6.03</v>
      </c>
      <c r="GO88">
        <f t="shared" si="95"/>
        <v>0</v>
      </c>
      <c r="GP88">
        <f t="shared" si="96"/>
        <v>0</v>
      </c>
      <c r="GR88">
        <v>0</v>
      </c>
      <c r="GS88">
        <v>0</v>
      </c>
      <c r="GT88">
        <v>0</v>
      </c>
      <c r="GV88">
        <f t="shared" si="97"/>
        <v>0</v>
      </c>
      <c r="GW88">
        <v>1</v>
      </c>
      <c r="GX88">
        <f t="shared" si="98"/>
        <v>0</v>
      </c>
      <c r="HA88">
        <v>0</v>
      </c>
      <c r="HB88">
        <v>0</v>
      </c>
      <c r="HC88">
        <f t="shared" si="99"/>
        <v>0</v>
      </c>
      <c r="HI88">
        <f t="shared" si="100"/>
        <v>1.82</v>
      </c>
      <c r="HJ88">
        <f t="shared" si="101"/>
        <v>56.53</v>
      </c>
      <c r="HK88">
        <f t="shared" si="102"/>
        <v>57.24</v>
      </c>
      <c r="HL88">
        <f t="shared" si="103"/>
        <v>28.27</v>
      </c>
      <c r="HN88" t="s">
        <v>118</v>
      </c>
      <c r="HO88" t="s">
        <v>119</v>
      </c>
      <c r="HP88" t="s">
        <v>115</v>
      </c>
      <c r="HQ88" t="s">
        <v>115</v>
      </c>
      <c r="IK88">
        <v>0</v>
      </c>
    </row>
    <row r="89" spans="1:255" ht="12.75">
      <c r="A89" s="2">
        <v>18</v>
      </c>
      <c r="B89" s="2">
        <v>1</v>
      </c>
      <c r="C89" s="2">
        <v>73</v>
      </c>
      <c r="D89" s="2"/>
      <c r="E89" s="2" t="s">
        <v>152</v>
      </c>
      <c r="F89" s="2" t="s">
        <v>142</v>
      </c>
      <c r="G89" s="2" t="s">
        <v>143</v>
      </c>
      <c r="H89" s="2" t="s">
        <v>144</v>
      </c>
      <c r="I89" s="2">
        <f>I87*J89</f>
        <v>1.14</v>
      </c>
      <c r="J89" s="2">
        <v>113.99999999999999</v>
      </c>
      <c r="K89" s="2">
        <v>114</v>
      </c>
      <c r="L89" s="2"/>
      <c r="M89" s="2"/>
      <c r="N89" s="2"/>
      <c r="O89" s="2">
        <f t="shared" si="66"/>
        <v>31.61</v>
      </c>
      <c r="P89" s="2">
        <f t="shared" si="67"/>
        <v>31.61</v>
      </c>
      <c r="Q89" s="2">
        <f t="shared" si="68"/>
        <v>0</v>
      </c>
      <c r="R89" s="2">
        <f t="shared" si="69"/>
        <v>0</v>
      </c>
      <c r="S89" s="2">
        <f t="shared" si="70"/>
        <v>0</v>
      </c>
      <c r="T89" s="2">
        <f t="shared" si="71"/>
        <v>0</v>
      </c>
      <c r="U89" s="2">
        <f t="shared" si="72"/>
        <v>0</v>
      </c>
      <c r="V89" s="2">
        <f t="shared" si="73"/>
        <v>0</v>
      </c>
      <c r="W89" s="2">
        <f t="shared" si="74"/>
        <v>0</v>
      </c>
      <c r="X89" s="2">
        <f t="shared" si="75"/>
        <v>0</v>
      </c>
      <c r="Y89" s="2">
        <f t="shared" si="76"/>
        <v>0</v>
      </c>
      <c r="Z89" s="2"/>
      <c r="AA89" s="2">
        <v>55457795</v>
      </c>
      <c r="AB89" s="2">
        <f t="shared" si="77"/>
        <v>27.73</v>
      </c>
      <c r="AC89" s="2">
        <f t="shared" si="104"/>
        <v>27.73</v>
      </c>
      <c r="AD89" s="2">
        <f>ROUND((((ET89)-(EU89))+AE89),2)</f>
        <v>0</v>
      </c>
      <c r="AE89" s="2">
        <f aca="true" t="shared" si="107" ref="AE89:AF92">ROUND((EU89),2)</f>
        <v>0</v>
      </c>
      <c r="AF89" s="2">
        <f t="shared" si="107"/>
        <v>0</v>
      </c>
      <c r="AG89" s="2">
        <f t="shared" si="78"/>
        <v>0</v>
      </c>
      <c r="AH89" s="2">
        <f aca="true" t="shared" si="108" ref="AH89:AI92">(EW89)</f>
        <v>0</v>
      </c>
      <c r="AI89" s="2">
        <f t="shared" si="108"/>
        <v>0</v>
      </c>
      <c r="AJ89" s="2">
        <f t="shared" si="79"/>
        <v>0</v>
      </c>
      <c r="AK89" s="2">
        <v>27.73</v>
      </c>
      <c r="AL89" s="2">
        <v>27.73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109</v>
      </c>
      <c r="AU89" s="2">
        <v>57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3</v>
      </c>
      <c r="BI89" s="2">
        <v>1</v>
      </c>
      <c r="BJ89" s="2" t="s">
        <v>145</v>
      </c>
      <c r="BK89" s="2"/>
      <c r="BL89" s="2"/>
      <c r="BM89" s="2">
        <v>12001</v>
      </c>
      <c r="BN89" s="2">
        <v>0</v>
      </c>
      <c r="BO89" s="2" t="s">
        <v>3</v>
      </c>
      <c r="BP89" s="2">
        <v>0</v>
      </c>
      <c r="BQ89" s="2">
        <v>2</v>
      </c>
      <c r="BR89" s="2">
        <v>0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109</v>
      </c>
      <c r="CA89" s="2">
        <v>57</v>
      </c>
      <c r="CB89" s="2" t="s">
        <v>3</v>
      </c>
      <c r="CC89" s="2"/>
      <c r="CD89" s="2"/>
      <c r="CE89" s="2">
        <v>0</v>
      </c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</v>
      </c>
      <c r="CO89" s="2">
        <v>0</v>
      </c>
      <c r="CP89" s="2">
        <f t="shared" si="80"/>
        <v>31.61</v>
      </c>
      <c r="CQ89" s="2">
        <f t="shared" si="81"/>
        <v>27.73</v>
      </c>
      <c r="CR89" s="2">
        <f t="shared" si="82"/>
        <v>0</v>
      </c>
      <c r="CS89" s="2">
        <f t="shared" si="83"/>
        <v>0</v>
      </c>
      <c r="CT89" s="2">
        <f t="shared" si="84"/>
        <v>0</v>
      </c>
      <c r="CU89" s="2">
        <f t="shared" si="85"/>
        <v>0</v>
      </c>
      <c r="CV89" s="2">
        <f t="shared" si="86"/>
        <v>0</v>
      </c>
      <c r="CW89" s="2">
        <f t="shared" si="87"/>
        <v>0</v>
      </c>
      <c r="CX89" s="2">
        <f t="shared" si="88"/>
        <v>0</v>
      </c>
      <c r="CY89" s="2">
        <f t="shared" si="89"/>
        <v>0</v>
      </c>
      <c r="CZ89" s="2">
        <f t="shared" si="90"/>
        <v>0</v>
      </c>
      <c r="DA89" s="2"/>
      <c r="DB89" s="2"/>
      <c r="DC89" s="2" t="s">
        <v>3</v>
      </c>
      <c r="DD89" s="2" t="s">
        <v>3</v>
      </c>
      <c r="DE89" s="2" t="s">
        <v>3</v>
      </c>
      <c r="DF89" s="2" t="s">
        <v>3</v>
      </c>
      <c r="DG89" s="2" t="s">
        <v>3</v>
      </c>
      <c r="DH89" s="2" t="s">
        <v>3</v>
      </c>
      <c r="DI89" s="2" t="s">
        <v>3</v>
      </c>
      <c r="DJ89" s="2" t="s">
        <v>3</v>
      </c>
      <c r="DK89" s="2" t="s">
        <v>3</v>
      </c>
      <c r="DL89" s="2" t="s">
        <v>3</v>
      </c>
      <c r="DM89" s="2" t="s">
        <v>3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1005</v>
      </c>
      <c r="DV89" s="2" t="s">
        <v>144</v>
      </c>
      <c r="DW89" s="2" t="s">
        <v>144</v>
      </c>
      <c r="DX89" s="2">
        <v>1</v>
      </c>
      <c r="DY89" s="2"/>
      <c r="DZ89" s="2" t="s">
        <v>3</v>
      </c>
      <c r="EA89" s="2" t="s">
        <v>3</v>
      </c>
      <c r="EB89" s="2" t="s">
        <v>3</v>
      </c>
      <c r="EC89" s="2" t="s">
        <v>3</v>
      </c>
      <c r="ED89" s="2"/>
      <c r="EE89" s="2">
        <v>55402612</v>
      </c>
      <c r="EF89" s="2">
        <v>2</v>
      </c>
      <c r="EG89" s="2" t="s">
        <v>25</v>
      </c>
      <c r="EH89" s="2">
        <v>12</v>
      </c>
      <c r="EI89" s="2" t="s">
        <v>115</v>
      </c>
      <c r="EJ89" s="2">
        <v>1</v>
      </c>
      <c r="EK89" s="2">
        <v>12001</v>
      </c>
      <c r="EL89" s="2" t="s">
        <v>115</v>
      </c>
      <c r="EM89" s="2" t="s">
        <v>116</v>
      </c>
      <c r="EN89" s="2"/>
      <c r="EO89" s="2" t="s">
        <v>3</v>
      </c>
      <c r="EP89" s="2"/>
      <c r="EQ89" s="2">
        <v>0</v>
      </c>
      <c r="ER89" s="2">
        <v>27.73</v>
      </c>
      <c r="ES89" s="2">
        <v>27.73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91"/>
        <v>0</v>
      </c>
      <c r="FS89" s="2">
        <v>0</v>
      </c>
      <c r="FT89" s="2"/>
      <c r="FU89" s="2"/>
      <c r="FV89" s="2"/>
      <c r="FW89" s="2"/>
      <c r="FX89" s="2">
        <v>109</v>
      </c>
      <c r="FY89" s="2">
        <v>57</v>
      </c>
      <c r="FZ89" s="2"/>
      <c r="GA89" s="2" t="s">
        <v>3</v>
      </c>
      <c r="GB89" s="2"/>
      <c r="GC89" s="2"/>
      <c r="GD89" s="2">
        <v>1</v>
      </c>
      <c r="GE89" s="2"/>
      <c r="GF89" s="2">
        <v>1276428827</v>
      </c>
      <c r="GG89" s="2">
        <v>2</v>
      </c>
      <c r="GH89" s="2">
        <v>1</v>
      </c>
      <c r="GI89" s="2">
        <v>-2</v>
      </c>
      <c r="GJ89" s="2">
        <v>0</v>
      </c>
      <c r="GK89" s="2">
        <v>0</v>
      </c>
      <c r="GL89" s="2">
        <f t="shared" si="92"/>
        <v>0</v>
      </c>
      <c r="GM89" s="2">
        <f t="shared" si="93"/>
        <v>31.61</v>
      </c>
      <c r="GN89" s="2">
        <f t="shared" si="94"/>
        <v>31.61</v>
      </c>
      <c r="GO89" s="2">
        <f t="shared" si="95"/>
        <v>0</v>
      </c>
      <c r="GP89" s="2">
        <f t="shared" si="96"/>
        <v>0</v>
      </c>
      <c r="GQ89" s="2"/>
      <c r="GR89" s="2">
        <v>0</v>
      </c>
      <c r="GS89" s="2">
        <v>0</v>
      </c>
      <c r="GT89" s="2">
        <v>0</v>
      </c>
      <c r="GU89" s="2" t="s">
        <v>3</v>
      </c>
      <c r="GV89" s="2">
        <f t="shared" si="97"/>
        <v>0</v>
      </c>
      <c r="GW89" s="2">
        <v>1</v>
      </c>
      <c r="GX89" s="2">
        <f t="shared" si="98"/>
        <v>0</v>
      </c>
      <c r="GY89" s="2"/>
      <c r="GZ89" s="2"/>
      <c r="HA89" s="2">
        <v>0</v>
      </c>
      <c r="HB89" s="2">
        <v>0</v>
      </c>
      <c r="HC89" s="2">
        <f t="shared" si="99"/>
        <v>0</v>
      </c>
      <c r="HD89" s="2"/>
      <c r="HE89" s="2" t="s">
        <v>3</v>
      </c>
      <c r="HF89" s="2" t="s">
        <v>3</v>
      </c>
      <c r="HG89" s="2"/>
      <c r="HH89" s="2"/>
      <c r="HI89" s="2">
        <f t="shared" si="100"/>
        <v>0</v>
      </c>
      <c r="HJ89" s="2">
        <f t="shared" si="101"/>
        <v>0</v>
      </c>
      <c r="HK89" s="2">
        <f t="shared" si="102"/>
        <v>0</v>
      </c>
      <c r="HL89" s="2">
        <f t="shared" si="103"/>
        <v>0</v>
      </c>
      <c r="HM89" s="2" t="s">
        <v>3</v>
      </c>
      <c r="HN89" s="2" t="s">
        <v>118</v>
      </c>
      <c r="HO89" s="2" t="s">
        <v>119</v>
      </c>
      <c r="HP89" s="2" t="s">
        <v>115</v>
      </c>
      <c r="HQ89" s="2" t="s">
        <v>115</v>
      </c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>
        <v>0</v>
      </c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45" ht="12.75">
      <c r="A90">
        <v>18</v>
      </c>
      <c r="B90">
        <v>1</v>
      </c>
      <c r="C90">
        <v>81</v>
      </c>
      <c r="E90" t="s">
        <v>152</v>
      </c>
      <c r="F90" t="s">
        <v>142</v>
      </c>
      <c r="G90" t="s">
        <v>143</v>
      </c>
      <c r="H90" t="s">
        <v>144</v>
      </c>
      <c r="I90">
        <f>I88*J90</f>
        <v>1.14</v>
      </c>
      <c r="J90">
        <v>113.99999999999999</v>
      </c>
      <c r="K90">
        <v>114</v>
      </c>
      <c r="O90">
        <f t="shared" si="66"/>
        <v>31.61</v>
      </c>
      <c r="P90">
        <f t="shared" si="67"/>
        <v>31.61</v>
      </c>
      <c r="Q90">
        <f t="shared" si="68"/>
        <v>0</v>
      </c>
      <c r="R90">
        <f t="shared" si="69"/>
        <v>0</v>
      </c>
      <c r="S90">
        <f t="shared" si="70"/>
        <v>0</v>
      </c>
      <c r="T90">
        <f t="shared" si="71"/>
        <v>0</v>
      </c>
      <c r="U90">
        <f t="shared" si="72"/>
        <v>0</v>
      </c>
      <c r="V90">
        <f t="shared" si="73"/>
        <v>0</v>
      </c>
      <c r="W90">
        <f t="shared" si="74"/>
        <v>0</v>
      </c>
      <c r="X90">
        <f t="shared" si="75"/>
        <v>0</v>
      </c>
      <c r="Y90">
        <f t="shared" si="76"/>
        <v>0</v>
      </c>
      <c r="AA90">
        <v>55457796</v>
      </c>
      <c r="AB90">
        <f t="shared" si="77"/>
        <v>27.73</v>
      </c>
      <c r="AC90">
        <f t="shared" si="104"/>
        <v>27.73</v>
      </c>
      <c r="AD90">
        <f>ROUND((((ET90)-(EU90))+AE90),2)</f>
        <v>0</v>
      </c>
      <c r="AE90">
        <f t="shared" si="107"/>
        <v>0</v>
      </c>
      <c r="AF90">
        <f t="shared" si="107"/>
        <v>0</v>
      </c>
      <c r="AG90">
        <f t="shared" si="78"/>
        <v>0</v>
      </c>
      <c r="AH90">
        <f t="shared" si="108"/>
        <v>0</v>
      </c>
      <c r="AI90">
        <f t="shared" si="108"/>
        <v>0</v>
      </c>
      <c r="AJ90">
        <f t="shared" si="79"/>
        <v>0</v>
      </c>
      <c r="AK90">
        <v>27.73</v>
      </c>
      <c r="AL90">
        <v>27.73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109</v>
      </c>
      <c r="AU90">
        <v>57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1</v>
      </c>
      <c r="BJ90" t="s">
        <v>145</v>
      </c>
      <c r="BM90">
        <v>12001</v>
      </c>
      <c r="BN90">
        <v>0</v>
      </c>
      <c r="BO90" t="s">
        <v>31</v>
      </c>
      <c r="BP90">
        <v>1</v>
      </c>
      <c r="BQ90">
        <v>2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109</v>
      </c>
      <c r="CA90">
        <v>57</v>
      </c>
      <c r="CE90">
        <v>0</v>
      </c>
      <c r="CF90">
        <v>0</v>
      </c>
      <c r="CG90">
        <v>0</v>
      </c>
      <c r="CM90">
        <v>0</v>
      </c>
      <c r="CO90">
        <v>0</v>
      </c>
      <c r="CP90">
        <f t="shared" si="80"/>
        <v>31.61</v>
      </c>
      <c r="CQ90">
        <f t="shared" si="81"/>
        <v>27.73</v>
      </c>
      <c r="CR90">
        <f t="shared" si="82"/>
        <v>0</v>
      </c>
      <c r="CS90">
        <f t="shared" si="83"/>
        <v>0</v>
      </c>
      <c r="CT90">
        <f t="shared" si="84"/>
        <v>0</v>
      </c>
      <c r="CU90">
        <f t="shared" si="85"/>
        <v>0</v>
      </c>
      <c r="CV90">
        <f t="shared" si="86"/>
        <v>0</v>
      </c>
      <c r="CW90">
        <f t="shared" si="87"/>
        <v>0</v>
      </c>
      <c r="CX90">
        <f t="shared" si="88"/>
        <v>0</v>
      </c>
      <c r="CY90">
        <f t="shared" si="89"/>
        <v>0</v>
      </c>
      <c r="CZ90">
        <f t="shared" si="90"/>
        <v>0</v>
      </c>
      <c r="DN90">
        <v>0</v>
      </c>
      <c r="DO90">
        <v>0</v>
      </c>
      <c r="DP90">
        <v>1</v>
      </c>
      <c r="DQ90">
        <v>1</v>
      </c>
      <c r="DU90">
        <v>1005</v>
      </c>
      <c r="DV90" t="s">
        <v>144</v>
      </c>
      <c r="DW90" t="s">
        <v>144</v>
      </c>
      <c r="DX90">
        <v>1</v>
      </c>
      <c r="EE90">
        <v>55402612</v>
      </c>
      <c r="EF90">
        <v>2</v>
      </c>
      <c r="EG90" t="s">
        <v>25</v>
      </c>
      <c r="EH90">
        <v>12</v>
      </c>
      <c r="EI90" t="s">
        <v>115</v>
      </c>
      <c r="EJ90">
        <v>1</v>
      </c>
      <c r="EK90">
        <v>12001</v>
      </c>
      <c r="EL90" t="s">
        <v>115</v>
      </c>
      <c r="EM90" t="s">
        <v>116</v>
      </c>
      <c r="EQ90">
        <v>0</v>
      </c>
      <c r="ER90">
        <v>27.73</v>
      </c>
      <c r="ES90">
        <v>27.73</v>
      </c>
      <c r="ET90">
        <v>0</v>
      </c>
      <c r="EU90">
        <v>0</v>
      </c>
      <c r="EV90">
        <v>0</v>
      </c>
      <c r="EW90">
        <v>0</v>
      </c>
      <c r="EX90">
        <v>0</v>
      </c>
      <c r="FQ90">
        <v>0</v>
      </c>
      <c r="FR90">
        <f t="shared" si="91"/>
        <v>0</v>
      </c>
      <c r="FS90">
        <v>0</v>
      </c>
      <c r="FX90">
        <v>109</v>
      </c>
      <c r="FY90">
        <v>57</v>
      </c>
      <c r="GD90">
        <v>1</v>
      </c>
      <c r="GF90">
        <v>1276428827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92"/>
        <v>0</v>
      </c>
      <c r="GM90">
        <f t="shared" si="93"/>
        <v>31.61</v>
      </c>
      <c r="GN90">
        <f t="shared" si="94"/>
        <v>31.61</v>
      </c>
      <c r="GO90">
        <f t="shared" si="95"/>
        <v>0</v>
      </c>
      <c r="GP90">
        <f t="shared" si="96"/>
        <v>0</v>
      </c>
      <c r="GR90">
        <v>0</v>
      </c>
      <c r="GS90">
        <v>0</v>
      </c>
      <c r="GT90">
        <v>0</v>
      </c>
      <c r="GV90">
        <f t="shared" si="97"/>
        <v>0</v>
      </c>
      <c r="GW90">
        <v>1</v>
      </c>
      <c r="GX90">
        <f t="shared" si="98"/>
        <v>0</v>
      </c>
      <c r="HA90">
        <v>0</v>
      </c>
      <c r="HB90">
        <v>0</v>
      </c>
      <c r="HC90">
        <f t="shared" si="99"/>
        <v>0</v>
      </c>
      <c r="HI90">
        <f t="shared" si="100"/>
        <v>0</v>
      </c>
      <c r="HJ90">
        <f t="shared" si="101"/>
        <v>0</v>
      </c>
      <c r="HK90">
        <f t="shared" si="102"/>
        <v>0</v>
      </c>
      <c r="HL90">
        <f t="shared" si="103"/>
        <v>0</v>
      </c>
      <c r="HN90" t="s">
        <v>118</v>
      </c>
      <c r="HO90" t="s">
        <v>119</v>
      </c>
      <c r="HP90" t="s">
        <v>115</v>
      </c>
      <c r="HQ90" t="s">
        <v>115</v>
      </c>
      <c r="IK90">
        <v>0</v>
      </c>
    </row>
    <row r="91" spans="1:255" ht="12.75">
      <c r="A91" s="2">
        <v>18</v>
      </c>
      <c r="B91" s="2">
        <v>1</v>
      </c>
      <c r="C91" s="2">
        <v>74</v>
      </c>
      <c r="D91" s="2"/>
      <c r="E91" s="2" t="s">
        <v>153</v>
      </c>
      <c r="F91" s="2" t="s">
        <v>147</v>
      </c>
      <c r="G91" s="2" t="s">
        <v>148</v>
      </c>
      <c r="H91" s="2" t="s">
        <v>144</v>
      </c>
      <c r="I91" s="2">
        <f>I87*J91</f>
        <v>1.16</v>
      </c>
      <c r="J91" s="2">
        <v>115.99999999999999</v>
      </c>
      <c r="K91" s="2">
        <v>116</v>
      </c>
      <c r="L91" s="2"/>
      <c r="M91" s="2"/>
      <c r="N91" s="2"/>
      <c r="O91" s="2">
        <f t="shared" si="66"/>
        <v>22.91</v>
      </c>
      <c r="P91" s="2">
        <f t="shared" si="67"/>
        <v>22.91</v>
      </c>
      <c r="Q91" s="2">
        <f t="shared" si="68"/>
        <v>0</v>
      </c>
      <c r="R91" s="2">
        <f t="shared" si="69"/>
        <v>0</v>
      </c>
      <c r="S91" s="2">
        <f t="shared" si="70"/>
        <v>0</v>
      </c>
      <c r="T91" s="2">
        <f t="shared" si="71"/>
        <v>0</v>
      </c>
      <c r="U91" s="2">
        <f t="shared" si="72"/>
        <v>0</v>
      </c>
      <c r="V91" s="2">
        <f t="shared" si="73"/>
        <v>0</v>
      </c>
      <c r="W91" s="2">
        <f t="shared" si="74"/>
        <v>0</v>
      </c>
      <c r="X91" s="2">
        <f t="shared" si="75"/>
        <v>0</v>
      </c>
      <c r="Y91" s="2">
        <f t="shared" si="76"/>
        <v>0</v>
      </c>
      <c r="Z91" s="2"/>
      <c r="AA91" s="2">
        <v>55457795</v>
      </c>
      <c r="AB91" s="2">
        <f t="shared" si="77"/>
        <v>19.75</v>
      </c>
      <c r="AC91" s="2">
        <f t="shared" si="104"/>
        <v>19.75</v>
      </c>
      <c r="AD91" s="2">
        <f>ROUND((((ET91)-(EU91))+AE91),2)</f>
        <v>0</v>
      </c>
      <c r="AE91" s="2">
        <f t="shared" si="107"/>
        <v>0</v>
      </c>
      <c r="AF91" s="2">
        <f t="shared" si="107"/>
        <v>0</v>
      </c>
      <c r="AG91" s="2">
        <f t="shared" si="78"/>
        <v>0</v>
      </c>
      <c r="AH91" s="2">
        <f t="shared" si="108"/>
        <v>0</v>
      </c>
      <c r="AI91" s="2">
        <f t="shared" si="108"/>
        <v>0</v>
      </c>
      <c r="AJ91" s="2">
        <f t="shared" si="79"/>
        <v>0</v>
      </c>
      <c r="AK91" s="2">
        <v>19.75</v>
      </c>
      <c r="AL91" s="2">
        <v>19.75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109</v>
      </c>
      <c r="AU91" s="2">
        <v>57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3</v>
      </c>
      <c r="BI91" s="2">
        <v>1</v>
      </c>
      <c r="BJ91" s="2" t="s">
        <v>149</v>
      </c>
      <c r="BK91" s="2"/>
      <c r="BL91" s="2"/>
      <c r="BM91" s="2">
        <v>12001</v>
      </c>
      <c r="BN91" s="2">
        <v>0</v>
      </c>
      <c r="BO91" s="2" t="s">
        <v>3</v>
      </c>
      <c r="BP91" s="2">
        <v>0</v>
      </c>
      <c r="BQ91" s="2">
        <v>2</v>
      </c>
      <c r="BR91" s="2">
        <v>0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109</v>
      </c>
      <c r="CA91" s="2">
        <v>57</v>
      </c>
      <c r="CB91" s="2" t="s">
        <v>3</v>
      </c>
      <c r="CC91" s="2"/>
      <c r="CD91" s="2"/>
      <c r="CE91" s="2">
        <v>0</v>
      </c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3</v>
      </c>
      <c r="CO91" s="2">
        <v>0</v>
      </c>
      <c r="CP91" s="2">
        <f t="shared" si="80"/>
        <v>22.91</v>
      </c>
      <c r="CQ91" s="2">
        <f t="shared" si="81"/>
        <v>19.75</v>
      </c>
      <c r="CR91" s="2">
        <f t="shared" si="82"/>
        <v>0</v>
      </c>
      <c r="CS91" s="2">
        <f t="shared" si="83"/>
        <v>0</v>
      </c>
      <c r="CT91" s="2">
        <f t="shared" si="84"/>
        <v>0</v>
      </c>
      <c r="CU91" s="2">
        <f t="shared" si="85"/>
        <v>0</v>
      </c>
      <c r="CV91" s="2">
        <f t="shared" si="86"/>
        <v>0</v>
      </c>
      <c r="CW91" s="2">
        <f t="shared" si="87"/>
        <v>0</v>
      </c>
      <c r="CX91" s="2">
        <f t="shared" si="88"/>
        <v>0</v>
      </c>
      <c r="CY91" s="2">
        <f t="shared" si="89"/>
        <v>0</v>
      </c>
      <c r="CZ91" s="2">
        <f t="shared" si="90"/>
        <v>0</v>
      </c>
      <c r="DA91" s="2"/>
      <c r="DB91" s="2"/>
      <c r="DC91" s="2" t="s">
        <v>3</v>
      </c>
      <c r="DD91" s="2" t="s">
        <v>3</v>
      </c>
      <c r="DE91" s="2" t="s">
        <v>3</v>
      </c>
      <c r="DF91" s="2" t="s">
        <v>3</v>
      </c>
      <c r="DG91" s="2" t="s">
        <v>3</v>
      </c>
      <c r="DH91" s="2" t="s">
        <v>3</v>
      </c>
      <c r="DI91" s="2" t="s">
        <v>3</v>
      </c>
      <c r="DJ91" s="2" t="s">
        <v>3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1005</v>
      </c>
      <c r="DV91" s="2" t="s">
        <v>144</v>
      </c>
      <c r="DW91" s="2" t="s">
        <v>144</v>
      </c>
      <c r="DX91" s="2">
        <v>1</v>
      </c>
      <c r="DY91" s="2"/>
      <c r="DZ91" s="2" t="s">
        <v>3</v>
      </c>
      <c r="EA91" s="2" t="s">
        <v>3</v>
      </c>
      <c r="EB91" s="2" t="s">
        <v>3</v>
      </c>
      <c r="EC91" s="2" t="s">
        <v>3</v>
      </c>
      <c r="ED91" s="2"/>
      <c r="EE91" s="2">
        <v>55402612</v>
      </c>
      <c r="EF91" s="2">
        <v>2</v>
      </c>
      <c r="EG91" s="2" t="s">
        <v>25</v>
      </c>
      <c r="EH91" s="2">
        <v>12</v>
      </c>
      <c r="EI91" s="2" t="s">
        <v>115</v>
      </c>
      <c r="EJ91" s="2">
        <v>1</v>
      </c>
      <c r="EK91" s="2">
        <v>12001</v>
      </c>
      <c r="EL91" s="2" t="s">
        <v>115</v>
      </c>
      <c r="EM91" s="2" t="s">
        <v>116</v>
      </c>
      <c r="EN91" s="2"/>
      <c r="EO91" s="2" t="s">
        <v>3</v>
      </c>
      <c r="EP91" s="2"/>
      <c r="EQ91" s="2">
        <v>0</v>
      </c>
      <c r="ER91" s="2">
        <v>19.75</v>
      </c>
      <c r="ES91" s="2">
        <v>19.75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91"/>
        <v>0</v>
      </c>
      <c r="FS91" s="2">
        <v>0</v>
      </c>
      <c r="FT91" s="2"/>
      <c r="FU91" s="2"/>
      <c r="FV91" s="2"/>
      <c r="FW91" s="2"/>
      <c r="FX91" s="2">
        <v>109</v>
      </c>
      <c r="FY91" s="2">
        <v>57</v>
      </c>
      <c r="FZ91" s="2"/>
      <c r="GA91" s="2" t="s">
        <v>3</v>
      </c>
      <c r="GB91" s="2"/>
      <c r="GC91" s="2"/>
      <c r="GD91" s="2">
        <v>1</v>
      </c>
      <c r="GE91" s="2"/>
      <c r="GF91" s="2">
        <v>-583407189</v>
      </c>
      <c r="GG91" s="2">
        <v>2</v>
      </c>
      <c r="GH91" s="2">
        <v>1</v>
      </c>
      <c r="GI91" s="2">
        <v>-2</v>
      </c>
      <c r="GJ91" s="2">
        <v>0</v>
      </c>
      <c r="GK91" s="2">
        <v>0</v>
      </c>
      <c r="GL91" s="2">
        <f t="shared" si="92"/>
        <v>0</v>
      </c>
      <c r="GM91" s="2">
        <f t="shared" si="93"/>
        <v>22.91</v>
      </c>
      <c r="GN91" s="2">
        <f t="shared" si="94"/>
        <v>22.91</v>
      </c>
      <c r="GO91" s="2">
        <f t="shared" si="95"/>
        <v>0</v>
      </c>
      <c r="GP91" s="2">
        <f t="shared" si="96"/>
        <v>0</v>
      </c>
      <c r="GQ91" s="2"/>
      <c r="GR91" s="2">
        <v>0</v>
      </c>
      <c r="GS91" s="2">
        <v>0</v>
      </c>
      <c r="GT91" s="2">
        <v>0</v>
      </c>
      <c r="GU91" s="2" t="s">
        <v>3</v>
      </c>
      <c r="GV91" s="2">
        <f t="shared" si="97"/>
        <v>0</v>
      </c>
      <c r="GW91" s="2">
        <v>1</v>
      </c>
      <c r="GX91" s="2">
        <f t="shared" si="98"/>
        <v>0</v>
      </c>
      <c r="GY91" s="2"/>
      <c r="GZ91" s="2"/>
      <c r="HA91" s="2">
        <v>0</v>
      </c>
      <c r="HB91" s="2">
        <v>0</v>
      </c>
      <c r="HC91" s="2">
        <f t="shared" si="99"/>
        <v>0</v>
      </c>
      <c r="HD91" s="2"/>
      <c r="HE91" s="2" t="s">
        <v>3</v>
      </c>
      <c r="HF91" s="2" t="s">
        <v>3</v>
      </c>
      <c r="HG91" s="2"/>
      <c r="HH91" s="2"/>
      <c r="HI91" s="2">
        <f t="shared" si="100"/>
        <v>0</v>
      </c>
      <c r="HJ91" s="2">
        <f t="shared" si="101"/>
        <v>0</v>
      </c>
      <c r="HK91" s="2">
        <f t="shared" si="102"/>
        <v>0</v>
      </c>
      <c r="HL91" s="2">
        <f t="shared" si="103"/>
        <v>0</v>
      </c>
      <c r="HM91" s="2" t="s">
        <v>3</v>
      </c>
      <c r="HN91" s="2" t="s">
        <v>118</v>
      </c>
      <c r="HO91" s="2" t="s">
        <v>119</v>
      </c>
      <c r="HP91" s="2" t="s">
        <v>115</v>
      </c>
      <c r="HQ91" s="2" t="s">
        <v>115</v>
      </c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>
        <v>0</v>
      </c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45" ht="12.75">
      <c r="A92">
        <v>18</v>
      </c>
      <c r="B92">
        <v>1</v>
      </c>
      <c r="C92">
        <v>82</v>
      </c>
      <c r="E92" t="s">
        <v>153</v>
      </c>
      <c r="F92" t="s">
        <v>147</v>
      </c>
      <c r="G92" t="s">
        <v>148</v>
      </c>
      <c r="H92" t="s">
        <v>144</v>
      </c>
      <c r="I92">
        <f>I88*J92</f>
        <v>1.16</v>
      </c>
      <c r="J92">
        <v>115.99999999999999</v>
      </c>
      <c r="K92">
        <v>116</v>
      </c>
      <c r="O92">
        <f t="shared" si="66"/>
        <v>22.91</v>
      </c>
      <c r="P92">
        <f t="shared" si="67"/>
        <v>22.91</v>
      </c>
      <c r="Q92">
        <f t="shared" si="68"/>
        <v>0</v>
      </c>
      <c r="R92">
        <f t="shared" si="69"/>
        <v>0</v>
      </c>
      <c r="S92">
        <f t="shared" si="70"/>
        <v>0</v>
      </c>
      <c r="T92">
        <f t="shared" si="71"/>
        <v>0</v>
      </c>
      <c r="U92">
        <f t="shared" si="72"/>
        <v>0</v>
      </c>
      <c r="V92">
        <f t="shared" si="73"/>
        <v>0</v>
      </c>
      <c r="W92">
        <f t="shared" si="74"/>
        <v>0</v>
      </c>
      <c r="X92">
        <f t="shared" si="75"/>
        <v>0</v>
      </c>
      <c r="Y92">
        <f t="shared" si="76"/>
        <v>0</v>
      </c>
      <c r="AA92">
        <v>55457796</v>
      </c>
      <c r="AB92">
        <f t="shared" si="77"/>
        <v>19.75</v>
      </c>
      <c r="AC92">
        <f t="shared" si="104"/>
        <v>19.75</v>
      </c>
      <c r="AD92">
        <f>ROUND((((ET92)-(EU92))+AE92),2)</f>
        <v>0</v>
      </c>
      <c r="AE92">
        <f t="shared" si="107"/>
        <v>0</v>
      </c>
      <c r="AF92">
        <f t="shared" si="107"/>
        <v>0</v>
      </c>
      <c r="AG92">
        <f t="shared" si="78"/>
        <v>0</v>
      </c>
      <c r="AH92">
        <f t="shared" si="108"/>
        <v>0</v>
      </c>
      <c r="AI92">
        <f t="shared" si="108"/>
        <v>0</v>
      </c>
      <c r="AJ92">
        <f t="shared" si="79"/>
        <v>0</v>
      </c>
      <c r="AK92">
        <v>19.75</v>
      </c>
      <c r="AL92">
        <v>19.75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109</v>
      </c>
      <c r="AU92">
        <v>57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1</v>
      </c>
      <c r="BJ92" t="s">
        <v>149</v>
      </c>
      <c r="BM92">
        <v>12001</v>
      </c>
      <c r="BN92">
        <v>0</v>
      </c>
      <c r="BO92" t="s">
        <v>31</v>
      </c>
      <c r="BP92">
        <v>1</v>
      </c>
      <c r="BQ92">
        <v>2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109</v>
      </c>
      <c r="CA92">
        <v>57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80"/>
        <v>22.91</v>
      </c>
      <c r="CQ92">
        <f t="shared" si="81"/>
        <v>19.75</v>
      </c>
      <c r="CR92">
        <f t="shared" si="82"/>
        <v>0</v>
      </c>
      <c r="CS92">
        <f t="shared" si="83"/>
        <v>0</v>
      </c>
      <c r="CT92">
        <f t="shared" si="84"/>
        <v>0</v>
      </c>
      <c r="CU92">
        <f t="shared" si="85"/>
        <v>0</v>
      </c>
      <c r="CV92">
        <f t="shared" si="86"/>
        <v>0</v>
      </c>
      <c r="CW92">
        <f t="shared" si="87"/>
        <v>0</v>
      </c>
      <c r="CX92">
        <f t="shared" si="88"/>
        <v>0</v>
      </c>
      <c r="CY92">
        <f t="shared" si="89"/>
        <v>0</v>
      </c>
      <c r="CZ92">
        <f t="shared" si="90"/>
        <v>0</v>
      </c>
      <c r="DN92">
        <v>0</v>
      </c>
      <c r="DO92">
        <v>0</v>
      </c>
      <c r="DP92">
        <v>1</v>
      </c>
      <c r="DQ92">
        <v>1</v>
      </c>
      <c r="DU92">
        <v>1005</v>
      </c>
      <c r="DV92" t="s">
        <v>144</v>
      </c>
      <c r="DW92" t="s">
        <v>144</v>
      </c>
      <c r="DX92">
        <v>1</v>
      </c>
      <c r="EE92">
        <v>55402612</v>
      </c>
      <c r="EF92">
        <v>2</v>
      </c>
      <c r="EG92" t="s">
        <v>25</v>
      </c>
      <c r="EH92">
        <v>12</v>
      </c>
      <c r="EI92" t="s">
        <v>115</v>
      </c>
      <c r="EJ92">
        <v>1</v>
      </c>
      <c r="EK92">
        <v>12001</v>
      </c>
      <c r="EL92" t="s">
        <v>115</v>
      </c>
      <c r="EM92" t="s">
        <v>116</v>
      </c>
      <c r="EQ92">
        <v>0</v>
      </c>
      <c r="ER92">
        <v>19.75</v>
      </c>
      <c r="ES92">
        <v>19.75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91"/>
        <v>0</v>
      </c>
      <c r="FS92">
        <v>0</v>
      </c>
      <c r="FX92">
        <v>109</v>
      </c>
      <c r="FY92">
        <v>57</v>
      </c>
      <c r="GD92">
        <v>1</v>
      </c>
      <c r="GF92">
        <v>-583407189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92"/>
        <v>0</v>
      </c>
      <c r="GM92">
        <f t="shared" si="93"/>
        <v>22.91</v>
      </c>
      <c r="GN92">
        <f t="shared" si="94"/>
        <v>22.91</v>
      </c>
      <c r="GO92">
        <f t="shared" si="95"/>
        <v>0</v>
      </c>
      <c r="GP92">
        <f t="shared" si="96"/>
        <v>0</v>
      </c>
      <c r="GR92">
        <v>0</v>
      </c>
      <c r="GS92">
        <v>0</v>
      </c>
      <c r="GT92">
        <v>0</v>
      </c>
      <c r="GV92">
        <f t="shared" si="97"/>
        <v>0</v>
      </c>
      <c r="GW92">
        <v>1</v>
      </c>
      <c r="GX92">
        <f t="shared" si="98"/>
        <v>0</v>
      </c>
      <c r="HA92">
        <v>0</v>
      </c>
      <c r="HB92">
        <v>0</v>
      </c>
      <c r="HC92">
        <f t="shared" si="99"/>
        <v>0</v>
      </c>
      <c r="HI92">
        <f t="shared" si="100"/>
        <v>0</v>
      </c>
      <c r="HJ92">
        <f t="shared" si="101"/>
        <v>0</v>
      </c>
      <c r="HK92">
        <f t="shared" si="102"/>
        <v>0</v>
      </c>
      <c r="HL92">
        <f t="shared" si="103"/>
        <v>0</v>
      </c>
      <c r="HN92" t="s">
        <v>118</v>
      </c>
      <c r="HO92" t="s">
        <v>119</v>
      </c>
      <c r="HP92" t="s">
        <v>115</v>
      </c>
      <c r="HQ92" t="s">
        <v>115</v>
      </c>
      <c r="IK92">
        <v>0</v>
      </c>
    </row>
    <row r="93" spans="1:255" ht="12.75">
      <c r="A93" s="2">
        <v>17</v>
      </c>
      <c r="B93" s="2">
        <v>1</v>
      </c>
      <c r="C93" s="2">
        <f>ROW(SmtRes!A95)</f>
        <v>95</v>
      </c>
      <c r="D93" s="2">
        <f>ROW(EtalonRes!A95)</f>
        <v>95</v>
      </c>
      <c r="E93" s="2" t="s">
        <v>154</v>
      </c>
      <c r="F93" s="2" t="s">
        <v>155</v>
      </c>
      <c r="G93" s="2" t="s">
        <v>156</v>
      </c>
      <c r="H93" s="2" t="s">
        <v>157</v>
      </c>
      <c r="I93" s="2">
        <f>ROUND(170.4/100,7)</f>
        <v>1.704</v>
      </c>
      <c r="J93" s="2">
        <v>0</v>
      </c>
      <c r="K93" s="2">
        <f>ROUND(170.4/100,7)</f>
        <v>1.704</v>
      </c>
      <c r="L93" s="2"/>
      <c r="M93" s="2"/>
      <c r="N93" s="2"/>
      <c r="O93" s="2">
        <f t="shared" si="66"/>
        <v>6725.9</v>
      </c>
      <c r="P93" s="2">
        <f t="shared" si="67"/>
        <v>5627.37</v>
      </c>
      <c r="Q93" s="2">
        <f t="shared" si="68"/>
        <v>159.32</v>
      </c>
      <c r="R93" s="2">
        <f t="shared" si="69"/>
        <v>24.21</v>
      </c>
      <c r="S93" s="2">
        <f t="shared" si="70"/>
        <v>939.21</v>
      </c>
      <c r="T93" s="2">
        <f t="shared" si="71"/>
        <v>0</v>
      </c>
      <c r="U93" s="2">
        <f t="shared" si="72"/>
        <v>102.310716</v>
      </c>
      <c r="V93" s="2">
        <f t="shared" si="73"/>
        <v>1.8530999999999997</v>
      </c>
      <c r="W93" s="2">
        <f t="shared" si="74"/>
        <v>0</v>
      </c>
      <c r="X93" s="2">
        <f t="shared" si="75"/>
        <v>945.12</v>
      </c>
      <c r="Y93" s="2">
        <f t="shared" si="76"/>
        <v>466.78</v>
      </c>
      <c r="Z93" s="2"/>
      <c r="AA93" s="2">
        <v>55457795</v>
      </c>
      <c r="AB93" s="2">
        <f t="shared" si="77"/>
        <v>3947.13</v>
      </c>
      <c r="AC93" s="2">
        <f t="shared" si="104"/>
        <v>3302.45</v>
      </c>
      <c r="AD93" s="2">
        <f>ROUND(((((ET93*ROUND(1.25,7)))-((EU93*ROUND(1.25,7))))+AE93),2)</f>
        <v>93.5</v>
      </c>
      <c r="AE93" s="2">
        <f>ROUND(((EU93*ROUND(1.25,7))),2)</f>
        <v>14.21</v>
      </c>
      <c r="AF93" s="2">
        <f>ROUND(((EV93*ROUND(1.15,7))),2)</f>
        <v>551.18</v>
      </c>
      <c r="AG93" s="2">
        <f t="shared" si="78"/>
        <v>0</v>
      </c>
      <c r="AH93" s="2">
        <f>((EW93*ROUND(1.15,7)))</f>
        <v>60.0415</v>
      </c>
      <c r="AI93" s="2">
        <f>((EX93*ROUND(1.25,7)))</f>
        <v>1.0875</v>
      </c>
      <c r="AJ93" s="2">
        <f t="shared" si="79"/>
        <v>0</v>
      </c>
      <c r="AK93" s="2">
        <v>3856.54</v>
      </c>
      <c r="AL93" s="2">
        <v>3302.45</v>
      </c>
      <c r="AM93" s="2">
        <v>74.8</v>
      </c>
      <c r="AN93" s="2">
        <v>11.37</v>
      </c>
      <c r="AO93" s="2">
        <v>479.29</v>
      </c>
      <c r="AP93" s="2">
        <v>0</v>
      </c>
      <c r="AQ93" s="2">
        <v>52.21</v>
      </c>
      <c r="AR93" s="2">
        <v>0.87</v>
      </c>
      <c r="AS93" s="2">
        <v>0</v>
      </c>
      <c r="AT93" s="2">
        <v>98.1</v>
      </c>
      <c r="AU93" s="2">
        <v>48.45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0</v>
      </c>
      <c r="BI93" s="2">
        <v>1</v>
      </c>
      <c r="BJ93" s="2" t="s">
        <v>158</v>
      </c>
      <c r="BK93" s="2"/>
      <c r="BL93" s="2"/>
      <c r="BM93" s="2">
        <v>12001</v>
      </c>
      <c r="BN93" s="2">
        <v>0</v>
      </c>
      <c r="BO93" s="2" t="s">
        <v>3</v>
      </c>
      <c r="BP93" s="2">
        <v>0</v>
      </c>
      <c r="BQ93" s="2">
        <v>2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109</v>
      </c>
      <c r="CA93" s="2">
        <v>57</v>
      </c>
      <c r="CB93" s="2" t="s">
        <v>3</v>
      </c>
      <c r="CC93" s="2"/>
      <c r="CD93" s="2"/>
      <c r="CE93" s="2">
        <v>0</v>
      </c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363</v>
      </c>
      <c r="CO93" s="2">
        <v>0</v>
      </c>
      <c r="CP93" s="2">
        <f t="shared" si="80"/>
        <v>6725.9</v>
      </c>
      <c r="CQ93" s="2">
        <f t="shared" si="81"/>
        <v>3302.45</v>
      </c>
      <c r="CR93" s="2">
        <f t="shared" si="82"/>
        <v>93.5</v>
      </c>
      <c r="CS93" s="2">
        <f t="shared" si="83"/>
        <v>14.21</v>
      </c>
      <c r="CT93" s="2">
        <f t="shared" si="84"/>
        <v>551.18</v>
      </c>
      <c r="CU93" s="2">
        <f t="shared" si="85"/>
        <v>0</v>
      </c>
      <c r="CV93" s="2">
        <f t="shared" si="86"/>
        <v>60.0415</v>
      </c>
      <c r="CW93" s="2">
        <f t="shared" si="87"/>
        <v>1.0875</v>
      </c>
      <c r="CX93" s="2">
        <f t="shared" si="88"/>
        <v>0</v>
      </c>
      <c r="CY93" s="2">
        <f t="shared" si="89"/>
        <v>945.1150200000001</v>
      </c>
      <c r="CZ93" s="2">
        <f t="shared" si="90"/>
        <v>466.77699000000007</v>
      </c>
      <c r="DA93" s="2"/>
      <c r="DB93" s="2"/>
      <c r="DC93" s="2" t="s">
        <v>3</v>
      </c>
      <c r="DD93" s="2" t="s">
        <v>3</v>
      </c>
      <c r="DE93" s="2" t="s">
        <v>111</v>
      </c>
      <c r="DF93" s="2" t="s">
        <v>111</v>
      </c>
      <c r="DG93" s="2" t="s">
        <v>112</v>
      </c>
      <c r="DH93" s="2" t="s">
        <v>3</v>
      </c>
      <c r="DI93" s="2" t="s">
        <v>112</v>
      </c>
      <c r="DJ93" s="2" t="s">
        <v>111</v>
      </c>
      <c r="DK93" s="2" t="s">
        <v>3</v>
      </c>
      <c r="DL93" s="2" t="s">
        <v>113</v>
      </c>
      <c r="DM93" s="2" t="s">
        <v>114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1003</v>
      </c>
      <c r="DV93" s="2" t="s">
        <v>157</v>
      </c>
      <c r="DW93" s="2" t="s">
        <v>157</v>
      </c>
      <c r="DX93" s="2">
        <v>100</v>
      </c>
      <c r="DY93" s="2"/>
      <c r="DZ93" s="2" t="s">
        <v>3</v>
      </c>
      <c r="EA93" s="2" t="s">
        <v>3</v>
      </c>
      <c r="EB93" s="2" t="s">
        <v>3</v>
      </c>
      <c r="EC93" s="2" t="s">
        <v>3</v>
      </c>
      <c r="ED93" s="2"/>
      <c r="EE93" s="2">
        <v>55402612</v>
      </c>
      <c r="EF93" s="2">
        <v>2</v>
      </c>
      <c r="EG93" s="2" t="s">
        <v>25</v>
      </c>
      <c r="EH93" s="2">
        <v>12</v>
      </c>
      <c r="EI93" s="2" t="s">
        <v>115</v>
      </c>
      <c r="EJ93" s="2">
        <v>1</v>
      </c>
      <c r="EK93" s="2">
        <v>12001</v>
      </c>
      <c r="EL93" s="2" t="s">
        <v>115</v>
      </c>
      <c r="EM93" s="2" t="s">
        <v>116</v>
      </c>
      <c r="EN93" s="2"/>
      <c r="EO93" s="2" t="s">
        <v>117</v>
      </c>
      <c r="EP93" s="2"/>
      <c r="EQ93" s="2">
        <v>0</v>
      </c>
      <c r="ER93" s="2">
        <v>3856.54</v>
      </c>
      <c r="ES93" s="2">
        <v>3302.45</v>
      </c>
      <c r="ET93" s="2">
        <v>74.8</v>
      </c>
      <c r="EU93" s="2">
        <v>11.37</v>
      </c>
      <c r="EV93" s="2">
        <v>479.29</v>
      </c>
      <c r="EW93" s="2">
        <v>52.21</v>
      </c>
      <c r="EX93" s="2">
        <v>0.87</v>
      </c>
      <c r="EY93" s="2">
        <v>0</v>
      </c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91"/>
        <v>0</v>
      </c>
      <c r="FS93" s="2">
        <v>0</v>
      </c>
      <c r="FT93" s="2"/>
      <c r="FU93" s="2"/>
      <c r="FV93" s="2"/>
      <c r="FW93" s="2"/>
      <c r="FX93" s="2">
        <v>98.1</v>
      </c>
      <c r="FY93" s="2">
        <v>48.45</v>
      </c>
      <c r="FZ93" s="2"/>
      <c r="GA93" s="2" t="s">
        <v>3</v>
      </c>
      <c r="GB93" s="2"/>
      <c r="GC93" s="2"/>
      <c r="GD93" s="2">
        <v>1</v>
      </c>
      <c r="GE93" s="2"/>
      <c r="GF93" s="2">
        <v>970883390</v>
      </c>
      <c r="GG93" s="2">
        <v>2</v>
      </c>
      <c r="GH93" s="2">
        <v>1</v>
      </c>
      <c r="GI93" s="2">
        <v>-2</v>
      </c>
      <c r="GJ93" s="2">
        <v>0</v>
      </c>
      <c r="GK93" s="2">
        <v>0</v>
      </c>
      <c r="GL93" s="2">
        <f t="shared" si="92"/>
        <v>0</v>
      </c>
      <c r="GM93" s="2">
        <f t="shared" si="93"/>
        <v>8137.8</v>
      </c>
      <c r="GN93" s="2">
        <f t="shared" si="94"/>
        <v>8137.8</v>
      </c>
      <c r="GO93" s="2">
        <f t="shared" si="95"/>
        <v>0</v>
      </c>
      <c r="GP93" s="2">
        <f t="shared" si="96"/>
        <v>0</v>
      </c>
      <c r="GQ93" s="2"/>
      <c r="GR93" s="2">
        <v>0</v>
      </c>
      <c r="GS93" s="2">
        <v>3</v>
      </c>
      <c r="GT93" s="2">
        <v>0</v>
      </c>
      <c r="GU93" s="2" t="s">
        <v>3</v>
      </c>
      <c r="GV93" s="2">
        <f t="shared" si="97"/>
        <v>0</v>
      </c>
      <c r="GW93" s="2">
        <v>1</v>
      </c>
      <c r="GX93" s="2">
        <f t="shared" si="98"/>
        <v>0</v>
      </c>
      <c r="GY93" s="2"/>
      <c r="GZ93" s="2"/>
      <c r="HA93" s="2">
        <v>0</v>
      </c>
      <c r="HB93" s="2">
        <v>0</v>
      </c>
      <c r="HC93" s="2">
        <f t="shared" si="99"/>
        <v>0</v>
      </c>
      <c r="HD93" s="2"/>
      <c r="HE93" s="2" t="s">
        <v>3</v>
      </c>
      <c r="HF93" s="2" t="s">
        <v>3</v>
      </c>
      <c r="HG93" s="2"/>
      <c r="HH93" s="2"/>
      <c r="HI93" s="2">
        <f t="shared" si="100"/>
        <v>24.21</v>
      </c>
      <c r="HJ93" s="2">
        <f t="shared" si="101"/>
        <v>939.21</v>
      </c>
      <c r="HK93" s="2">
        <f t="shared" si="102"/>
        <v>945.12</v>
      </c>
      <c r="HL93" s="2">
        <f t="shared" si="103"/>
        <v>466.78</v>
      </c>
      <c r="HM93" s="2" t="s">
        <v>3</v>
      </c>
      <c r="HN93" s="2" t="s">
        <v>118</v>
      </c>
      <c r="HO93" s="2" t="s">
        <v>119</v>
      </c>
      <c r="HP93" s="2" t="s">
        <v>115</v>
      </c>
      <c r="HQ93" s="2" t="s">
        <v>115</v>
      </c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>
        <v>0</v>
      </c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45" ht="12.75">
      <c r="A94">
        <v>17</v>
      </c>
      <c r="B94">
        <v>1</v>
      </c>
      <c r="C94">
        <f>ROW(SmtRes!A108)</f>
        <v>108</v>
      </c>
      <c r="D94">
        <f>ROW(EtalonRes!A108)</f>
        <v>108</v>
      </c>
      <c r="E94" t="s">
        <v>154</v>
      </c>
      <c r="F94" t="s">
        <v>155</v>
      </c>
      <c r="G94" t="s">
        <v>156</v>
      </c>
      <c r="H94" t="s">
        <v>157</v>
      </c>
      <c r="I94">
        <f>ROUND(170.4/100,7)</f>
        <v>1.704</v>
      </c>
      <c r="J94">
        <v>0</v>
      </c>
      <c r="K94">
        <f>ROUND(170.4/100,7)</f>
        <v>1.704</v>
      </c>
      <c r="O94">
        <f t="shared" si="66"/>
        <v>6725.9</v>
      </c>
      <c r="P94">
        <f t="shared" si="67"/>
        <v>5627.37</v>
      </c>
      <c r="Q94">
        <f t="shared" si="68"/>
        <v>159.32</v>
      </c>
      <c r="R94">
        <f t="shared" si="69"/>
        <v>24.21</v>
      </c>
      <c r="S94">
        <f t="shared" si="70"/>
        <v>939.21</v>
      </c>
      <c r="T94">
        <f t="shared" si="71"/>
        <v>0</v>
      </c>
      <c r="U94">
        <f t="shared" si="72"/>
        <v>102.310716</v>
      </c>
      <c r="V94">
        <f t="shared" si="73"/>
        <v>1.8530999999999997</v>
      </c>
      <c r="W94">
        <f t="shared" si="74"/>
        <v>0</v>
      </c>
      <c r="X94">
        <f t="shared" si="75"/>
        <v>945.12</v>
      </c>
      <c r="Y94">
        <f t="shared" si="76"/>
        <v>466.78</v>
      </c>
      <c r="AA94">
        <v>55457796</v>
      </c>
      <c r="AB94">
        <f t="shared" si="77"/>
        <v>3947.13</v>
      </c>
      <c r="AC94">
        <f t="shared" si="104"/>
        <v>3302.45</v>
      </c>
      <c r="AD94">
        <f>ROUND(((((ET94*ROUND(1.25,7)))-((EU94*ROUND(1.25,7))))+AE94),2)</f>
        <v>93.5</v>
      </c>
      <c r="AE94">
        <f>ROUND(((EU94*ROUND(1.25,7))),2)</f>
        <v>14.21</v>
      </c>
      <c r="AF94">
        <f>ROUND(((EV94*ROUND(1.15,7))),2)</f>
        <v>551.18</v>
      </c>
      <c r="AG94">
        <f t="shared" si="78"/>
        <v>0</v>
      </c>
      <c r="AH94">
        <f>((EW94*ROUND(1.15,7)))</f>
        <v>60.0415</v>
      </c>
      <c r="AI94">
        <f>((EX94*ROUND(1.25,7)))</f>
        <v>1.0875</v>
      </c>
      <c r="AJ94">
        <f t="shared" si="79"/>
        <v>0</v>
      </c>
      <c r="AK94">
        <v>3856.54</v>
      </c>
      <c r="AL94">
        <v>3302.45</v>
      </c>
      <c r="AM94">
        <v>74.8</v>
      </c>
      <c r="AN94">
        <v>11.37</v>
      </c>
      <c r="AO94">
        <v>479.29</v>
      </c>
      <c r="AP94">
        <v>0</v>
      </c>
      <c r="AQ94">
        <v>52.21</v>
      </c>
      <c r="AR94">
        <v>0.87</v>
      </c>
      <c r="AS94">
        <v>0</v>
      </c>
      <c r="AT94">
        <v>98.1</v>
      </c>
      <c r="AU94">
        <v>48.45</v>
      </c>
      <c r="AV94">
        <v>1</v>
      </c>
      <c r="AW94">
        <v>1</v>
      </c>
      <c r="AZ94">
        <v>1</v>
      </c>
      <c r="BA94">
        <v>36.47</v>
      </c>
      <c r="BB94">
        <v>1</v>
      </c>
      <c r="BC94">
        <v>1</v>
      </c>
      <c r="BH94">
        <v>0</v>
      </c>
      <c r="BI94">
        <v>1</v>
      </c>
      <c r="BJ94" t="s">
        <v>158</v>
      </c>
      <c r="BM94">
        <v>12001</v>
      </c>
      <c r="BN94">
        <v>0</v>
      </c>
      <c r="BO94" t="s">
        <v>31</v>
      </c>
      <c r="BP94">
        <v>1</v>
      </c>
      <c r="BQ94">
        <v>2</v>
      </c>
      <c r="BR94">
        <v>0</v>
      </c>
      <c r="BS94">
        <v>36.47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109</v>
      </c>
      <c r="CA94">
        <v>57</v>
      </c>
      <c r="CE94">
        <v>0</v>
      </c>
      <c r="CF94">
        <v>0</v>
      </c>
      <c r="CG94">
        <v>0</v>
      </c>
      <c r="CM94">
        <v>0</v>
      </c>
      <c r="CN94" t="s">
        <v>363</v>
      </c>
      <c r="CO94">
        <v>0</v>
      </c>
      <c r="CP94">
        <f t="shared" si="80"/>
        <v>6725.9</v>
      </c>
      <c r="CQ94">
        <f t="shared" si="81"/>
        <v>3302.45</v>
      </c>
      <c r="CR94">
        <f t="shared" si="82"/>
        <v>93.5</v>
      </c>
      <c r="CS94">
        <f t="shared" si="83"/>
        <v>14.21</v>
      </c>
      <c r="CT94">
        <f t="shared" si="84"/>
        <v>551.18</v>
      </c>
      <c r="CU94">
        <f t="shared" si="85"/>
        <v>0</v>
      </c>
      <c r="CV94">
        <f t="shared" si="86"/>
        <v>60.0415</v>
      </c>
      <c r="CW94">
        <f t="shared" si="87"/>
        <v>1.0875</v>
      </c>
      <c r="CX94">
        <f t="shared" si="88"/>
        <v>0</v>
      </c>
      <c r="CY94">
        <f t="shared" si="89"/>
        <v>945.1150200000001</v>
      </c>
      <c r="CZ94">
        <f t="shared" si="90"/>
        <v>466.77699000000007</v>
      </c>
      <c r="DE94" t="s">
        <v>111</v>
      </c>
      <c r="DF94" t="s">
        <v>111</v>
      </c>
      <c r="DG94" t="s">
        <v>112</v>
      </c>
      <c r="DI94" t="s">
        <v>112</v>
      </c>
      <c r="DJ94" t="s">
        <v>111</v>
      </c>
      <c r="DL94" t="s">
        <v>113</v>
      </c>
      <c r="DM94" t="s">
        <v>114</v>
      </c>
      <c r="DN94">
        <v>0</v>
      </c>
      <c r="DO94">
        <v>0</v>
      </c>
      <c r="DP94">
        <v>1</v>
      </c>
      <c r="DQ94">
        <v>1</v>
      </c>
      <c r="DU94">
        <v>1003</v>
      </c>
      <c r="DV94" t="s">
        <v>157</v>
      </c>
      <c r="DW94" t="s">
        <v>157</v>
      </c>
      <c r="DX94">
        <v>100</v>
      </c>
      <c r="EE94">
        <v>55402612</v>
      </c>
      <c r="EF94">
        <v>2</v>
      </c>
      <c r="EG94" t="s">
        <v>25</v>
      </c>
      <c r="EH94">
        <v>12</v>
      </c>
      <c r="EI94" t="s">
        <v>115</v>
      </c>
      <c r="EJ94">
        <v>1</v>
      </c>
      <c r="EK94">
        <v>12001</v>
      </c>
      <c r="EL94" t="s">
        <v>115</v>
      </c>
      <c r="EM94" t="s">
        <v>116</v>
      </c>
      <c r="EO94" t="s">
        <v>117</v>
      </c>
      <c r="EQ94">
        <v>0</v>
      </c>
      <c r="ER94">
        <v>3856.54</v>
      </c>
      <c r="ES94">
        <v>3302.45</v>
      </c>
      <c r="ET94">
        <v>74.8</v>
      </c>
      <c r="EU94">
        <v>11.37</v>
      </c>
      <c r="EV94">
        <v>479.29</v>
      </c>
      <c r="EW94">
        <v>52.21</v>
      </c>
      <c r="EX94">
        <v>0.87</v>
      </c>
      <c r="EY94">
        <v>0</v>
      </c>
      <c r="FQ94">
        <v>0</v>
      </c>
      <c r="FR94">
        <f t="shared" si="91"/>
        <v>0</v>
      </c>
      <c r="FS94">
        <v>0</v>
      </c>
      <c r="FX94">
        <v>98.1</v>
      </c>
      <c r="FY94">
        <v>48.45</v>
      </c>
      <c r="GD94">
        <v>1</v>
      </c>
      <c r="GF94">
        <v>970883390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92"/>
        <v>0</v>
      </c>
      <c r="GM94">
        <f t="shared" si="93"/>
        <v>8137.8</v>
      </c>
      <c r="GN94">
        <f t="shared" si="94"/>
        <v>8137.8</v>
      </c>
      <c r="GO94">
        <f t="shared" si="95"/>
        <v>0</v>
      </c>
      <c r="GP94">
        <f t="shared" si="96"/>
        <v>0</v>
      </c>
      <c r="GR94">
        <v>0</v>
      </c>
      <c r="GS94">
        <v>0</v>
      </c>
      <c r="GT94">
        <v>0</v>
      </c>
      <c r="GV94">
        <f t="shared" si="97"/>
        <v>0</v>
      </c>
      <c r="GW94">
        <v>1</v>
      </c>
      <c r="GX94">
        <f t="shared" si="98"/>
        <v>0</v>
      </c>
      <c r="HA94">
        <v>0</v>
      </c>
      <c r="HB94">
        <v>0</v>
      </c>
      <c r="HC94">
        <f t="shared" si="99"/>
        <v>0</v>
      </c>
      <c r="HI94">
        <f t="shared" si="100"/>
        <v>882.94</v>
      </c>
      <c r="HJ94">
        <f t="shared" si="101"/>
        <v>34252.99</v>
      </c>
      <c r="HK94">
        <f t="shared" si="102"/>
        <v>34468.35</v>
      </c>
      <c r="HL94">
        <f t="shared" si="103"/>
        <v>17023.36</v>
      </c>
      <c r="HN94" t="s">
        <v>118</v>
      </c>
      <c r="HO94" t="s">
        <v>119</v>
      </c>
      <c r="HP94" t="s">
        <v>115</v>
      </c>
      <c r="HQ94" t="s">
        <v>115</v>
      </c>
      <c r="IK94">
        <v>0</v>
      </c>
    </row>
    <row r="95" spans="1:255" ht="12.75">
      <c r="A95" s="2">
        <v>18</v>
      </c>
      <c r="B95" s="2">
        <v>1</v>
      </c>
      <c r="C95" s="2">
        <v>94</v>
      </c>
      <c r="D95" s="2"/>
      <c r="E95" s="2" t="s">
        <v>159</v>
      </c>
      <c r="F95" s="2" t="s">
        <v>147</v>
      </c>
      <c r="G95" s="2" t="s">
        <v>148</v>
      </c>
      <c r="H95" s="2" t="s">
        <v>144</v>
      </c>
      <c r="I95" s="2">
        <f>I93*J95</f>
        <v>197.664</v>
      </c>
      <c r="J95" s="2">
        <v>116</v>
      </c>
      <c r="K95" s="2">
        <v>116</v>
      </c>
      <c r="L95" s="2"/>
      <c r="M95" s="2"/>
      <c r="N95" s="2"/>
      <c r="O95" s="2">
        <f t="shared" si="66"/>
        <v>3903.86</v>
      </c>
      <c r="P95" s="2">
        <f t="shared" si="67"/>
        <v>3903.86</v>
      </c>
      <c r="Q95" s="2">
        <f t="shared" si="68"/>
        <v>0</v>
      </c>
      <c r="R95" s="2">
        <f t="shared" si="69"/>
        <v>0</v>
      </c>
      <c r="S95" s="2">
        <f t="shared" si="70"/>
        <v>0</v>
      </c>
      <c r="T95" s="2">
        <f t="shared" si="71"/>
        <v>0</v>
      </c>
      <c r="U95" s="2">
        <f t="shared" si="72"/>
        <v>0</v>
      </c>
      <c r="V95" s="2">
        <f t="shared" si="73"/>
        <v>0</v>
      </c>
      <c r="W95" s="2">
        <f t="shared" si="74"/>
        <v>0</v>
      </c>
      <c r="X95" s="2">
        <f t="shared" si="75"/>
        <v>0</v>
      </c>
      <c r="Y95" s="2">
        <f t="shared" si="76"/>
        <v>0</v>
      </c>
      <c r="Z95" s="2"/>
      <c r="AA95" s="2">
        <v>55457795</v>
      </c>
      <c r="AB95" s="2">
        <f t="shared" si="77"/>
        <v>19.75</v>
      </c>
      <c r="AC95" s="2">
        <f t="shared" si="104"/>
        <v>19.75</v>
      </c>
      <c r="AD95" s="2">
        <f aca="true" t="shared" si="109" ref="AD95:AD110">ROUND((((ET95)-(EU95))+AE95),2)</f>
        <v>0</v>
      </c>
      <c r="AE95" s="2">
        <f aca="true" t="shared" si="110" ref="AE95:AE110">ROUND((EU95),2)</f>
        <v>0</v>
      </c>
      <c r="AF95" s="2">
        <f aca="true" t="shared" si="111" ref="AF95:AF110">ROUND((EV95),2)</f>
        <v>0</v>
      </c>
      <c r="AG95" s="2">
        <f t="shared" si="78"/>
        <v>0</v>
      </c>
      <c r="AH95" s="2">
        <f aca="true" t="shared" si="112" ref="AH95:AH110">(EW95)</f>
        <v>0</v>
      </c>
      <c r="AI95" s="2">
        <f aca="true" t="shared" si="113" ref="AI95:AI110">(EX95)</f>
        <v>0</v>
      </c>
      <c r="AJ95" s="2">
        <f t="shared" si="79"/>
        <v>0</v>
      </c>
      <c r="AK95" s="2">
        <v>19.75</v>
      </c>
      <c r="AL95" s="2">
        <v>19.75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109</v>
      </c>
      <c r="AU95" s="2">
        <v>57</v>
      </c>
      <c r="AV95" s="2">
        <v>1</v>
      </c>
      <c r="AW95" s="2">
        <v>1</v>
      </c>
      <c r="AX95" s="2"/>
      <c r="AY95" s="2"/>
      <c r="AZ95" s="2">
        <v>1</v>
      </c>
      <c r="BA95" s="2">
        <v>1</v>
      </c>
      <c r="BB95" s="2">
        <v>1</v>
      </c>
      <c r="BC95" s="2">
        <v>1</v>
      </c>
      <c r="BD95" s="2" t="s">
        <v>3</v>
      </c>
      <c r="BE95" s="2" t="s">
        <v>3</v>
      </c>
      <c r="BF95" s="2" t="s">
        <v>3</v>
      </c>
      <c r="BG95" s="2" t="s">
        <v>3</v>
      </c>
      <c r="BH95" s="2">
        <v>3</v>
      </c>
      <c r="BI95" s="2">
        <v>1</v>
      </c>
      <c r="BJ95" s="2" t="s">
        <v>149</v>
      </c>
      <c r="BK95" s="2"/>
      <c r="BL95" s="2"/>
      <c r="BM95" s="2">
        <v>12001</v>
      </c>
      <c r="BN95" s="2">
        <v>0</v>
      </c>
      <c r="BO95" s="2" t="s">
        <v>3</v>
      </c>
      <c r="BP95" s="2">
        <v>0</v>
      </c>
      <c r="BQ95" s="2">
        <v>2</v>
      </c>
      <c r="BR95" s="2">
        <v>0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 t="s">
        <v>3</v>
      </c>
      <c r="BZ95" s="2">
        <v>109</v>
      </c>
      <c r="CA95" s="2">
        <v>57</v>
      </c>
      <c r="CB95" s="2" t="s">
        <v>3</v>
      </c>
      <c r="CC95" s="2"/>
      <c r="CD95" s="2"/>
      <c r="CE95" s="2">
        <v>0</v>
      </c>
      <c r="CF95" s="2">
        <v>0</v>
      </c>
      <c r="CG95" s="2">
        <v>0</v>
      </c>
      <c r="CH95" s="2"/>
      <c r="CI95" s="2"/>
      <c r="CJ95" s="2"/>
      <c r="CK95" s="2"/>
      <c r="CL95" s="2"/>
      <c r="CM95" s="2">
        <v>0</v>
      </c>
      <c r="CN95" s="2" t="s">
        <v>3</v>
      </c>
      <c r="CO95" s="2">
        <v>0</v>
      </c>
      <c r="CP95" s="2">
        <f t="shared" si="80"/>
        <v>3903.86</v>
      </c>
      <c r="CQ95" s="2">
        <f t="shared" si="81"/>
        <v>19.75</v>
      </c>
      <c r="CR95" s="2">
        <f t="shared" si="82"/>
        <v>0</v>
      </c>
      <c r="CS95" s="2">
        <f t="shared" si="83"/>
        <v>0</v>
      </c>
      <c r="CT95" s="2">
        <f t="shared" si="84"/>
        <v>0</v>
      </c>
      <c r="CU95" s="2">
        <f t="shared" si="85"/>
        <v>0</v>
      </c>
      <c r="CV95" s="2">
        <f t="shared" si="86"/>
        <v>0</v>
      </c>
      <c r="CW95" s="2">
        <f t="shared" si="87"/>
        <v>0</v>
      </c>
      <c r="CX95" s="2">
        <f t="shared" si="88"/>
        <v>0</v>
      </c>
      <c r="CY95" s="2">
        <f t="shared" si="89"/>
        <v>0</v>
      </c>
      <c r="CZ95" s="2">
        <f t="shared" si="90"/>
        <v>0</v>
      </c>
      <c r="DA95" s="2"/>
      <c r="DB95" s="2"/>
      <c r="DC95" s="2" t="s">
        <v>3</v>
      </c>
      <c r="DD95" s="2" t="s">
        <v>3</v>
      </c>
      <c r="DE95" s="2" t="s">
        <v>3</v>
      </c>
      <c r="DF95" s="2" t="s">
        <v>3</v>
      </c>
      <c r="DG95" s="2" t="s">
        <v>3</v>
      </c>
      <c r="DH95" s="2" t="s">
        <v>3</v>
      </c>
      <c r="DI95" s="2" t="s">
        <v>3</v>
      </c>
      <c r="DJ95" s="2" t="s">
        <v>3</v>
      </c>
      <c r="DK95" s="2" t="s">
        <v>3</v>
      </c>
      <c r="DL95" s="2" t="s">
        <v>3</v>
      </c>
      <c r="DM95" s="2" t="s">
        <v>3</v>
      </c>
      <c r="DN95" s="2">
        <v>0</v>
      </c>
      <c r="DO95" s="2">
        <v>0</v>
      </c>
      <c r="DP95" s="2">
        <v>1</v>
      </c>
      <c r="DQ95" s="2">
        <v>1</v>
      </c>
      <c r="DR95" s="2"/>
      <c r="DS95" s="2"/>
      <c r="DT95" s="2"/>
      <c r="DU95" s="2">
        <v>1005</v>
      </c>
      <c r="DV95" s="2" t="s">
        <v>144</v>
      </c>
      <c r="DW95" s="2" t="s">
        <v>144</v>
      </c>
      <c r="DX95" s="2">
        <v>1</v>
      </c>
      <c r="DY95" s="2"/>
      <c r="DZ95" s="2" t="s">
        <v>3</v>
      </c>
      <c r="EA95" s="2" t="s">
        <v>3</v>
      </c>
      <c r="EB95" s="2" t="s">
        <v>3</v>
      </c>
      <c r="EC95" s="2" t="s">
        <v>3</v>
      </c>
      <c r="ED95" s="2"/>
      <c r="EE95" s="2">
        <v>55402612</v>
      </c>
      <c r="EF95" s="2">
        <v>2</v>
      </c>
      <c r="EG95" s="2" t="s">
        <v>25</v>
      </c>
      <c r="EH95" s="2">
        <v>12</v>
      </c>
      <c r="EI95" s="2" t="s">
        <v>115</v>
      </c>
      <c r="EJ95" s="2">
        <v>1</v>
      </c>
      <c r="EK95" s="2">
        <v>12001</v>
      </c>
      <c r="EL95" s="2" t="s">
        <v>115</v>
      </c>
      <c r="EM95" s="2" t="s">
        <v>116</v>
      </c>
      <c r="EN95" s="2"/>
      <c r="EO95" s="2" t="s">
        <v>3</v>
      </c>
      <c r="EP95" s="2"/>
      <c r="EQ95" s="2">
        <v>0</v>
      </c>
      <c r="ER95" s="2">
        <v>19.75</v>
      </c>
      <c r="ES95" s="2">
        <v>19.75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>
        <v>0</v>
      </c>
      <c r="FR95" s="2">
        <f t="shared" si="91"/>
        <v>0</v>
      </c>
      <c r="FS95" s="2">
        <v>0</v>
      </c>
      <c r="FT95" s="2"/>
      <c r="FU95" s="2"/>
      <c r="FV95" s="2"/>
      <c r="FW95" s="2"/>
      <c r="FX95" s="2">
        <v>109</v>
      </c>
      <c r="FY95" s="2">
        <v>57</v>
      </c>
      <c r="FZ95" s="2"/>
      <c r="GA95" s="2" t="s">
        <v>3</v>
      </c>
      <c r="GB95" s="2"/>
      <c r="GC95" s="2"/>
      <c r="GD95" s="2">
        <v>1</v>
      </c>
      <c r="GE95" s="2"/>
      <c r="GF95" s="2">
        <v>-583407189</v>
      </c>
      <c r="GG95" s="2">
        <v>2</v>
      </c>
      <c r="GH95" s="2">
        <v>1</v>
      </c>
      <c r="GI95" s="2">
        <v>-2</v>
      </c>
      <c r="GJ95" s="2">
        <v>0</v>
      </c>
      <c r="GK95" s="2">
        <v>0</v>
      </c>
      <c r="GL95" s="2">
        <f t="shared" si="92"/>
        <v>0</v>
      </c>
      <c r="GM95" s="2">
        <f t="shared" si="93"/>
        <v>3903.86</v>
      </c>
      <c r="GN95" s="2">
        <f t="shared" si="94"/>
        <v>3903.86</v>
      </c>
      <c r="GO95" s="2">
        <f t="shared" si="95"/>
        <v>0</v>
      </c>
      <c r="GP95" s="2">
        <f t="shared" si="96"/>
        <v>0</v>
      </c>
      <c r="GQ95" s="2"/>
      <c r="GR95" s="2">
        <v>0</v>
      </c>
      <c r="GS95" s="2">
        <v>0</v>
      </c>
      <c r="GT95" s="2">
        <v>0</v>
      </c>
      <c r="GU95" s="2" t="s">
        <v>3</v>
      </c>
      <c r="GV95" s="2">
        <f t="shared" si="97"/>
        <v>0</v>
      </c>
      <c r="GW95" s="2">
        <v>1</v>
      </c>
      <c r="GX95" s="2">
        <f t="shared" si="98"/>
        <v>0</v>
      </c>
      <c r="GY95" s="2"/>
      <c r="GZ95" s="2"/>
      <c r="HA95" s="2">
        <v>0</v>
      </c>
      <c r="HB95" s="2">
        <v>0</v>
      </c>
      <c r="HC95" s="2">
        <f t="shared" si="99"/>
        <v>0</v>
      </c>
      <c r="HD95" s="2"/>
      <c r="HE95" s="2" t="s">
        <v>3</v>
      </c>
      <c r="HF95" s="2" t="s">
        <v>3</v>
      </c>
      <c r="HG95" s="2"/>
      <c r="HH95" s="2"/>
      <c r="HI95" s="2">
        <f t="shared" si="100"/>
        <v>0</v>
      </c>
      <c r="HJ95" s="2">
        <f t="shared" si="101"/>
        <v>0</v>
      </c>
      <c r="HK95" s="2">
        <f t="shared" si="102"/>
        <v>0</v>
      </c>
      <c r="HL95" s="2">
        <f t="shared" si="103"/>
        <v>0</v>
      </c>
      <c r="HM95" s="2" t="s">
        <v>3</v>
      </c>
      <c r="HN95" s="2" t="s">
        <v>118</v>
      </c>
      <c r="HO95" s="2" t="s">
        <v>119</v>
      </c>
      <c r="HP95" s="2" t="s">
        <v>115</v>
      </c>
      <c r="HQ95" s="2" t="s">
        <v>115</v>
      </c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>
        <v>0</v>
      </c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45" ht="12.75">
      <c r="A96">
        <v>18</v>
      </c>
      <c r="B96">
        <v>1</v>
      </c>
      <c r="C96">
        <v>107</v>
      </c>
      <c r="E96" t="s">
        <v>159</v>
      </c>
      <c r="F96" t="s">
        <v>147</v>
      </c>
      <c r="G96" t="s">
        <v>148</v>
      </c>
      <c r="H96" t="s">
        <v>144</v>
      </c>
      <c r="I96">
        <f>I94*J96</f>
        <v>197.664</v>
      </c>
      <c r="J96">
        <v>116</v>
      </c>
      <c r="K96">
        <v>116</v>
      </c>
      <c r="O96">
        <f t="shared" si="66"/>
        <v>3903.86</v>
      </c>
      <c r="P96">
        <f t="shared" si="67"/>
        <v>3903.86</v>
      </c>
      <c r="Q96">
        <f t="shared" si="68"/>
        <v>0</v>
      </c>
      <c r="R96">
        <f t="shared" si="69"/>
        <v>0</v>
      </c>
      <c r="S96">
        <f t="shared" si="70"/>
        <v>0</v>
      </c>
      <c r="T96">
        <f t="shared" si="71"/>
        <v>0</v>
      </c>
      <c r="U96">
        <f t="shared" si="72"/>
        <v>0</v>
      </c>
      <c r="V96">
        <f t="shared" si="73"/>
        <v>0</v>
      </c>
      <c r="W96">
        <f t="shared" si="74"/>
        <v>0</v>
      </c>
      <c r="X96">
        <f t="shared" si="75"/>
        <v>0</v>
      </c>
      <c r="Y96">
        <f t="shared" si="76"/>
        <v>0</v>
      </c>
      <c r="AA96">
        <v>55457796</v>
      </c>
      <c r="AB96">
        <f t="shared" si="77"/>
        <v>19.75</v>
      </c>
      <c r="AC96">
        <f t="shared" si="104"/>
        <v>19.75</v>
      </c>
      <c r="AD96">
        <f t="shared" si="109"/>
        <v>0</v>
      </c>
      <c r="AE96">
        <f t="shared" si="110"/>
        <v>0</v>
      </c>
      <c r="AF96">
        <f t="shared" si="111"/>
        <v>0</v>
      </c>
      <c r="AG96">
        <f t="shared" si="78"/>
        <v>0</v>
      </c>
      <c r="AH96">
        <f t="shared" si="112"/>
        <v>0</v>
      </c>
      <c r="AI96">
        <f t="shared" si="113"/>
        <v>0</v>
      </c>
      <c r="AJ96">
        <f t="shared" si="79"/>
        <v>0</v>
      </c>
      <c r="AK96">
        <v>19.75</v>
      </c>
      <c r="AL96">
        <v>19.75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109</v>
      </c>
      <c r="AU96">
        <v>57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1</v>
      </c>
      <c r="BH96">
        <v>3</v>
      </c>
      <c r="BI96">
        <v>1</v>
      </c>
      <c r="BJ96" t="s">
        <v>149</v>
      </c>
      <c r="BM96">
        <v>12001</v>
      </c>
      <c r="BN96">
        <v>0</v>
      </c>
      <c r="BO96" t="s">
        <v>31</v>
      </c>
      <c r="BP96">
        <v>1</v>
      </c>
      <c r="BQ96">
        <v>2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109</v>
      </c>
      <c r="CA96">
        <v>57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80"/>
        <v>3903.86</v>
      </c>
      <c r="CQ96">
        <f t="shared" si="81"/>
        <v>19.75</v>
      </c>
      <c r="CR96">
        <f t="shared" si="82"/>
        <v>0</v>
      </c>
      <c r="CS96">
        <f t="shared" si="83"/>
        <v>0</v>
      </c>
      <c r="CT96">
        <f t="shared" si="84"/>
        <v>0</v>
      </c>
      <c r="CU96">
        <f t="shared" si="85"/>
        <v>0</v>
      </c>
      <c r="CV96">
        <f t="shared" si="86"/>
        <v>0</v>
      </c>
      <c r="CW96">
        <f t="shared" si="87"/>
        <v>0</v>
      </c>
      <c r="CX96">
        <f t="shared" si="88"/>
        <v>0</v>
      </c>
      <c r="CY96">
        <f t="shared" si="89"/>
        <v>0</v>
      </c>
      <c r="CZ96">
        <f t="shared" si="90"/>
        <v>0</v>
      </c>
      <c r="DN96">
        <v>0</v>
      </c>
      <c r="DO96">
        <v>0</v>
      </c>
      <c r="DP96">
        <v>1</v>
      </c>
      <c r="DQ96">
        <v>1</v>
      </c>
      <c r="DU96">
        <v>1005</v>
      </c>
      <c r="DV96" t="s">
        <v>144</v>
      </c>
      <c r="DW96" t="s">
        <v>144</v>
      </c>
      <c r="DX96">
        <v>1</v>
      </c>
      <c r="EE96">
        <v>55402612</v>
      </c>
      <c r="EF96">
        <v>2</v>
      </c>
      <c r="EG96" t="s">
        <v>25</v>
      </c>
      <c r="EH96">
        <v>12</v>
      </c>
      <c r="EI96" t="s">
        <v>115</v>
      </c>
      <c r="EJ96">
        <v>1</v>
      </c>
      <c r="EK96">
        <v>12001</v>
      </c>
      <c r="EL96" t="s">
        <v>115</v>
      </c>
      <c r="EM96" t="s">
        <v>116</v>
      </c>
      <c r="EQ96">
        <v>0</v>
      </c>
      <c r="ER96">
        <v>19.75</v>
      </c>
      <c r="ES96">
        <v>19.75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91"/>
        <v>0</v>
      </c>
      <c r="FS96">
        <v>0</v>
      </c>
      <c r="FX96">
        <v>109</v>
      </c>
      <c r="FY96">
        <v>57</v>
      </c>
      <c r="GD96">
        <v>1</v>
      </c>
      <c r="GF96">
        <v>-583407189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92"/>
        <v>0</v>
      </c>
      <c r="GM96">
        <f t="shared" si="93"/>
        <v>3903.86</v>
      </c>
      <c r="GN96">
        <f t="shared" si="94"/>
        <v>3903.86</v>
      </c>
      <c r="GO96">
        <f t="shared" si="95"/>
        <v>0</v>
      </c>
      <c r="GP96">
        <f t="shared" si="96"/>
        <v>0</v>
      </c>
      <c r="GR96">
        <v>0</v>
      </c>
      <c r="GS96">
        <v>0</v>
      </c>
      <c r="GT96">
        <v>0</v>
      </c>
      <c r="GV96">
        <f t="shared" si="97"/>
        <v>0</v>
      </c>
      <c r="GW96">
        <v>1</v>
      </c>
      <c r="GX96">
        <f t="shared" si="98"/>
        <v>0</v>
      </c>
      <c r="HA96">
        <v>0</v>
      </c>
      <c r="HB96">
        <v>0</v>
      </c>
      <c r="HC96">
        <f t="shared" si="99"/>
        <v>0</v>
      </c>
      <c r="HI96">
        <f t="shared" si="100"/>
        <v>0</v>
      </c>
      <c r="HJ96">
        <f t="shared" si="101"/>
        <v>0</v>
      </c>
      <c r="HK96">
        <f t="shared" si="102"/>
        <v>0</v>
      </c>
      <c r="HL96">
        <f t="shared" si="103"/>
        <v>0</v>
      </c>
      <c r="HN96" t="s">
        <v>118</v>
      </c>
      <c r="HO96" t="s">
        <v>119</v>
      </c>
      <c r="HP96" t="s">
        <v>115</v>
      </c>
      <c r="HQ96" t="s">
        <v>115</v>
      </c>
      <c r="IK96">
        <v>0</v>
      </c>
    </row>
    <row r="97" spans="1:255" ht="12.75">
      <c r="A97" s="2">
        <v>18</v>
      </c>
      <c r="B97" s="2">
        <v>1</v>
      </c>
      <c r="C97" s="2">
        <v>92</v>
      </c>
      <c r="D97" s="2"/>
      <c r="E97" s="2" t="s">
        <v>160</v>
      </c>
      <c r="F97" s="2" t="s">
        <v>161</v>
      </c>
      <c r="G97" s="2" t="s">
        <v>162</v>
      </c>
      <c r="H97" s="2" t="s">
        <v>123</v>
      </c>
      <c r="I97" s="2">
        <f>I93*J97</f>
        <v>-0.3408</v>
      </c>
      <c r="J97" s="2">
        <v>-0.2</v>
      </c>
      <c r="K97" s="2">
        <v>-0.2</v>
      </c>
      <c r="L97" s="2"/>
      <c r="M97" s="2"/>
      <c r="N97" s="2"/>
      <c r="O97" s="2">
        <f t="shared" si="66"/>
        <v>-3816.96</v>
      </c>
      <c r="P97" s="2">
        <f t="shared" si="67"/>
        <v>-3816.96</v>
      </c>
      <c r="Q97" s="2">
        <f t="shared" si="68"/>
        <v>0</v>
      </c>
      <c r="R97" s="2">
        <f t="shared" si="69"/>
        <v>0</v>
      </c>
      <c r="S97" s="2">
        <f t="shared" si="70"/>
        <v>0</v>
      </c>
      <c r="T97" s="2">
        <f t="shared" si="71"/>
        <v>0</v>
      </c>
      <c r="U97" s="2">
        <f t="shared" si="72"/>
        <v>0</v>
      </c>
      <c r="V97" s="2">
        <f t="shared" si="73"/>
        <v>0</v>
      </c>
      <c r="W97" s="2">
        <f t="shared" si="74"/>
        <v>0</v>
      </c>
      <c r="X97" s="2">
        <f t="shared" si="75"/>
        <v>0</v>
      </c>
      <c r="Y97" s="2">
        <f t="shared" si="76"/>
        <v>0</v>
      </c>
      <c r="Z97" s="2"/>
      <c r="AA97" s="2">
        <v>55457795</v>
      </c>
      <c r="AB97" s="2">
        <f t="shared" si="77"/>
        <v>11200</v>
      </c>
      <c r="AC97" s="2">
        <f t="shared" si="104"/>
        <v>11200</v>
      </c>
      <c r="AD97" s="2">
        <f t="shared" si="109"/>
        <v>0</v>
      </c>
      <c r="AE97" s="2">
        <f t="shared" si="110"/>
        <v>0</v>
      </c>
      <c r="AF97" s="2">
        <f t="shared" si="111"/>
        <v>0</v>
      </c>
      <c r="AG97" s="2">
        <f t="shared" si="78"/>
        <v>0</v>
      </c>
      <c r="AH97" s="2">
        <f t="shared" si="112"/>
        <v>0</v>
      </c>
      <c r="AI97" s="2">
        <f t="shared" si="113"/>
        <v>0</v>
      </c>
      <c r="AJ97" s="2">
        <f t="shared" si="79"/>
        <v>0</v>
      </c>
      <c r="AK97" s="2">
        <v>11200</v>
      </c>
      <c r="AL97" s="2">
        <v>11200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109</v>
      </c>
      <c r="AU97" s="2">
        <v>57</v>
      </c>
      <c r="AV97" s="2">
        <v>1</v>
      </c>
      <c r="AW97" s="2">
        <v>1</v>
      </c>
      <c r="AX97" s="2"/>
      <c r="AY97" s="2"/>
      <c r="AZ97" s="2">
        <v>1</v>
      </c>
      <c r="BA97" s="2">
        <v>1</v>
      </c>
      <c r="BB97" s="2">
        <v>1</v>
      </c>
      <c r="BC97" s="2">
        <v>1</v>
      </c>
      <c r="BD97" s="2" t="s">
        <v>3</v>
      </c>
      <c r="BE97" s="2" t="s">
        <v>3</v>
      </c>
      <c r="BF97" s="2" t="s">
        <v>3</v>
      </c>
      <c r="BG97" s="2" t="s">
        <v>3</v>
      </c>
      <c r="BH97" s="2">
        <v>3</v>
      </c>
      <c r="BI97" s="2">
        <v>1</v>
      </c>
      <c r="BJ97" s="2" t="s">
        <v>163</v>
      </c>
      <c r="BK97" s="2"/>
      <c r="BL97" s="2"/>
      <c r="BM97" s="2">
        <v>12001</v>
      </c>
      <c r="BN97" s="2">
        <v>0</v>
      </c>
      <c r="BO97" s="2" t="s">
        <v>3</v>
      </c>
      <c r="BP97" s="2">
        <v>0</v>
      </c>
      <c r="BQ97" s="2">
        <v>2</v>
      </c>
      <c r="BR97" s="2">
        <v>1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 t="s">
        <v>3</v>
      </c>
      <c r="BZ97" s="2">
        <v>109</v>
      </c>
      <c r="CA97" s="2">
        <v>57</v>
      </c>
      <c r="CB97" s="2" t="s">
        <v>3</v>
      </c>
      <c r="CC97" s="2"/>
      <c r="CD97" s="2"/>
      <c r="CE97" s="2">
        <v>0</v>
      </c>
      <c r="CF97" s="2">
        <v>0</v>
      </c>
      <c r="CG97" s="2">
        <v>0</v>
      </c>
      <c r="CH97" s="2"/>
      <c r="CI97" s="2"/>
      <c r="CJ97" s="2"/>
      <c r="CK97" s="2"/>
      <c r="CL97" s="2"/>
      <c r="CM97" s="2">
        <v>0</v>
      </c>
      <c r="CN97" s="2" t="s">
        <v>3</v>
      </c>
      <c r="CO97" s="2">
        <v>0</v>
      </c>
      <c r="CP97" s="2">
        <f t="shared" si="80"/>
        <v>-3816.96</v>
      </c>
      <c r="CQ97" s="2">
        <f t="shared" si="81"/>
        <v>11200</v>
      </c>
      <c r="CR97" s="2">
        <f t="shared" si="82"/>
        <v>0</v>
      </c>
      <c r="CS97" s="2">
        <f t="shared" si="83"/>
        <v>0</v>
      </c>
      <c r="CT97" s="2">
        <f t="shared" si="84"/>
        <v>0</v>
      </c>
      <c r="CU97" s="2">
        <f t="shared" si="85"/>
        <v>0</v>
      </c>
      <c r="CV97" s="2">
        <f t="shared" si="86"/>
        <v>0</v>
      </c>
      <c r="CW97" s="2">
        <f t="shared" si="87"/>
        <v>0</v>
      </c>
      <c r="CX97" s="2">
        <f t="shared" si="88"/>
        <v>0</v>
      </c>
      <c r="CY97" s="2">
        <f t="shared" si="89"/>
        <v>0</v>
      </c>
      <c r="CZ97" s="2">
        <f t="shared" si="90"/>
        <v>0</v>
      </c>
      <c r="DA97" s="2"/>
      <c r="DB97" s="2"/>
      <c r="DC97" s="2" t="s">
        <v>3</v>
      </c>
      <c r="DD97" s="2" t="s">
        <v>3</v>
      </c>
      <c r="DE97" s="2" t="s">
        <v>3</v>
      </c>
      <c r="DF97" s="2" t="s">
        <v>3</v>
      </c>
      <c r="DG97" s="2" t="s">
        <v>3</v>
      </c>
      <c r="DH97" s="2" t="s">
        <v>3</v>
      </c>
      <c r="DI97" s="2" t="s">
        <v>3</v>
      </c>
      <c r="DJ97" s="2" t="s">
        <v>3</v>
      </c>
      <c r="DK97" s="2" t="s">
        <v>3</v>
      </c>
      <c r="DL97" s="2" t="s">
        <v>3</v>
      </c>
      <c r="DM97" s="2" t="s">
        <v>3</v>
      </c>
      <c r="DN97" s="2">
        <v>0</v>
      </c>
      <c r="DO97" s="2">
        <v>0</v>
      </c>
      <c r="DP97" s="2">
        <v>1</v>
      </c>
      <c r="DQ97" s="2">
        <v>1</v>
      </c>
      <c r="DR97" s="2"/>
      <c r="DS97" s="2"/>
      <c r="DT97" s="2"/>
      <c r="DU97" s="2">
        <v>1009</v>
      </c>
      <c r="DV97" s="2" t="s">
        <v>123</v>
      </c>
      <c r="DW97" s="2" t="s">
        <v>123</v>
      </c>
      <c r="DX97" s="2">
        <v>1000</v>
      </c>
      <c r="DY97" s="2"/>
      <c r="DZ97" s="2" t="s">
        <v>3</v>
      </c>
      <c r="EA97" s="2" t="s">
        <v>3</v>
      </c>
      <c r="EB97" s="2" t="s">
        <v>3</v>
      </c>
      <c r="EC97" s="2" t="s">
        <v>3</v>
      </c>
      <c r="ED97" s="2"/>
      <c r="EE97" s="2">
        <v>55402612</v>
      </c>
      <c r="EF97" s="2">
        <v>2</v>
      </c>
      <c r="EG97" s="2" t="s">
        <v>25</v>
      </c>
      <c r="EH97" s="2">
        <v>12</v>
      </c>
      <c r="EI97" s="2" t="s">
        <v>115</v>
      </c>
      <c r="EJ97" s="2">
        <v>1</v>
      </c>
      <c r="EK97" s="2">
        <v>12001</v>
      </c>
      <c r="EL97" s="2" t="s">
        <v>115</v>
      </c>
      <c r="EM97" s="2" t="s">
        <v>116</v>
      </c>
      <c r="EN97" s="2"/>
      <c r="EO97" s="2" t="s">
        <v>3</v>
      </c>
      <c r="EP97" s="2"/>
      <c r="EQ97" s="2">
        <v>0</v>
      </c>
      <c r="ER97" s="2">
        <v>11200</v>
      </c>
      <c r="ES97" s="2">
        <v>11200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>
        <v>0</v>
      </c>
      <c r="FR97" s="2">
        <f t="shared" si="91"/>
        <v>0</v>
      </c>
      <c r="FS97" s="2">
        <v>0</v>
      </c>
      <c r="FT97" s="2"/>
      <c r="FU97" s="2"/>
      <c r="FV97" s="2"/>
      <c r="FW97" s="2"/>
      <c r="FX97" s="2">
        <v>109</v>
      </c>
      <c r="FY97" s="2">
        <v>57</v>
      </c>
      <c r="FZ97" s="2"/>
      <c r="GA97" s="2" t="s">
        <v>3</v>
      </c>
      <c r="GB97" s="2"/>
      <c r="GC97" s="2"/>
      <c r="GD97" s="2">
        <v>1</v>
      </c>
      <c r="GE97" s="2"/>
      <c r="GF97" s="2">
        <v>-549891075</v>
      </c>
      <c r="GG97" s="2">
        <v>2</v>
      </c>
      <c r="GH97" s="2">
        <v>1</v>
      </c>
      <c r="GI97" s="2">
        <v>-2</v>
      </c>
      <c r="GJ97" s="2">
        <v>0</v>
      </c>
      <c r="GK97" s="2">
        <v>0</v>
      </c>
      <c r="GL97" s="2">
        <f t="shared" si="92"/>
        <v>0</v>
      </c>
      <c r="GM97" s="2">
        <f t="shared" si="93"/>
        <v>-3816.96</v>
      </c>
      <c r="GN97" s="2">
        <f t="shared" si="94"/>
        <v>-3816.96</v>
      </c>
      <c r="GO97" s="2">
        <f t="shared" si="95"/>
        <v>0</v>
      </c>
      <c r="GP97" s="2">
        <f t="shared" si="96"/>
        <v>0</v>
      </c>
      <c r="GQ97" s="2"/>
      <c r="GR97" s="2">
        <v>0</v>
      </c>
      <c r="GS97" s="2">
        <v>3</v>
      </c>
      <c r="GT97" s="2">
        <v>0</v>
      </c>
      <c r="GU97" s="2" t="s">
        <v>3</v>
      </c>
      <c r="GV97" s="2">
        <f t="shared" si="97"/>
        <v>0</v>
      </c>
      <c r="GW97" s="2">
        <v>1</v>
      </c>
      <c r="GX97" s="2">
        <f t="shared" si="98"/>
        <v>0</v>
      </c>
      <c r="GY97" s="2"/>
      <c r="GZ97" s="2"/>
      <c r="HA97" s="2">
        <v>0</v>
      </c>
      <c r="HB97" s="2">
        <v>0</v>
      </c>
      <c r="HC97" s="2">
        <f t="shared" si="99"/>
        <v>0</v>
      </c>
      <c r="HD97" s="2"/>
      <c r="HE97" s="2" t="s">
        <v>3</v>
      </c>
      <c r="HF97" s="2" t="s">
        <v>3</v>
      </c>
      <c r="HG97" s="2"/>
      <c r="HH97" s="2"/>
      <c r="HI97" s="2">
        <f t="shared" si="100"/>
        <v>0</v>
      </c>
      <c r="HJ97" s="2">
        <f t="shared" si="101"/>
        <v>0</v>
      </c>
      <c r="HK97" s="2">
        <f t="shared" si="102"/>
        <v>0</v>
      </c>
      <c r="HL97" s="2">
        <f t="shared" si="103"/>
        <v>0</v>
      </c>
      <c r="HM97" s="2" t="s">
        <v>3</v>
      </c>
      <c r="HN97" s="2" t="s">
        <v>118</v>
      </c>
      <c r="HO97" s="2" t="s">
        <v>119</v>
      </c>
      <c r="HP97" s="2" t="s">
        <v>115</v>
      </c>
      <c r="HQ97" s="2" t="s">
        <v>115</v>
      </c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>
        <v>0</v>
      </c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45" ht="12.75">
      <c r="A98">
        <v>18</v>
      </c>
      <c r="B98">
        <v>1</v>
      </c>
      <c r="C98">
        <v>105</v>
      </c>
      <c r="E98" t="s">
        <v>160</v>
      </c>
      <c r="F98" t="s">
        <v>161</v>
      </c>
      <c r="G98" t="s">
        <v>162</v>
      </c>
      <c r="H98" t="s">
        <v>123</v>
      </c>
      <c r="I98">
        <f>I94*J98</f>
        <v>-0.3408</v>
      </c>
      <c r="J98">
        <v>-0.2</v>
      </c>
      <c r="K98">
        <v>-0.2</v>
      </c>
      <c r="O98">
        <f t="shared" si="66"/>
        <v>-3816.96</v>
      </c>
      <c r="P98">
        <f t="shared" si="67"/>
        <v>-3816.96</v>
      </c>
      <c r="Q98">
        <f t="shared" si="68"/>
        <v>0</v>
      </c>
      <c r="R98">
        <f t="shared" si="69"/>
        <v>0</v>
      </c>
      <c r="S98">
        <f t="shared" si="70"/>
        <v>0</v>
      </c>
      <c r="T98">
        <f t="shared" si="71"/>
        <v>0</v>
      </c>
      <c r="U98">
        <f t="shared" si="72"/>
        <v>0</v>
      </c>
      <c r="V98">
        <f t="shared" si="73"/>
        <v>0</v>
      </c>
      <c r="W98">
        <f t="shared" si="74"/>
        <v>0</v>
      </c>
      <c r="X98">
        <f t="shared" si="75"/>
        <v>0</v>
      </c>
      <c r="Y98">
        <f t="shared" si="76"/>
        <v>0</v>
      </c>
      <c r="AA98">
        <v>55457796</v>
      </c>
      <c r="AB98">
        <f t="shared" si="77"/>
        <v>11200</v>
      </c>
      <c r="AC98">
        <f t="shared" si="104"/>
        <v>11200</v>
      </c>
      <c r="AD98">
        <f t="shared" si="109"/>
        <v>0</v>
      </c>
      <c r="AE98">
        <f t="shared" si="110"/>
        <v>0</v>
      </c>
      <c r="AF98">
        <f t="shared" si="111"/>
        <v>0</v>
      </c>
      <c r="AG98">
        <f t="shared" si="78"/>
        <v>0</v>
      </c>
      <c r="AH98">
        <f t="shared" si="112"/>
        <v>0</v>
      </c>
      <c r="AI98">
        <f t="shared" si="113"/>
        <v>0</v>
      </c>
      <c r="AJ98">
        <f t="shared" si="79"/>
        <v>0</v>
      </c>
      <c r="AK98">
        <v>11200</v>
      </c>
      <c r="AL98">
        <v>11200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109</v>
      </c>
      <c r="AU98">
        <v>57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1</v>
      </c>
      <c r="BH98">
        <v>3</v>
      </c>
      <c r="BI98">
        <v>1</v>
      </c>
      <c r="BJ98" t="s">
        <v>163</v>
      </c>
      <c r="BM98">
        <v>12001</v>
      </c>
      <c r="BN98">
        <v>0</v>
      </c>
      <c r="BO98" t="s">
        <v>31</v>
      </c>
      <c r="BP98">
        <v>1</v>
      </c>
      <c r="BQ98">
        <v>2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109</v>
      </c>
      <c r="CA98">
        <v>57</v>
      </c>
      <c r="CE98">
        <v>0</v>
      </c>
      <c r="CF98">
        <v>0</v>
      </c>
      <c r="CG98">
        <v>0</v>
      </c>
      <c r="CM98">
        <v>0</v>
      </c>
      <c r="CO98">
        <v>0</v>
      </c>
      <c r="CP98">
        <f t="shared" si="80"/>
        <v>-3816.96</v>
      </c>
      <c r="CQ98">
        <f t="shared" si="81"/>
        <v>11200</v>
      </c>
      <c r="CR98">
        <f t="shared" si="82"/>
        <v>0</v>
      </c>
      <c r="CS98">
        <f t="shared" si="83"/>
        <v>0</v>
      </c>
      <c r="CT98">
        <f t="shared" si="84"/>
        <v>0</v>
      </c>
      <c r="CU98">
        <f t="shared" si="85"/>
        <v>0</v>
      </c>
      <c r="CV98">
        <f t="shared" si="86"/>
        <v>0</v>
      </c>
      <c r="CW98">
        <f t="shared" si="87"/>
        <v>0</v>
      </c>
      <c r="CX98">
        <f t="shared" si="88"/>
        <v>0</v>
      </c>
      <c r="CY98">
        <f t="shared" si="89"/>
        <v>0</v>
      </c>
      <c r="CZ98">
        <f t="shared" si="90"/>
        <v>0</v>
      </c>
      <c r="DN98">
        <v>0</v>
      </c>
      <c r="DO98">
        <v>0</v>
      </c>
      <c r="DP98">
        <v>1</v>
      </c>
      <c r="DQ98">
        <v>1</v>
      </c>
      <c r="DU98">
        <v>1009</v>
      </c>
      <c r="DV98" t="s">
        <v>123</v>
      </c>
      <c r="DW98" t="s">
        <v>123</v>
      </c>
      <c r="DX98">
        <v>1000</v>
      </c>
      <c r="EE98">
        <v>55402612</v>
      </c>
      <c r="EF98">
        <v>2</v>
      </c>
      <c r="EG98" t="s">
        <v>25</v>
      </c>
      <c r="EH98">
        <v>12</v>
      </c>
      <c r="EI98" t="s">
        <v>115</v>
      </c>
      <c r="EJ98">
        <v>1</v>
      </c>
      <c r="EK98">
        <v>12001</v>
      </c>
      <c r="EL98" t="s">
        <v>115</v>
      </c>
      <c r="EM98" t="s">
        <v>116</v>
      </c>
      <c r="EQ98">
        <v>0</v>
      </c>
      <c r="ER98">
        <v>11200</v>
      </c>
      <c r="ES98">
        <v>11200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91"/>
        <v>0</v>
      </c>
      <c r="FS98">
        <v>0</v>
      </c>
      <c r="FX98">
        <v>109</v>
      </c>
      <c r="FY98">
        <v>57</v>
      </c>
      <c r="GD98">
        <v>1</v>
      </c>
      <c r="GF98">
        <v>-549891075</v>
      </c>
      <c r="GG98">
        <v>2</v>
      </c>
      <c r="GH98">
        <v>1</v>
      </c>
      <c r="GI98">
        <v>4</v>
      </c>
      <c r="GJ98">
        <v>0</v>
      </c>
      <c r="GK98">
        <v>0</v>
      </c>
      <c r="GL98">
        <f t="shared" si="92"/>
        <v>0</v>
      </c>
      <c r="GM98">
        <f t="shared" si="93"/>
        <v>-3816.96</v>
      </c>
      <c r="GN98">
        <f t="shared" si="94"/>
        <v>-3816.96</v>
      </c>
      <c r="GO98">
        <f t="shared" si="95"/>
        <v>0</v>
      </c>
      <c r="GP98">
        <f t="shared" si="96"/>
        <v>0</v>
      </c>
      <c r="GR98">
        <v>0</v>
      </c>
      <c r="GS98">
        <v>0</v>
      </c>
      <c r="GT98">
        <v>0</v>
      </c>
      <c r="GV98">
        <f t="shared" si="97"/>
        <v>0</v>
      </c>
      <c r="GW98">
        <v>1</v>
      </c>
      <c r="GX98">
        <f t="shared" si="98"/>
        <v>0</v>
      </c>
      <c r="HA98">
        <v>0</v>
      </c>
      <c r="HB98">
        <v>0</v>
      </c>
      <c r="HC98">
        <f t="shared" si="99"/>
        <v>0</v>
      </c>
      <c r="HI98">
        <f t="shared" si="100"/>
        <v>0</v>
      </c>
      <c r="HJ98">
        <f t="shared" si="101"/>
        <v>0</v>
      </c>
      <c r="HK98">
        <f t="shared" si="102"/>
        <v>0</v>
      </c>
      <c r="HL98">
        <f t="shared" si="103"/>
        <v>0</v>
      </c>
      <c r="HN98" t="s">
        <v>118</v>
      </c>
      <c r="HO98" t="s">
        <v>119</v>
      </c>
      <c r="HP98" t="s">
        <v>115</v>
      </c>
      <c r="HQ98" t="s">
        <v>115</v>
      </c>
      <c r="IK98">
        <v>0</v>
      </c>
    </row>
    <row r="99" spans="1:255" ht="12.75">
      <c r="A99" s="2">
        <v>18</v>
      </c>
      <c r="B99" s="2">
        <v>1</v>
      </c>
      <c r="C99" s="2">
        <v>93</v>
      </c>
      <c r="D99" s="2"/>
      <c r="E99" s="2" t="s">
        <v>164</v>
      </c>
      <c r="F99" s="2" t="s">
        <v>165</v>
      </c>
      <c r="G99" s="2" t="s">
        <v>166</v>
      </c>
      <c r="H99" s="2" t="s">
        <v>123</v>
      </c>
      <c r="I99" s="2">
        <f>I93*J99</f>
        <v>-0.022152</v>
      </c>
      <c r="J99" s="2">
        <v>-0.013000000000000001</v>
      </c>
      <c r="K99" s="2">
        <v>-0.013</v>
      </c>
      <c r="L99" s="2"/>
      <c r="M99" s="2"/>
      <c r="N99" s="2"/>
      <c r="O99" s="2">
        <f t="shared" si="66"/>
        <v>-110.76</v>
      </c>
      <c r="P99" s="2">
        <f t="shared" si="67"/>
        <v>-110.76</v>
      </c>
      <c r="Q99" s="2">
        <f t="shared" si="68"/>
        <v>0</v>
      </c>
      <c r="R99" s="2">
        <f t="shared" si="69"/>
        <v>0</v>
      </c>
      <c r="S99" s="2">
        <f t="shared" si="70"/>
        <v>0</v>
      </c>
      <c r="T99" s="2">
        <f t="shared" si="71"/>
        <v>0</v>
      </c>
      <c r="U99" s="2">
        <f t="shared" si="72"/>
        <v>0</v>
      </c>
      <c r="V99" s="2">
        <f t="shared" si="73"/>
        <v>0</v>
      </c>
      <c r="W99" s="2">
        <f t="shared" si="74"/>
        <v>0</v>
      </c>
      <c r="X99" s="2">
        <f t="shared" si="75"/>
        <v>0</v>
      </c>
      <c r="Y99" s="2">
        <f t="shared" si="76"/>
        <v>0</v>
      </c>
      <c r="Z99" s="2"/>
      <c r="AA99" s="2">
        <v>55457795</v>
      </c>
      <c r="AB99" s="2">
        <f t="shared" si="77"/>
        <v>5000</v>
      </c>
      <c r="AC99" s="2">
        <f t="shared" si="104"/>
        <v>5000</v>
      </c>
      <c r="AD99" s="2">
        <f t="shared" si="109"/>
        <v>0</v>
      </c>
      <c r="AE99" s="2">
        <f t="shared" si="110"/>
        <v>0</v>
      </c>
      <c r="AF99" s="2">
        <f t="shared" si="111"/>
        <v>0</v>
      </c>
      <c r="AG99" s="2">
        <f t="shared" si="78"/>
        <v>0</v>
      </c>
      <c r="AH99" s="2">
        <f t="shared" si="112"/>
        <v>0</v>
      </c>
      <c r="AI99" s="2">
        <f t="shared" si="113"/>
        <v>0</v>
      </c>
      <c r="AJ99" s="2">
        <f t="shared" si="79"/>
        <v>0</v>
      </c>
      <c r="AK99" s="2">
        <v>5000</v>
      </c>
      <c r="AL99" s="2">
        <v>5000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109</v>
      </c>
      <c r="AU99" s="2">
        <v>57</v>
      </c>
      <c r="AV99" s="2">
        <v>1</v>
      </c>
      <c r="AW99" s="2">
        <v>1</v>
      </c>
      <c r="AX99" s="2"/>
      <c r="AY99" s="2"/>
      <c r="AZ99" s="2">
        <v>1</v>
      </c>
      <c r="BA99" s="2">
        <v>1</v>
      </c>
      <c r="BB99" s="2">
        <v>1</v>
      </c>
      <c r="BC99" s="2">
        <v>1</v>
      </c>
      <c r="BD99" s="2" t="s">
        <v>3</v>
      </c>
      <c r="BE99" s="2" t="s">
        <v>3</v>
      </c>
      <c r="BF99" s="2" t="s">
        <v>3</v>
      </c>
      <c r="BG99" s="2" t="s">
        <v>3</v>
      </c>
      <c r="BH99" s="2">
        <v>3</v>
      </c>
      <c r="BI99" s="2">
        <v>1</v>
      </c>
      <c r="BJ99" s="2" t="s">
        <v>167</v>
      </c>
      <c r="BK99" s="2"/>
      <c r="BL99" s="2"/>
      <c r="BM99" s="2">
        <v>12001</v>
      </c>
      <c r="BN99" s="2">
        <v>0</v>
      </c>
      <c r="BO99" s="2" t="s">
        <v>3</v>
      </c>
      <c r="BP99" s="2">
        <v>0</v>
      </c>
      <c r="BQ99" s="2">
        <v>2</v>
      </c>
      <c r="BR99" s="2">
        <v>1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 t="s">
        <v>3</v>
      </c>
      <c r="BZ99" s="2">
        <v>109</v>
      </c>
      <c r="CA99" s="2">
        <v>57</v>
      </c>
      <c r="CB99" s="2" t="s">
        <v>3</v>
      </c>
      <c r="CC99" s="2"/>
      <c r="CD99" s="2"/>
      <c r="CE99" s="2">
        <v>0</v>
      </c>
      <c r="CF99" s="2">
        <v>0</v>
      </c>
      <c r="CG99" s="2">
        <v>0</v>
      </c>
      <c r="CH99" s="2"/>
      <c r="CI99" s="2"/>
      <c r="CJ99" s="2"/>
      <c r="CK99" s="2"/>
      <c r="CL99" s="2"/>
      <c r="CM99" s="2">
        <v>0</v>
      </c>
      <c r="CN99" s="2" t="s">
        <v>3</v>
      </c>
      <c r="CO99" s="2">
        <v>0</v>
      </c>
      <c r="CP99" s="2">
        <f t="shared" si="80"/>
        <v>-110.76</v>
      </c>
      <c r="CQ99" s="2">
        <f t="shared" si="81"/>
        <v>5000</v>
      </c>
      <c r="CR99" s="2">
        <f t="shared" si="82"/>
        <v>0</v>
      </c>
      <c r="CS99" s="2">
        <f t="shared" si="83"/>
        <v>0</v>
      </c>
      <c r="CT99" s="2">
        <f t="shared" si="84"/>
        <v>0</v>
      </c>
      <c r="CU99" s="2">
        <f t="shared" si="85"/>
        <v>0</v>
      </c>
      <c r="CV99" s="2">
        <f t="shared" si="86"/>
        <v>0</v>
      </c>
      <c r="CW99" s="2">
        <f t="shared" si="87"/>
        <v>0</v>
      </c>
      <c r="CX99" s="2">
        <f t="shared" si="88"/>
        <v>0</v>
      </c>
      <c r="CY99" s="2">
        <f t="shared" si="89"/>
        <v>0</v>
      </c>
      <c r="CZ99" s="2">
        <f t="shared" si="90"/>
        <v>0</v>
      </c>
      <c r="DA99" s="2"/>
      <c r="DB99" s="2"/>
      <c r="DC99" s="2" t="s">
        <v>3</v>
      </c>
      <c r="DD99" s="2" t="s">
        <v>3</v>
      </c>
      <c r="DE99" s="2" t="s">
        <v>3</v>
      </c>
      <c r="DF99" s="2" t="s">
        <v>3</v>
      </c>
      <c r="DG99" s="2" t="s">
        <v>3</v>
      </c>
      <c r="DH99" s="2" t="s">
        <v>3</v>
      </c>
      <c r="DI99" s="2" t="s">
        <v>3</v>
      </c>
      <c r="DJ99" s="2" t="s">
        <v>3</v>
      </c>
      <c r="DK99" s="2" t="s">
        <v>3</v>
      </c>
      <c r="DL99" s="2" t="s">
        <v>3</v>
      </c>
      <c r="DM99" s="2" t="s">
        <v>3</v>
      </c>
      <c r="DN99" s="2">
        <v>0</v>
      </c>
      <c r="DO99" s="2">
        <v>0</v>
      </c>
      <c r="DP99" s="2">
        <v>1</v>
      </c>
      <c r="DQ99" s="2">
        <v>1</v>
      </c>
      <c r="DR99" s="2"/>
      <c r="DS99" s="2"/>
      <c r="DT99" s="2"/>
      <c r="DU99" s="2">
        <v>1009</v>
      </c>
      <c r="DV99" s="2" t="s">
        <v>123</v>
      </c>
      <c r="DW99" s="2" t="s">
        <v>123</v>
      </c>
      <c r="DX99" s="2">
        <v>1000</v>
      </c>
      <c r="DY99" s="2"/>
      <c r="DZ99" s="2" t="s">
        <v>3</v>
      </c>
      <c r="EA99" s="2" t="s">
        <v>3</v>
      </c>
      <c r="EB99" s="2" t="s">
        <v>3</v>
      </c>
      <c r="EC99" s="2" t="s">
        <v>3</v>
      </c>
      <c r="ED99" s="2"/>
      <c r="EE99" s="2">
        <v>55402612</v>
      </c>
      <c r="EF99" s="2">
        <v>2</v>
      </c>
      <c r="EG99" s="2" t="s">
        <v>25</v>
      </c>
      <c r="EH99" s="2">
        <v>12</v>
      </c>
      <c r="EI99" s="2" t="s">
        <v>115</v>
      </c>
      <c r="EJ99" s="2">
        <v>1</v>
      </c>
      <c r="EK99" s="2">
        <v>12001</v>
      </c>
      <c r="EL99" s="2" t="s">
        <v>115</v>
      </c>
      <c r="EM99" s="2" t="s">
        <v>116</v>
      </c>
      <c r="EN99" s="2"/>
      <c r="EO99" s="2" t="s">
        <v>3</v>
      </c>
      <c r="EP99" s="2"/>
      <c r="EQ99" s="2">
        <v>0</v>
      </c>
      <c r="ER99" s="2">
        <v>5000</v>
      </c>
      <c r="ES99" s="2">
        <v>5000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>
        <v>0</v>
      </c>
      <c r="FR99" s="2">
        <f t="shared" si="91"/>
        <v>0</v>
      </c>
      <c r="FS99" s="2">
        <v>0</v>
      </c>
      <c r="FT99" s="2"/>
      <c r="FU99" s="2"/>
      <c r="FV99" s="2"/>
      <c r="FW99" s="2"/>
      <c r="FX99" s="2">
        <v>109</v>
      </c>
      <c r="FY99" s="2">
        <v>57</v>
      </c>
      <c r="FZ99" s="2"/>
      <c r="GA99" s="2" t="s">
        <v>3</v>
      </c>
      <c r="GB99" s="2"/>
      <c r="GC99" s="2"/>
      <c r="GD99" s="2">
        <v>1</v>
      </c>
      <c r="GE99" s="2"/>
      <c r="GF99" s="2">
        <v>-1846459573</v>
      </c>
      <c r="GG99" s="2">
        <v>2</v>
      </c>
      <c r="GH99" s="2">
        <v>1</v>
      </c>
      <c r="GI99" s="2">
        <v>-2</v>
      </c>
      <c r="GJ99" s="2">
        <v>0</v>
      </c>
      <c r="GK99" s="2">
        <v>0</v>
      </c>
      <c r="GL99" s="2">
        <f t="shared" si="92"/>
        <v>0</v>
      </c>
      <c r="GM99" s="2">
        <f t="shared" si="93"/>
        <v>-110.76</v>
      </c>
      <c r="GN99" s="2">
        <f t="shared" si="94"/>
        <v>-110.76</v>
      </c>
      <c r="GO99" s="2">
        <f t="shared" si="95"/>
        <v>0</v>
      </c>
      <c r="GP99" s="2">
        <f t="shared" si="96"/>
        <v>0</v>
      </c>
      <c r="GQ99" s="2"/>
      <c r="GR99" s="2">
        <v>0</v>
      </c>
      <c r="GS99" s="2">
        <v>3</v>
      </c>
      <c r="GT99" s="2">
        <v>0</v>
      </c>
      <c r="GU99" s="2" t="s">
        <v>3</v>
      </c>
      <c r="GV99" s="2">
        <f t="shared" si="97"/>
        <v>0</v>
      </c>
      <c r="GW99" s="2">
        <v>1</v>
      </c>
      <c r="GX99" s="2">
        <f t="shared" si="98"/>
        <v>0</v>
      </c>
      <c r="GY99" s="2"/>
      <c r="GZ99" s="2"/>
      <c r="HA99" s="2">
        <v>0</v>
      </c>
      <c r="HB99" s="2">
        <v>0</v>
      </c>
      <c r="HC99" s="2">
        <f t="shared" si="99"/>
        <v>0</v>
      </c>
      <c r="HD99" s="2"/>
      <c r="HE99" s="2" t="s">
        <v>3</v>
      </c>
      <c r="HF99" s="2" t="s">
        <v>3</v>
      </c>
      <c r="HG99" s="2"/>
      <c r="HH99" s="2"/>
      <c r="HI99" s="2">
        <f t="shared" si="100"/>
        <v>0</v>
      </c>
      <c r="HJ99" s="2">
        <f t="shared" si="101"/>
        <v>0</v>
      </c>
      <c r="HK99" s="2">
        <f t="shared" si="102"/>
        <v>0</v>
      </c>
      <c r="HL99" s="2">
        <f t="shared" si="103"/>
        <v>0</v>
      </c>
      <c r="HM99" s="2" t="s">
        <v>3</v>
      </c>
      <c r="HN99" s="2" t="s">
        <v>118</v>
      </c>
      <c r="HO99" s="2" t="s">
        <v>119</v>
      </c>
      <c r="HP99" s="2" t="s">
        <v>115</v>
      </c>
      <c r="HQ99" s="2" t="s">
        <v>115</v>
      </c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>
        <v>0</v>
      </c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45" ht="12.75">
      <c r="A100">
        <v>18</v>
      </c>
      <c r="B100">
        <v>1</v>
      </c>
      <c r="C100">
        <v>106</v>
      </c>
      <c r="E100" t="s">
        <v>164</v>
      </c>
      <c r="F100" t="s">
        <v>165</v>
      </c>
      <c r="G100" t="s">
        <v>166</v>
      </c>
      <c r="H100" t="s">
        <v>123</v>
      </c>
      <c r="I100">
        <f>I94*J100</f>
        <v>-0.022152</v>
      </c>
      <c r="J100">
        <v>-0.013000000000000001</v>
      </c>
      <c r="K100">
        <v>-0.013</v>
      </c>
      <c r="O100">
        <f t="shared" si="66"/>
        <v>-110.76</v>
      </c>
      <c r="P100">
        <f t="shared" si="67"/>
        <v>-110.76</v>
      </c>
      <c r="Q100">
        <f t="shared" si="68"/>
        <v>0</v>
      </c>
      <c r="R100">
        <f t="shared" si="69"/>
        <v>0</v>
      </c>
      <c r="S100">
        <f t="shared" si="70"/>
        <v>0</v>
      </c>
      <c r="T100">
        <f t="shared" si="71"/>
        <v>0</v>
      </c>
      <c r="U100">
        <f t="shared" si="72"/>
        <v>0</v>
      </c>
      <c r="V100">
        <f t="shared" si="73"/>
        <v>0</v>
      </c>
      <c r="W100">
        <f t="shared" si="74"/>
        <v>0</v>
      </c>
      <c r="X100">
        <f t="shared" si="75"/>
        <v>0</v>
      </c>
      <c r="Y100">
        <f t="shared" si="76"/>
        <v>0</v>
      </c>
      <c r="AA100">
        <v>55457796</v>
      </c>
      <c r="AB100">
        <f t="shared" si="77"/>
        <v>5000</v>
      </c>
      <c r="AC100">
        <f t="shared" si="104"/>
        <v>5000</v>
      </c>
      <c r="AD100">
        <f t="shared" si="109"/>
        <v>0</v>
      </c>
      <c r="AE100">
        <f t="shared" si="110"/>
        <v>0</v>
      </c>
      <c r="AF100">
        <f t="shared" si="111"/>
        <v>0</v>
      </c>
      <c r="AG100">
        <f t="shared" si="78"/>
        <v>0</v>
      </c>
      <c r="AH100">
        <f t="shared" si="112"/>
        <v>0</v>
      </c>
      <c r="AI100">
        <f t="shared" si="113"/>
        <v>0</v>
      </c>
      <c r="AJ100">
        <f t="shared" si="79"/>
        <v>0</v>
      </c>
      <c r="AK100">
        <v>5000</v>
      </c>
      <c r="AL100">
        <v>5000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109</v>
      </c>
      <c r="AU100">
        <v>57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</v>
      </c>
      <c r="BH100">
        <v>3</v>
      </c>
      <c r="BI100">
        <v>1</v>
      </c>
      <c r="BJ100" t="s">
        <v>167</v>
      </c>
      <c r="BM100">
        <v>12001</v>
      </c>
      <c r="BN100">
        <v>0</v>
      </c>
      <c r="BO100" t="s">
        <v>31</v>
      </c>
      <c r="BP100">
        <v>1</v>
      </c>
      <c r="BQ100">
        <v>2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109</v>
      </c>
      <c r="CA100">
        <v>57</v>
      </c>
      <c r="CE100">
        <v>0</v>
      </c>
      <c r="CF100">
        <v>0</v>
      </c>
      <c r="CG100">
        <v>0</v>
      </c>
      <c r="CM100">
        <v>0</v>
      </c>
      <c r="CO100">
        <v>0</v>
      </c>
      <c r="CP100">
        <f t="shared" si="80"/>
        <v>-110.76</v>
      </c>
      <c r="CQ100">
        <f t="shared" si="81"/>
        <v>5000</v>
      </c>
      <c r="CR100">
        <f t="shared" si="82"/>
        <v>0</v>
      </c>
      <c r="CS100">
        <f t="shared" si="83"/>
        <v>0</v>
      </c>
      <c r="CT100">
        <f t="shared" si="84"/>
        <v>0</v>
      </c>
      <c r="CU100">
        <f t="shared" si="85"/>
        <v>0</v>
      </c>
      <c r="CV100">
        <f t="shared" si="86"/>
        <v>0</v>
      </c>
      <c r="CW100">
        <f t="shared" si="87"/>
        <v>0</v>
      </c>
      <c r="CX100">
        <f t="shared" si="88"/>
        <v>0</v>
      </c>
      <c r="CY100">
        <f t="shared" si="89"/>
        <v>0</v>
      </c>
      <c r="CZ100">
        <f t="shared" si="90"/>
        <v>0</v>
      </c>
      <c r="DN100">
        <v>0</v>
      </c>
      <c r="DO100">
        <v>0</v>
      </c>
      <c r="DP100">
        <v>1</v>
      </c>
      <c r="DQ100">
        <v>1</v>
      </c>
      <c r="DU100">
        <v>1009</v>
      </c>
      <c r="DV100" t="s">
        <v>123</v>
      </c>
      <c r="DW100" t="s">
        <v>123</v>
      </c>
      <c r="DX100">
        <v>1000</v>
      </c>
      <c r="EE100">
        <v>55402612</v>
      </c>
      <c r="EF100">
        <v>2</v>
      </c>
      <c r="EG100" t="s">
        <v>25</v>
      </c>
      <c r="EH100">
        <v>12</v>
      </c>
      <c r="EI100" t="s">
        <v>115</v>
      </c>
      <c r="EJ100">
        <v>1</v>
      </c>
      <c r="EK100">
        <v>12001</v>
      </c>
      <c r="EL100" t="s">
        <v>115</v>
      </c>
      <c r="EM100" t="s">
        <v>116</v>
      </c>
      <c r="EQ100">
        <v>0</v>
      </c>
      <c r="ER100">
        <v>5000</v>
      </c>
      <c r="ES100">
        <v>5000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91"/>
        <v>0</v>
      </c>
      <c r="FS100">
        <v>0</v>
      </c>
      <c r="FX100">
        <v>109</v>
      </c>
      <c r="FY100">
        <v>57</v>
      </c>
      <c r="GD100">
        <v>1</v>
      </c>
      <c r="GF100">
        <v>-1846459573</v>
      </c>
      <c r="GG100">
        <v>2</v>
      </c>
      <c r="GH100">
        <v>1</v>
      </c>
      <c r="GI100">
        <v>4</v>
      </c>
      <c r="GJ100">
        <v>0</v>
      </c>
      <c r="GK100">
        <v>0</v>
      </c>
      <c r="GL100">
        <f t="shared" si="92"/>
        <v>0</v>
      </c>
      <c r="GM100">
        <f t="shared" si="93"/>
        <v>-110.76</v>
      </c>
      <c r="GN100">
        <f t="shared" si="94"/>
        <v>-110.76</v>
      </c>
      <c r="GO100">
        <f t="shared" si="95"/>
        <v>0</v>
      </c>
      <c r="GP100">
        <f t="shared" si="96"/>
        <v>0</v>
      </c>
      <c r="GR100">
        <v>0</v>
      </c>
      <c r="GS100">
        <v>0</v>
      </c>
      <c r="GT100">
        <v>0</v>
      </c>
      <c r="GV100">
        <f t="shared" si="97"/>
        <v>0</v>
      </c>
      <c r="GW100">
        <v>1</v>
      </c>
      <c r="GX100">
        <f t="shared" si="98"/>
        <v>0</v>
      </c>
      <c r="HA100">
        <v>0</v>
      </c>
      <c r="HB100">
        <v>0</v>
      </c>
      <c r="HC100">
        <f t="shared" si="99"/>
        <v>0</v>
      </c>
      <c r="HI100">
        <f t="shared" si="100"/>
        <v>0</v>
      </c>
      <c r="HJ100">
        <f t="shared" si="101"/>
        <v>0</v>
      </c>
      <c r="HK100">
        <f t="shared" si="102"/>
        <v>0</v>
      </c>
      <c r="HL100">
        <f t="shared" si="103"/>
        <v>0</v>
      </c>
      <c r="HN100" t="s">
        <v>118</v>
      </c>
      <c r="HO100" t="s">
        <v>119</v>
      </c>
      <c r="HP100" t="s">
        <v>115</v>
      </c>
      <c r="HQ100" t="s">
        <v>115</v>
      </c>
      <c r="IK100">
        <v>0</v>
      </c>
    </row>
    <row r="101" spans="1:255" ht="12.75">
      <c r="A101" s="2">
        <v>18</v>
      </c>
      <c r="B101" s="2">
        <v>1</v>
      </c>
      <c r="C101" s="2">
        <v>91</v>
      </c>
      <c r="D101" s="2"/>
      <c r="E101" s="2" t="s">
        <v>168</v>
      </c>
      <c r="F101" s="2" t="s">
        <v>169</v>
      </c>
      <c r="G101" s="2" t="s">
        <v>170</v>
      </c>
      <c r="H101" s="2" t="s">
        <v>47</v>
      </c>
      <c r="I101" s="2">
        <f>I93*J101</f>
        <v>-0.86904</v>
      </c>
      <c r="J101" s="2">
        <v>-0.51</v>
      </c>
      <c r="K101" s="2">
        <v>-0.51</v>
      </c>
      <c r="L101" s="2"/>
      <c r="M101" s="2"/>
      <c r="N101" s="2"/>
      <c r="O101" s="2">
        <f t="shared" si="66"/>
        <v>-451.73</v>
      </c>
      <c r="P101" s="2">
        <f t="shared" si="67"/>
        <v>-451.73</v>
      </c>
      <c r="Q101" s="2">
        <f t="shared" si="68"/>
        <v>0</v>
      </c>
      <c r="R101" s="2">
        <f t="shared" si="69"/>
        <v>0</v>
      </c>
      <c r="S101" s="2">
        <f t="shared" si="70"/>
        <v>0</v>
      </c>
      <c r="T101" s="2">
        <f t="shared" si="71"/>
        <v>0</v>
      </c>
      <c r="U101" s="2">
        <f t="shared" si="72"/>
        <v>0</v>
      </c>
      <c r="V101" s="2">
        <f t="shared" si="73"/>
        <v>0</v>
      </c>
      <c r="W101" s="2">
        <f t="shared" si="74"/>
        <v>0</v>
      </c>
      <c r="X101" s="2">
        <f t="shared" si="75"/>
        <v>0</v>
      </c>
      <c r="Y101" s="2">
        <f t="shared" si="76"/>
        <v>0</v>
      </c>
      <c r="Z101" s="2"/>
      <c r="AA101" s="2">
        <v>55457795</v>
      </c>
      <c r="AB101" s="2">
        <f t="shared" si="77"/>
        <v>519.8</v>
      </c>
      <c r="AC101" s="2">
        <f t="shared" si="104"/>
        <v>519.8</v>
      </c>
      <c r="AD101" s="2">
        <f t="shared" si="109"/>
        <v>0</v>
      </c>
      <c r="AE101" s="2">
        <f t="shared" si="110"/>
        <v>0</v>
      </c>
      <c r="AF101" s="2">
        <f t="shared" si="111"/>
        <v>0</v>
      </c>
      <c r="AG101" s="2">
        <f t="shared" si="78"/>
        <v>0</v>
      </c>
      <c r="AH101" s="2">
        <f t="shared" si="112"/>
        <v>0</v>
      </c>
      <c r="AI101" s="2">
        <f t="shared" si="113"/>
        <v>0</v>
      </c>
      <c r="AJ101" s="2">
        <f t="shared" si="79"/>
        <v>0</v>
      </c>
      <c r="AK101" s="2">
        <v>519.8</v>
      </c>
      <c r="AL101" s="2">
        <v>519.8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109</v>
      </c>
      <c r="AU101" s="2">
        <v>57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3</v>
      </c>
      <c r="BI101" s="2">
        <v>1</v>
      </c>
      <c r="BJ101" s="2" t="s">
        <v>171</v>
      </c>
      <c r="BK101" s="2"/>
      <c r="BL101" s="2"/>
      <c r="BM101" s="2">
        <v>12001</v>
      </c>
      <c r="BN101" s="2">
        <v>0</v>
      </c>
      <c r="BO101" s="2" t="s">
        <v>3</v>
      </c>
      <c r="BP101" s="2">
        <v>0</v>
      </c>
      <c r="BQ101" s="2">
        <v>2</v>
      </c>
      <c r="BR101" s="2">
        <v>1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109</v>
      </c>
      <c r="CA101" s="2">
        <v>57</v>
      </c>
      <c r="CB101" s="2" t="s">
        <v>3</v>
      </c>
      <c r="CC101" s="2"/>
      <c r="CD101" s="2"/>
      <c r="CE101" s="2">
        <v>0</v>
      </c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3</v>
      </c>
      <c r="CO101" s="2">
        <v>0</v>
      </c>
      <c r="CP101" s="2">
        <f t="shared" si="80"/>
        <v>-451.73</v>
      </c>
      <c r="CQ101" s="2">
        <f t="shared" si="81"/>
        <v>519.8</v>
      </c>
      <c r="CR101" s="2">
        <f t="shared" si="82"/>
        <v>0</v>
      </c>
      <c r="CS101" s="2">
        <f t="shared" si="83"/>
        <v>0</v>
      </c>
      <c r="CT101" s="2">
        <f t="shared" si="84"/>
        <v>0</v>
      </c>
      <c r="CU101" s="2">
        <f t="shared" si="85"/>
        <v>0</v>
      </c>
      <c r="CV101" s="2">
        <f t="shared" si="86"/>
        <v>0</v>
      </c>
      <c r="CW101" s="2">
        <f t="shared" si="87"/>
        <v>0</v>
      </c>
      <c r="CX101" s="2">
        <f t="shared" si="88"/>
        <v>0</v>
      </c>
      <c r="CY101" s="2">
        <f t="shared" si="89"/>
        <v>0</v>
      </c>
      <c r="CZ101" s="2">
        <f t="shared" si="90"/>
        <v>0</v>
      </c>
      <c r="DA101" s="2"/>
      <c r="DB101" s="2"/>
      <c r="DC101" s="2" t="s">
        <v>3</v>
      </c>
      <c r="DD101" s="2" t="s">
        <v>3</v>
      </c>
      <c r="DE101" s="2" t="s">
        <v>3</v>
      </c>
      <c r="DF101" s="2" t="s">
        <v>3</v>
      </c>
      <c r="DG101" s="2" t="s">
        <v>3</v>
      </c>
      <c r="DH101" s="2" t="s">
        <v>3</v>
      </c>
      <c r="DI101" s="2" t="s">
        <v>3</v>
      </c>
      <c r="DJ101" s="2" t="s">
        <v>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1007</v>
      </c>
      <c r="DV101" s="2" t="s">
        <v>47</v>
      </c>
      <c r="DW101" s="2" t="s">
        <v>47</v>
      </c>
      <c r="DX101" s="2">
        <v>1</v>
      </c>
      <c r="DY101" s="2"/>
      <c r="DZ101" s="2" t="s">
        <v>3</v>
      </c>
      <c r="EA101" s="2" t="s">
        <v>3</v>
      </c>
      <c r="EB101" s="2" t="s">
        <v>3</v>
      </c>
      <c r="EC101" s="2" t="s">
        <v>3</v>
      </c>
      <c r="ED101" s="2"/>
      <c r="EE101" s="2">
        <v>55402612</v>
      </c>
      <c r="EF101" s="2">
        <v>2</v>
      </c>
      <c r="EG101" s="2" t="s">
        <v>25</v>
      </c>
      <c r="EH101" s="2">
        <v>12</v>
      </c>
      <c r="EI101" s="2" t="s">
        <v>115</v>
      </c>
      <c r="EJ101" s="2">
        <v>1</v>
      </c>
      <c r="EK101" s="2">
        <v>12001</v>
      </c>
      <c r="EL101" s="2" t="s">
        <v>115</v>
      </c>
      <c r="EM101" s="2" t="s">
        <v>116</v>
      </c>
      <c r="EN101" s="2"/>
      <c r="EO101" s="2" t="s">
        <v>3</v>
      </c>
      <c r="EP101" s="2"/>
      <c r="EQ101" s="2">
        <v>0</v>
      </c>
      <c r="ER101" s="2">
        <v>519.8</v>
      </c>
      <c r="ES101" s="2">
        <v>519.8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t="shared" si="91"/>
        <v>0</v>
      </c>
      <c r="FS101" s="2">
        <v>0</v>
      </c>
      <c r="FT101" s="2"/>
      <c r="FU101" s="2"/>
      <c r="FV101" s="2"/>
      <c r="FW101" s="2"/>
      <c r="FX101" s="2">
        <v>109</v>
      </c>
      <c r="FY101" s="2">
        <v>57</v>
      </c>
      <c r="FZ101" s="2"/>
      <c r="GA101" s="2" t="s">
        <v>3</v>
      </c>
      <c r="GB101" s="2"/>
      <c r="GC101" s="2"/>
      <c r="GD101" s="2">
        <v>1</v>
      </c>
      <c r="GE101" s="2"/>
      <c r="GF101" s="2">
        <v>-1924676840</v>
      </c>
      <c r="GG101" s="2">
        <v>2</v>
      </c>
      <c r="GH101" s="2">
        <v>1</v>
      </c>
      <c r="GI101" s="2">
        <v>-2</v>
      </c>
      <c r="GJ101" s="2">
        <v>0</v>
      </c>
      <c r="GK101" s="2">
        <v>0</v>
      </c>
      <c r="GL101" s="2">
        <f t="shared" si="92"/>
        <v>0</v>
      </c>
      <c r="GM101" s="2">
        <f t="shared" si="93"/>
        <v>-451.73</v>
      </c>
      <c r="GN101" s="2">
        <f t="shared" si="94"/>
        <v>-451.73</v>
      </c>
      <c r="GO101" s="2">
        <f t="shared" si="95"/>
        <v>0</v>
      </c>
      <c r="GP101" s="2">
        <f t="shared" si="96"/>
        <v>0</v>
      </c>
      <c r="GQ101" s="2"/>
      <c r="GR101" s="2">
        <v>0</v>
      </c>
      <c r="GS101" s="2">
        <v>3</v>
      </c>
      <c r="GT101" s="2">
        <v>0</v>
      </c>
      <c r="GU101" s="2" t="s">
        <v>3</v>
      </c>
      <c r="GV101" s="2">
        <f t="shared" si="97"/>
        <v>0</v>
      </c>
      <c r="GW101" s="2">
        <v>1</v>
      </c>
      <c r="GX101" s="2">
        <f t="shared" si="98"/>
        <v>0</v>
      </c>
      <c r="GY101" s="2"/>
      <c r="GZ101" s="2"/>
      <c r="HA101" s="2">
        <v>0</v>
      </c>
      <c r="HB101" s="2">
        <v>0</v>
      </c>
      <c r="HC101" s="2">
        <f t="shared" si="99"/>
        <v>0</v>
      </c>
      <c r="HD101" s="2"/>
      <c r="HE101" s="2" t="s">
        <v>3</v>
      </c>
      <c r="HF101" s="2" t="s">
        <v>3</v>
      </c>
      <c r="HG101" s="2"/>
      <c r="HH101" s="2"/>
      <c r="HI101" s="2">
        <f t="shared" si="100"/>
        <v>0</v>
      </c>
      <c r="HJ101" s="2">
        <f t="shared" si="101"/>
        <v>0</v>
      </c>
      <c r="HK101" s="2">
        <f t="shared" si="102"/>
        <v>0</v>
      </c>
      <c r="HL101" s="2">
        <f t="shared" si="103"/>
        <v>0</v>
      </c>
      <c r="HM101" s="2" t="s">
        <v>3</v>
      </c>
      <c r="HN101" s="2" t="s">
        <v>118</v>
      </c>
      <c r="HO101" s="2" t="s">
        <v>119</v>
      </c>
      <c r="HP101" s="2" t="s">
        <v>115</v>
      </c>
      <c r="HQ101" s="2" t="s">
        <v>115</v>
      </c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>
        <v>0</v>
      </c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45" ht="12.75">
      <c r="A102">
        <v>18</v>
      </c>
      <c r="B102">
        <v>1</v>
      </c>
      <c r="C102">
        <v>104</v>
      </c>
      <c r="E102" t="s">
        <v>168</v>
      </c>
      <c r="F102" t="s">
        <v>169</v>
      </c>
      <c r="G102" t="s">
        <v>170</v>
      </c>
      <c r="H102" t="s">
        <v>47</v>
      </c>
      <c r="I102">
        <f>I94*J102</f>
        <v>-0.86904</v>
      </c>
      <c r="J102">
        <v>-0.51</v>
      </c>
      <c r="K102">
        <v>-0.51</v>
      </c>
      <c r="O102">
        <f t="shared" si="66"/>
        <v>-451.73</v>
      </c>
      <c r="P102">
        <f t="shared" si="67"/>
        <v>-451.73</v>
      </c>
      <c r="Q102">
        <f t="shared" si="68"/>
        <v>0</v>
      </c>
      <c r="R102">
        <f t="shared" si="69"/>
        <v>0</v>
      </c>
      <c r="S102">
        <f t="shared" si="70"/>
        <v>0</v>
      </c>
      <c r="T102">
        <f t="shared" si="71"/>
        <v>0</v>
      </c>
      <c r="U102">
        <f t="shared" si="72"/>
        <v>0</v>
      </c>
      <c r="V102">
        <f t="shared" si="73"/>
        <v>0</v>
      </c>
      <c r="W102">
        <f t="shared" si="74"/>
        <v>0</v>
      </c>
      <c r="X102">
        <f t="shared" si="75"/>
        <v>0</v>
      </c>
      <c r="Y102">
        <f t="shared" si="76"/>
        <v>0</v>
      </c>
      <c r="AA102">
        <v>55457796</v>
      </c>
      <c r="AB102">
        <f t="shared" si="77"/>
        <v>519.8</v>
      </c>
      <c r="AC102">
        <f t="shared" si="104"/>
        <v>519.8</v>
      </c>
      <c r="AD102">
        <f t="shared" si="109"/>
        <v>0</v>
      </c>
      <c r="AE102">
        <f t="shared" si="110"/>
        <v>0</v>
      </c>
      <c r="AF102">
        <f t="shared" si="111"/>
        <v>0</v>
      </c>
      <c r="AG102">
        <f t="shared" si="78"/>
        <v>0</v>
      </c>
      <c r="AH102">
        <f t="shared" si="112"/>
        <v>0</v>
      </c>
      <c r="AI102">
        <f t="shared" si="113"/>
        <v>0</v>
      </c>
      <c r="AJ102">
        <f t="shared" si="79"/>
        <v>0</v>
      </c>
      <c r="AK102">
        <v>519.8</v>
      </c>
      <c r="AL102">
        <v>519.8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109</v>
      </c>
      <c r="AU102">
        <v>57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1</v>
      </c>
      <c r="BJ102" t="s">
        <v>171</v>
      </c>
      <c r="BM102">
        <v>12001</v>
      </c>
      <c r="BN102">
        <v>0</v>
      </c>
      <c r="BO102" t="s">
        <v>31</v>
      </c>
      <c r="BP102">
        <v>1</v>
      </c>
      <c r="BQ102">
        <v>2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109</v>
      </c>
      <c r="CA102">
        <v>57</v>
      </c>
      <c r="CE102">
        <v>0</v>
      </c>
      <c r="CF102">
        <v>0</v>
      </c>
      <c r="CG102">
        <v>0</v>
      </c>
      <c r="CM102">
        <v>0</v>
      </c>
      <c r="CO102">
        <v>0</v>
      </c>
      <c r="CP102">
        <f t="shared" si="80"/>
        <v>-451.73</v>
      </c>
      <c r="CQ102">
        <f t="shared" si="81"/>
        <v>519.8</v>
      </c>
      <c r="CR102">
        <f t="shared" si="82"/>
        <v>0</v>
      </c>
      <c r="CS102">
        <f t="shared" si="83"/>
        <v>0</v>
      </c>
      <c r="CT102">
        <f t="shared" si="84"/>
        <v>0</v>
      </c>
      <c r="CU102">
        <f t="shared" si="85"/>
        <v>0</v>
      </c>
      <c r="CV102">
        <f t="shared" si="86"/>
        <v>0</v>
      </c>
      <c r="CW102">
        <f t="shared" si="87"/>
        <v>0</v>
      </c>
      <c r="CX102">
        <f t="shared" si="88"/>
        <v>0</v>
      </c>
      <c r="CY102">
        <f t="shared" si="89"/>
        <v>0</v>
      </c>
      <c r="CZ102">
        <f t="shared" si="90"/>
        <v>0</v>
      </c>
      <c r="DN102">
        <v>0</v>
      </c>
      <c r="DO102">
        <v>0</v>
      </c>
      <c r="DP102">
        <v>1</v>
      </c>
      <c r="DQ102">
        <v>1</v>
      </c>
      <c r="DU102">
        <v>1007</v>
      </c>
      <c r="DV102" t="s">
        <v>47</v>
      </c>
      <c r="DW102" t="s">
        <v>47</v>
      </c>
      <c r="DX102">
        <v>1</v>
      </c>
      <c r="EE102">
        <v>55402612</v>
      </c>
      <c r="EF102">
        <v>2</v>
      </c>
      <c r="EG102" t="s">
        <v>25</v>
      </c>
      <c r="EH102">
        <v>12</v>
      </c>
      <c r="EI102" t="s">
        <v>115</v>
      </c>
      <c r="EJ102">
        <v>1</v>
      </c>
      <c r="EK102">
        <v>12001</v>
      </c>
      <c r="EL102" t="s">
        <v>115</v>
      </c>
      <c r="EM102" t="s">
        <v>116</v>
      </c>
      <c r="EQ102">
        <v>0</v>
      </c>
      <c r="ER102">
        <v>519.8</v>
      </c>
      <c r="ES102">
        <v>519.8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91"/>
        <v>0</v>
      </c>
      <c r="FS102">
        <v>0</v>
      </c>
      <c r="FX102">
        <v>109</v>
      </c>
      <c r="FY102">
        <v>57</v>
      </c>
      <c r="GD102">
        <v>1</v>
      </c>
      <c r="GF102">
        <v>-1924676840</v>
      </c>
      <c r="GG102">
        <v>2</v>
      </c>
      <c r="GH102">
        <v>1</v>
      </c>
      <c r="GI102">
        <v>4</v>
      </c>
      <c r="GJ102">
        <v>0</v>
      </c>
      <c r="GK102">
        <v>0</v>
      </c>
      <c r="GL102">
        <f t="shared" si="92"/>
        <v>0</v>
      </c>
      <c r="GM102">
        <f t="shared" si="93"/>
        <v>-451.73</v>
      </c>
      <c r="GN102">
        <f t="shared" si="94"/>
        <v>-451.73</v>
      </c>
      <c r="GO102">
        <f t="shared" si="95"/>
        <v>0</v>
      </c>
      <c r="GP102">
        <f t="shared" si="96"/>
        <v>0</v>
      </c>
      <c r="GR102">
        <v>0</v>
      </c>
      <c r="GS102">
        <v>0</v>
      </c>
      <c r="GT102">
        <v>0</v>
      </c>
      <c r="GV102">
        <f t="shared" si="97"/>
        <v>0</v>
      </c>
      <c r="GW102">
        <v>1</v>
      </c>
      <c r="GX102">
        <f t="shared" si="98"/>
        <v>0</v>
      </c>
      <c r="HA102">
        <v>0</v>
      </c>
      <c r="HB102">
        <v>0</v>
      </c>
      <c r="HC102">
        <f t="shared" si="99"/>
        <v>0</v>
      </c>
      <c r="HI102">
        <f t="shared" si="100"/>
        <v>0</v>
      </c>
      <c r="HJ102">
        <f t="shared" si="101"/>
        <v>0</v>
      </c>
      <c r="HK102">
        <f t="shared" si="102"/>
        <v>0</v>
      </c>
      <c r="HL102">
        <f t="shared" si="103"/>
        <v>0</v>
      </c>
      <c r="HN102" t="s">
        <v>118</v>
      </c>
      <c r="HO102" t="s">
        <v>119</v>
      </c>
      <c r="HP102" t="s">
        <v>115</v>
      </c>
      <c r="HQ102" t="s">
        <v>115</v>
      </c>
      <c r="IK102">
        <v>0</v>
      </c>
    </row>
    <row r="103" spans="1:255" ht="12.75">
      <c r="A103" s="2">
        <v>18</v>
      </c>
      <c r="B103" s="2">
        <v>1</v>
      </c>
      <c r="C103" s="2">
        <v>90</v>
      </c>
      <c r="D103" s="2"/>
      <c r="E103" s="2" t="s">
        <v>172</v>
      </c>
      <c r="F103" s="2" t="s">
        <v>173</v>
      </c>
      <c r="G103" s="2" t="s">
        <v>174</v>
      </c>
      <c r="H103" s="2" t="s">
        <v>123</v>
      </c>
      <c r="I103" s="2">
        <f>I93*J103</f>
        <v>-0.002709</v>
      </c>
      <c r="J103" s="2">
        <v>-0.0015897887323943663</v>
      </c>
      <c r="K103" s="2">
        <v>-0.00159</v>
      </c>
      <c r="L103" s="2"/>
      <c r="M103" s="2"/>
      <c r="N103" s="2"/>
      <c r="O103" s="2">
        <f t="shared" si="66"/>
        <v>-61.11</v>
      </c>
      <c r="P103" s="2">
        <f t="shared" si="67"/>
        <v>-61.11</v>
      </c>
      <c r="Q103" s="2">
        <f t="shared" si="68"/>
        <v>0</v>
      </c>
      <c r="R103" s="2">
        <f t="shared" si="69"/>
        <v>0</v>
      </c>
      <c r="S103" s="2">
        <f t="shared" si="70"/>
        <v>0</v>
      </c>
      <c r="T103" s="2">
        <f t="shared" si="71"/>
        <v>0</v>
      </c>
      <c r="U103" s="2">
        <f t="shared" si="72"/>
        <v>0</v>
      </c>
      <c r="V103" s="2">
        <f t="shared" si="73"/>
        <v>0</v>
      </c>
      <c r="W103" s="2">
        <f t="shared" si="74"/>
        <v>0</v>
      </c>
      <c r="X103" s="2">
        <f t="shared" si="75"/>
        <v>0</v>
      </c>
      <c r="Y103" s="2">
        <f t="shared" si="76"/>
        <v>0</v>
      </c>
      <c r="Z103" s="2"/>
      <c r="AA103" s="2">
        <v>55457795</v>
      </c>
      <c r="AB103" s="2">
        <f t="shared" si="77"/>
        <v>22558</v>
      </c>
      <c r="AC103" s="2">
        <f t="shared" si="104"/>
        <v>22558</v>
      </c>
      <c r="AD103" s="2">
        <f t="shared" si="109"/>
        <v>0</v>
      </c>
      <c r="AE103" s="2">
        <f t="shared" si="110"/>
        <v>0</v>
      </c>
      <c r="AF103" s="2">
        <f t="shared" si="111"/>
        <v>0</v>
      </c>
      <c r="AG103" s="2">
        <f t="shared" si="78"/>
        <v>0</v>
      </c>
      <c r="AH103" s="2">
        <f t="shared" si="112"/>
        <v>0</v>
      </c>
      <c r="AI103" s="2">
        <f t="shared" si="113"/>
        <v>0</v>
      </c>
      <c r="AJ103" s="2">
        <f t="shared" si="79"/>
        <v>0</v>
      </c>
      <c r="AK103" s="2">
        <v>22558</v>
      </c>
      <c r="AL103" s="2">
        <v>22558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109</v>
      </c>
      <c r="AU103" s="2">
        <v>57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3</v>
      </c>
      <c r="BI103" s="2">
        <v>1</v>
      </c>
      <c r="BJ103" s="2" t="s">
        <v>175</v>
      </c>
      <c r="BK103" s="2"/>
      <c r="BL103" s="2"/>
      <c r="BM103" s="2">
        <v>12001</v>
      </c>
      <c r="BN103" s="2">
        <v>0</v>
      </c>
      <c r="BO103" s="2" t="s">
        <v>3</v>
      </c>
      <c r="BP103" s="2">
        <v>0</v>
      </c>
      <c r="BQ103" s="2">
        <v>2</v>
      </c>
      <c r="BR103" s="2">
        <v>1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109</v>
      </c>
      <c r="CA103" s="2">
        <v>57</v>
      </c>
      <c r="CB103" s="2" t="s">
        <v>3</v>
      </c>
      <c r="CC103" s="2"/>
      <c r="CD103" s="2"/>
      <c r="CE103" s="2">
        <v>0</v>
      </c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 t="shared" si="80"/>
        <v>-61.11</v>
      </c>
      <c r="CQ103" s="2">
        <f t="shared" si="81"/>
        <v>22558</v>
      </c>
      <c r="CR103" s="2">
        <f t="shared" si="82"/>
        <v>0</v>
      </c>
      <c r="CS103" s="2">
        <f t="shared" si="83"/>
        <v>0</v>
      </c>
      <c r="CT103" s="2">
        <f t="shared" si="84"/>
        <v>0</v>
      </c>
      <c r="CU103" s="2">
        <f t="shared" si="85"/>
        <v>0</v>
      </c>
      <c r="CV103" s="2">
        <f t="shared" si="86"/>
        <v>0</v>
      </c>
      <c r="CW103" s="2">
        <f t="shared" si="87"/>
        <v>0</v>
      </c>
      <c r="CX103" s="2">
        <f t="shared" si="88"/>
        <v>0</v>
      </c>
      <c r="CY103" s="2">
        <f t="shared" si="89"/>
        <v>0</v>
      </c>
      <c r="CZ103" s="2">
        <f t="shared" si="90"/>
        <v>0</v>
      </c>
      <c r="DA103" s="2"/>
      <c r="DB103" s="2"/>
      <c r="DC103" s="2" t="s">
        <v>3</v>
      </c>
      <c r="DD103" s="2" t="s">
        <v>3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1009</v>
      </c>
      <c r="DV103" s="2" t="s">
        <v>123</v>
      </c>
      <c r="DW103" s="2" t="s">
        <v>123</v>
      </c>
      <c r="DX103" s="2">
        <v>1000</v>
      </c>
      <c r="DY103" s="2"/>
      <c r="DZ103" s="2" t="s">
        <v>3</v>
      </c>
      <c r="EA103" s="2" t="s">
        <v>3</v>
      </c>
      <c r="EB103" s="2" t="s">
        <v>3</v>
      </c>
      <c r="EC103" s="2" t="s">
        <v>3</v>
      </c>
      <c r="ED103" s="2"/>
      <c r="EE103" s="2">
        <v>55402612</v>
      </c>
      <c r="EF103" s="2">
        <v>2</v>
      </c>
      <c r="EG103" s="2" t="s">
        <v>25</v>
      </c>
      <c r="EH103" s="2">
        <v>12</v>
      </c>
      <c r="EI103" s="2" t="s">
        <v>115</v>
      </c>
      <c r="EJ103" s="2">
        <v>1</v>
      </c>
      <c r="EK103" s="2">
        <v>12001</v>
      </c>
      <c r="EL103" s="2" t="s">
        <v>115</v>
      </c>
      <c r="EM103" s="2" t="s">
        <v>116</v>
      </c>
      <c r="EN103" s="2"/>
      <c r="EO103" s="2" t="s">
        <v>3</v>
      </c>
      <c r="EP103" s="2"/>
      <c r="EQ103" s="2">
        <v>0</v>
      </c>
      <c r="ER103" s="2">
        <v>22558</v>
      </c>
      <c r="ES103" s="2">
        <v>22558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t="shared" si="91"/>
        <v>0</v>
      </c>
      <c r="FS103" s="2">
        <v>0</v>
      </c>
      <c r="FT103" s="2"/>
      <c r="FU103" s="2"/>
      <c r="FV103" s="2"/>
      <c r="FW103" s="2"/>
      <c r="FX103" s="2">
        <v>109</v>
      </c>
      <c r="FY103" s="2">
        <v>57</v>
      </c>
      <c r="FZ103" s="2"/>
      <c r="GA103" s="2" t="s">
        <v>3</v>
      </c>
      <c r="GB103" s="2"/>
      <c r="GC103" s="2"/>
      <c r="GD103" s="2">
        <v>1</v>
      </c>
      <c r="GE103" s="2"/>
      <c r="GF103" s="2">
        <v>1646829026</v>
      </c>
      <c r="GG103" s="2">
        <v>2</v>
      </c>
      <c r="GH103" s="2">
        <v>1</v>
      </c>
      <c r="GI103" s="2">
        <v>-2</v>
      </c>
      <c r="GJ103" s="2">
        <v>0</v>
      </c>
      <c r="GK103" s="2">
        <v>0</v>
      </c>
      <c r="GL103" s="2">
        <f t="shared" si="92"/>
        <v>0</v>
      </c>
      <c r="GM103" s="2">
        <f t="shared" si="93"/>
        <v>-61.11</v>
      </c>
      <c r="GN103" s="2">
        <f t="shared" si="94"/>
        <v>-61.11</v>
      </c>
      <c r="GO103" s="2">
        <f t="shared" si="95"/>
        <v>0</v>
      </c>
      <c r="GP103" s="2">
        <f t="shared" si="96"/>
        <v>0</v>
      </c>
      <c r="GQ103" s="2"/>
      <c r="GR103" s="2">
        <v>0</v>
      </c>
      <c r="GS103" s="2">
        <v>3</v>
      </c>
      <c r="GT103" s="2">
        <v>0</v>
      </c>
      <c r="GU103" s="2" t="s">
        <v>3</v>
      </c>
      <c r="GV103" s="2">
        <f t="shared" si="97"/>
        <v>0</v>
      </c>
      <c r="GW103" s="2">
        <v>1</v>
      </c>
      <c r="GX103" s="2">
        <f t="shared" si="98"/>
        <v>0</v>
      </c>
      <c r="GY103" s="2"/>
      <c r="GZ103" s="2"/>
      <c r="HA103" s="2">
        <v>0</v>
      </c>
      <c r="HB103" s="2">
        <v>0</v>
      </c>
      <c r="HC103" s="2">
        <f t="shared" si="99"/>
        <v>0</v>
      </c>
      <c r="HD103" s="2"/>
      <c r="HE103" s="2" t="s">
        <v>3</v>
      </c>
      <c r="HF103" s="2" t="s">
        <v>3</v>
      </c>
      <c r="HG103" s="2"/>
      <c r="HH103" s="2"/>
      <c r="HI103" s="2">
        <f t="shared" si="100"/>
        <v>0</v>
      </c>
      <c r="HJ103" s="2">
        <f t="shared" si="101"/>
        <v>0</v>
      </c>
      <c r="HK103" s="2">
        <f t="shared" si="102"/>
        <v>0</v>
      </c>
      <c r="HL103" s="2">
        <f t="shared" si="103"/>
        <v>0</v>
      </c>
      <c r="HM103" s="2" t="s">
        <v>3</v>
      </c>
      <c r="HN103" s="2" t="s">
        <v>118</v>
      </c>
      <c r="HO103" s="2" t="s">
        <v>119</v>
      </c>
      <c r="HP103" s="2" t="s">
        <v>115</v>
      </c>
      <c r="HQ103" s="2" t="s">
        <v>115</v>
      </c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>
        <v>0</v>
      </c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45" ht="12.75">
      <c r="A104">
        <v>18</v>
      </c>
      <c r="B104">
        <v>1</v>
      </c>
      <c r="C104">
        <v>103</v>
      </c>
      <c r="E104" t="s">
        <v>172</v>
      </c>
      <c r="F104" t="s">
        <v>173</v>
      </c>
      <c r="G104" t="s">
        <v>174</v>
      </c>
      <c r="H104" t="s">
        <v>123</v>
      </c>
      <c r="I104">
        <f>I94*J104</f>
        <v>-0.002709</v>
      </c>
      <c r="J104">
        <v>-0.0015897887323943663</v>
      </c>
      <c r="K104">
        <v>-0.00159</v>
      </c>
      <c r="O104">
        <f t="shared" si="66"/>
        <v>-61.11</v>
      </c>
      <c r="P104">
        <f t="shared" si="67"/>
        <v>-61.11</v>
      </c>
      <c r="Q104">
        <f t="shared" si="68"/>
        <v>0</v>
      </c>
      <c r="R104">
        <f t="shared" si="69"/>
        <v>0</v>
      </c>
      <c r="S104">
        <f t="shared" si="70"/>
        <v>0</v>
      </c>
      <c r="T104">
        <f t="shared" si="71"/>
        <v>0</v>
      </c>
      <c r="U104">
        <f t="shared" si="72"/>
        <v>0</v>
      </c>
      <c r="V104">
        <f t="shared" si="73"/>
        <v>0</v>
      </c>
      <c r="W104">
        <f t="shared" si="74"/>
        <v>0</v>
      </c>
      <c r="X104">
        <f t="shared" si="75"/>
        <v>0</v>
      </c>
      <c r="Y104">
        <f t="shared" si="76"/>
        <v>0</v>
      </c>
      <c r="AA104">
        <v>55457796</v>
      </c>
      <c r="AB104">
        <f t="shared" si="77"/>
        <v>22558</v>
      </c>
      <c r="AC104">
        <f t="shared" si="104"/>
        <v>22558</v>
      </c>
      <c r="AD104">
        <f t="shared" si="109"/>
        <v>0</v>
      </c>
      <c r="AE104">
        <f t="shared" si="110"/>
        <v>0</v>
      </c>
      <c r="AF104">
        <f t="shared" si="111"/>
        <v>0</v>
      </c>
      <c r="AG104">
        <f t="shared" si="78"/>
        <v>0</v>
      </c>
      <c r="AH104">
        <f t="shared" si="112"/>
        <v>0</v>
      </c>
      <c r="AI104">
        <f t="shared" si="113"/>
        <v>0</v>
      </c>
      <c r="AJ104">
        <f t="shared" si="79"/>
        <v>0</v>
      </c>
      <c r="AK104">
        <v>22558</v>
      </c>
      <c r="AL104">
        <v>22558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109</v>
      </c>
      <c r="AU104">
        <v>57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1</v>
      </c>
      <c r="BH104">
        <v>3</v>
      </c>
      <c r="BI104">
        <v>1</v>
      </c>
      <c r="BJ104" t="s">
        <v>175</v>
      </c>
      <c r="BM104">
        <v>12001</v>
      </c>
      <c r="BN104">
        <v>0</v>
      </c>
      <c r="BO104" t="s">
        <v>31</v>
      </c>
      <c r="BP104">
        <v>1</v>
      </c>
      <c r="BQ104">
        <v>2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109</v>
      </c>
      <c r="CA104">
        <v>57</v>
      </c>
      <c r="CE104">
        <v>0</v>
      </c>
      <c r="CF104">
        <v>0</v>
      </c>
      <c r="CG104">
        <v>0</v>
      </c>
      <c r="CM104">
        <v>0</v>
      </c>
      <c r="CO104">
        <v>0</v>
      </c>
      <c r="CP104">
        <f t="shared" si="80"/>
        <v>-61.11</v>
      </c>
      <c r="CQ104">
        <f t="shared" si="81"/>
        <v>22558</v>
      </c>
      <c r="CR104">
        <f t="shared" si="82"/>
        <v>0</v>
      </c>
      <c r="CS104">
        <f t="shared" si="83"/>
        <v>0</v>
      </c>
      <c r="CT104">
        <f t="shared" si="84"/>
        <v>0</v>
      </c>
      <c r="CU104">
        <f t="shared" si="85"/>
        <v>0</v>
      </c>
      <c r="CV104">
        <f t="shared" si="86"/>
        <v>0</v>
      </c>
      <c r="CW104">
        <f t="shared" si="87"/>
        <v>0</v>
      </c>
      <c r="CX104">
        <f t="shared" si="88"/>
        <v>0</v>
      </c>
      <c r="CY104">
        <f t="shared" si="89"/>
        <v>0</v>
      </c>
      <c r="CZ104">
        <f t="shared" si="90"/>
        <v>0</v>
      </c>
      <c r="DN104">
        <v>0</v>
      </c>
      <c r="DO104">
        <v>0</v>
      </c>
      <c r="DP104">
        <v>1</v>
      </c>
      <c r="DQ104">
        <v>1</v>
      </c>
      <c r="DU104">
        <v>1009</v>
      </c>
      <c r="DV104" t="s">
        <v>123</v>
      </c>
      <c r="DW104" t="s">
        <v>123</v>
      </c>
      <c r="DX104">
        <v>1000</v>
      </c>
      <c r="EE104">
        <v>55402612</v>
      </c>
      <c r="EF104">
        <v>2</v>
      </c>
      <c r="EG104" t="s">
        <v>25</v>
      </c>
      <c r="EH104">
        <v>12</v>
      </c>
      <c r="EI104" t="s">
        <v>115</v>
      </c>
      <c r="EJ104">
        <v>1</v>
      </c>
      <c r="EK104">
        <v>12001</v>
      </c>
      <c r="EL104" t="s">
        <v>115</v>
      </c>
      <c r="EM104" t="s">
        <v>116</v>
      </c>
      <c r="EQ104">
        <v>0</v>
      </c>
      <c r="ER104">
        <v>22558</v>
      </c>
      <c r="ES104">
        <v>22558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91"/>
        <v>0</v>
      </c>
      <c r="FS104">
        <v>0</v>
      </c>
      <c r="FX104">
        <v>109</v>
      </c>
      <c r="FY104">
        <v>57</v>
      </c>
      <c r="GD104">
        <v>1</v>
      </c>
      <c r="GF104">
        <v>1646829026</v>
      </c>
      <c r="GG104">
        <v>2</v>
      </c>
      <c r="GH104">
        <v>1</v>
      </c>
      <c r="GI104">
        <v>4</v>
      </c>
      <c r="GJ104">
        <v>0</v>
      </c>
      <c r="GK104">
        <v>0</v>
      </c>
      <c r="GL104">
        <f t="shared" si="92"/>
        <v>0</v>
      </c>
      <c r="GM104">
        <f t="shared" si="93"/>
        <v>-61.11</v>
      </c>
      <c r="GN104">
        <f t="shared" si="94"/>
        <v>-61.11</v>
      </c>
      <c r="GO104">
        <f t="shared" si="95"/>
        <v>0</v>
      </c>
      <c r="GP104">
        <f t="shared" si="96"/>
        <v>0</v>
      </c>
      <c r="GR104">
        <v>0</v>
      </c>
      <c r="GS104">
        <v>0</v>
      </c>
      <c r="GT104">
        <v>0</v>
      </c>
      <c r="GV104">
        <f t="shared" si="97"/>
        <v>0</v>
      </c>
      <c r="GW104">
        <v>1</v>
      </c>
      <c r="GX104">
        <f t="shared" si="98"/>
        <v>0</v>
      </c>
      <c r="HA104">
        <v>0</v>
      </c>
      <c r="HB104">
        <v>0</v>
      </c>
      <c r="HC104">
        <f t="shared" si="99"/>
        <v>0</v>
      </c>
      <c r="HI104">
        <f t="shared" si="100"/>
        <v>0</v>
      </c>
      <c r="HJ104">
        <f t="shared" si="101"/>
        <v>0</v>
      </c>
      <c r="HK104">
        <f t="shared" si="102"/>
        <v>0</v>
      </c>
      <c r="HL104">
        <f t="shared" si="103"/>
        <v>0</v>
      </c>
      <c r="HN104" t="s">
        <v>118</v>
      </c>
      <c r="HO104" t="s">
        <v>119</v>
      </c>
      <c r="HP104" t="s">
        <v>115</v>
      </c>
      <c r="HQ104" t="s">
        <v>115</v>
      </c>
      <c r="IK104">
        <v>0</v>
      </c>
    </row>
    <row r="105" spans="1:255" ht="12.75">
      <c r="A105" s="2">
        <v>18</v>
      </c>
      <c r="B105" s="2">
        <v>1</v>
      </c>
      <c r="C105" s="2">
        <v>89</v>
      </c>
      <c r="D105" s="2"/>
      <c r="E105" s="2" t="s">
        <v>176</v>
      </c>
      <c r="F105" s="2" t="s">
        <v>177</v>
      </c>
      <c r="G105" s="2" t="s">
        <v>178</v>
      </c>
      <c r="H105" s="2" t="s">
        <v>179</v>
      </c>
      <c r="I105" s="2">
        <f>I93*J105</f>
        <v>-0.318648</v>
      </c>
      <c r="J105" s="2">
        <v>-0.187</v>
      </c>
      <c r="K105" s="2">
        <v>-0.187</v>
      </c>
      <c r="L105" s="2"/>
      <c r="M105" s="2"/>
      <c r="N105" s="2"/>
      <c r="O105" s="2">
        <f t="shared" si="66"/>
        <v>-80.87</v>
      </c>
      <c r="P105" s="2">
        <f t="shared" si="67"/>
        <v>-80.87</v>
      </c>
      <c r="Q105" s="2">
        <f t="shared" si="68"/>
        <v>0</v>
      </c>
      <c r="R105" s="2">
        <f t="shared" si="69"/>
        <v>0</v>
      </c>
      <c r="S105" s="2">
        <f t="shared" si="70"/>
        <v>0</v>
      </c>
      <c r="T105" s="2">
        <f t="shared" si="71"/>
        <v>0</v>
      </c>
      <c r="U105" s="2">
        <f t="shared" si="72"/>
        <v>0</v>
      </c>
      <c r="V105" s="2">
        <f t="shared" si="73"/>
        <v>0</v>
      </c>
      <c r="W105" s="2">
        <f t="shared" si="74"/>
        <v>0</v>
      </c>
      <c r="X105" s="2">
        <f t="shared" si="75"/>
        <v>0</v>
      </c>
      <c r="Y105" s="2">
        <f t="shared" si="76"/>
        <v>0</v>
      </c>
      <c r="Z105" s="2"/>
      <c r="AA105" s="2">
        <v>55457795</v>
      </c>
      <c r="AB105" s="2">
        <f t="shared" si="77"/>
        <v>253.8</v>
      </c>
      <c r="AC105" s="2">
        <f t="shared" si="104"/>
        <v>253.8</v>
      </c>
      <c r="AD105" s="2">
        <f t="shared" si="109"/>
        <v>0</v>
      </c>
      <c r="AE105" s="2">
        <f t="shared" si="110"/>
        <v>0</v>
      </c>
      <c r="AF105" s="2">
        <f t="shared" si="111"/>
        <v>0</v>
      </c>
      <c r="AG105" s="2">
        <f t="shared" si="78"/>
        <v>0</v>
      </c>
      <c r="AH105" s="2">
        <f t="shared" si="112"/>
        <v>0</v>
      </c>
      <c r="AI105" s="2">
        <f t="shared" si="113"/>
        <v>0</v>
      </c>
      <c r="AJ105" s="2">
        <f t="shared" si="79"/>
        <v>0</v>
      </c>
      <c r="AK105" s="2">
        <v>253.8</v>
      </c>
      <c r="AL105" s="2">
        <v>253.8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109</v>
      </c>
      <c r="AU105" s="2">
        <v>57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3</v>
      </c>
      <c r="BI105" s="2">
        <v>1</v>
      </c>
      <c r="BJ105" s="2" t="s">
        <v>180</v>
      </c>
      <c r="BK105" s="2"/>
      <c r="BL105" s="2"/>
      <c r="BM105" s="2">
        <v>12001</v>
      </c>
      <c r="BN105" s="2">
        <v>0</v>
      </c>
      <c r="BO105" s="2" t="s">
        <v>3</v>
      </c>
      <c r="BP105" s="2">
        <v>0</v>
      </c>
      <c r="BQ105" s="2">
        <v>2</v>
      </c>
      <c r="BR105" s="2">
        <v>1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109</v>
      </c>
      <c r="CA105" s="2">
        <v>57</v>
      </c>
      <c r="CB105" s="2" t="s">
        <v>3</v>
      </c>
      <c r="CC105" s="2"/>
      <c r="CD105" s="2"/>
      <c r="CE105" s="2">
        <v>0</v>
      </c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3</v>
      </c>
      <c r="CO105" s="2">
        <v>0</v>
      </c>
      <c r="CP105" s="2">
        <f t="shared" si="80"/>
        <v>-80.87</v>
      </c>
      <c r="CQ105" s="2">
        <f t="shared" si="81"/>
        <v>253.8</v>
      </c>
      <c r="CR105" s="2">
        <f t="shared" si="82"/>
        <v>0</v>
      </c>
      <c r="CS105" s="2">
        <f t="shared" si="83"/>
        <v>0</v>
      </c>
      <c r="CT105" s="2">
        <f t="shared" si="84"/>
        <v>0</v>
      </c>
      <c r="CU105" s="2">
        <f t="shared" si="85"/>
        <v>0</v>
      </c>
      <c r="CV105" s="2">
        <f t="shared" si="86"/>
        <v>0</v>
      </c>
      <c r="CW105" s="2">
        <f t="shared" si="87"/>
        <v>0</v>
      </c>
      <c r="CX105" s="2">
        <f t="shared" si="88"/>
        <v>0</v>
      </c>
      <c r="CY105" s="2">
        <f t="shared" si="89"/>
        <v>0</v>
      </c>
      <c r="CZ105" s="2">
        <f t="shared" si="90"/>
        <v>0</v>
      </c>
      <c r="DA105" s="2"/>
      <c r="DB105" s="2"/>
      <c r="DC105" s="2" t="s">
        <v>3</v>
      </c>
      <c r="DD105" s="2" t="s">
        <v>3</v>
      </c>
      <c r="DE105" s="2" t="s">
        <v>3</v>
      </c>
      <c r="DF105" s="2" t="s">
        <v>3</v>
      </c>
      <c r="DG105" s="2" t="s">
        <v>3</v>
      </c>
      <c r="DH105" s="2" t="s">
        <v>3</v>
      </c>
      <c r="DI105" s="2" t="s">
        <v>3</v>
      </c>
      <c r="DJ105" s="2" t="s">
        <v>3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1013</v>
      </c>
      <c r="DV105" s="2" t="s">
        <v>179</v>
      </c>
      <c r="DW105" s="2" t="s">
        <v>179</v>
      </c>
      <c r="DX105" s="2">
        <v>1</v>
      </c>
      <c r="DY105" s="2"/>
      <c r="DZ105" s="2" t="s">
        <v>3</v>
      </c>
      <c r="EA105" s="2" t="s">
        <v>3</v>
      </c>
      <c r="EB105" s="2" t="s">
        <v>3</v>
      </c>
      <c r="EC105" s="2" t="s">
        <v>3</v>
      </c>
      <c r="ED105" s="2"/>
      <c r="EE105" s="2">
        <v>55402612</v>
      </c>
      <c r="EF105" s="2">
        <v>2</v>
      </c>
      <c r="EG105" s="2" t="s">
        <v>25</v>
      </c>
      <c r="EH105" s="2">
        <v>12</v>
      </c>
      <c r="EI105" s="2" t="s">
        <v>115</v>
      </c>
      <c r="EJ105" s="2">
        <v>1</v>
      </c>
      <c r="EK105" s="2">
        <v>12001</v>
      </c>
      <c r="EL105" s="2" t="s">
        <v>115</v>
      </c>
      <c r="EM105" s="2" t="s">
        <v>116</v>
      </c>
      <c r="EN105" s="2"/>
      <c r="EO105" s="2" t="s">
        <v>3</v>
      </c>
      <c r="EP105" s="2"/>
      <c r="EQ105" s="2">
        <v>0</v>
      </c>
      <c r="ER105" s="2">
        <v>253.8</v>
      </c>
      <c r="ES105" s="2">
        <v>253.8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91"/>
        <v>0</v>
      </c>
      <c r="FS105" s="2">
        <v>0</v>
      </c>
      <c r="FT105" s="2"/>
      <c r="FU105" s="2"/>
      <c r="FV105" s="2"/>
      <c r="FW105" s="2"/>
      <c r="FX105" s="2">
        <v>109</v>
      </c>
      <c r="FY105" s="2">
        <v>57</v>
      </c>
      <c r="FZ105" s="2"/>
      <c r="GA105" s="2" t="s">
        <v>3</v>
      </c>
      <c r="GB105" s="2"/>
      <c r="GC105" s="2"/>
      <c r="GD105" s="2">
        <v>1</v>
      </c>
      <c r="GE105" s="2"/>
      <c r="GF105" s="2">
        <v>1208638123</v>
      </c>
      <c r="GG105" s="2">
        <v>2</v>
      </c>
      <c r="GH105" s="2">
        <v>1</v>
      </c>
      <c r="GI105" s="2">
        <v>-2</v>
      </c>
      <c r="GJ105" s="2">
        <v>0</v>
      </c>
      <c r="GK105" s="2">
        <v>0</v>
      </c>
      <c r="GL105" s="2">
        <f t="shared" si="92"/>
        <v>0</v>
      </c>
      <c r="GM105" s="2">
        <f t="shared" si="93"/>
        <v>-80.87</v>
      </c>
      <c r="GN105" s="2">
        <f t="shared" si="94"/>
        <v>-80.87</v>
      </c>
      <c r="GO105" s="2">
        <f t="shared" si="95"/>
        <v>0</v>
      </c>
      <c r="GP105" s="2">
        <f t="shared" si="96"/>
        <v>0</v>
      </c>
      <c r="GQ105" s="2"/>
      <c r="GR105" s="2">
        <v>0</v>
      </c>
      <c r="GS105" s="2">
        <v>3</v>
      </c>
      <c r="GT105" s="2">
        <v>0</v>
      </c>
      <c r="GU105" s="2" t="s">
        <v>3</v>
      </c>
      <c r="GV105" s="2">
        <f t="shared" si="97"/>
        <v>0</v>
      </c>
      <c r="GW105" s="2">
        <v>1</v>
      </c>
      <c r="GX105" s="2">
        <f t="shared" si="98"/>
        <v>0</v>
      </c>
      <c r="GY105" s="2"/>
      <c r="GZ105" s="2"/>
      <c r="HA105" s="2">
        <v>0</v>
      </c>
      <c r="HB105" s="2">
        <v>0</v>
      </c>
      <c r="HC105" s="2">
        <f t="shared" si="99"/>
        <v>0</v>
      </c>
      <c r="HD105" s="2"/>
      <c r="HE105" s="2" t="s">
        <v>3</v>
      </c>
      <c r="HF105" s="2" t="s">
        <v>3</v>
      </c>
      <c r="HG105" s="2"/>
      <c r="HH105" s="2"/>
      <c r="HI105" s="2">
        <f t="shared" si="100"/>
        <v>0</v>
      </c>
      <c r="HJ105" s="2">
        <f t="shared" si="101"/>
        <v>0</v>
      </c>
      <c r="HK105" s="2">
        <f t="shared" si="102"/>
        <v>0</v>
      </c>
      <c r="HL105" s="2">
        <f t="shared" si="103"/>
        <v>0</v>
      </c>
      <c r="HM105" s="2" t="s">
        <v>3</v>
      </c>
      <c r="HN105" s="2" t="s">
        <v>118</v>
      </c>
      <c r="HO105" s="2" t="s">
        <v>119</v>
      </c>
      <c r="HP105" s="2" t="s">
        <v>115</v>
      </c>
      <c r="HQ105" s="2" t="s">
        <v>115</v>
      </c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>
        <v>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45" ht="12.75">
      <c r="A106">
        <v>18</v>
      </c>
      <c r="B106">
        <v>1</v>
      </c>
      <c r="C106">
        <v>102</v>
      </c>
      <c r="E106" t="s">
        <v>176</v>
      </c>
      <c r="F106" t="s">
        <v>177</v>
      </c>
      <c r="G106" t="s">
        <v>178</v>
      </c>
      <c r="H106" t="s">
        <v>179</v>
      </c>
      <c r="I106">
        <f>I94*J106</f>
        <v>-0.318648</v>
      </c>
      <c r="J106">
        <v>-0.187</v>
      </c>
      <c r="K106">
        <v>-0.187</v>
      </c>
      <c r="O106">
        <f t="shared" si="66"/>
        <v>-80.87</v>
      </c>
      <c r="P106">
        <f t="shared" si="67"/>
        <v>-80.87</v>
      </c>
      <c r="Q106">
        <f t="shared" si="68"/>
        <v>0</v>
      </c>
      <c r="R106">
        <f t="shared" si="69"/>
        <v>0</v>
      </c>
      <c r="S106">
        <f t="shared" si="70"/>
        <v>0</v>
      </c>
      <c r="T106">
        <f t="shared" si="71"/>
        <v>0</v>
      </c>
      <c r="U106">
        <f t="shared" si="72"/>
        <v>0</v>
      </c>
      <c r="V106">
        <f t="shared" si="73"/>
        <v>0</v>
      </c>
      <c r="W106">
        <f t="shared" si="74"/>
        <v>0</v>
      </c>
      <c r="X106">
        <f t="shared" si="75"/>
        <v>0</v>
      </c>
      <c r="Y106">
        <f t="shared" si="76"/>
        <v>0</v>
      </c>
      <c r="AA106">
        <v>55457796</v>
      </c>
      <c r="AB106">
        <f t="shared" si="77"/>
        <v>253.8</v>
      </c>
      <c r="AC106">
        <f t="shared" si="104"/>
        <v>253.8</v>
      </c>
      <c r="AD106">
        <f t="shared" si="109"/>
        <v>0</v>
      </c>
      <c r="AE106">
        <f t="shared" si="110"/>
        <v>0</v>
      </c>
      <c r="AF106">
        <f t="shared" si="111"/>
        <v>0</v>
      </c>
      <c r="AG106">
        <f t="shared" si="78"/>
        <v>0</v>
      </c>
      <c r="AH106">
        <f t="shared" si="112"/>
        <v>0</v>
      </c>
      <c r="AI106">
        <f t="shared" si="113"/>
        <v>0</v>
      </c>
      <c r="AJ106">
        <f t="shared" si="79"/>
        <v>0</v>
      </c>
      <c r="AK106">
        <v>253.8</v>
      </c>
      <c r="AL106">
        <v>253.8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109</v>
      </c>
      <c r="AU106">
        <v>57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1</v>
      </c>
      <c r="BH106">
        <v>3</v>
      </c>
      <c r="BI106">
        <v>1</v>
      </c>
      <c r="BJ106" t="s">
        <v>180</v>
      </c>
      <c r="BM106">
        <v>12001</v>
      </c>
      <c r="BN106">
        <v>0</v>
      </c>
      <c r="BO106" t="s">
        <v>31</v>
      </c>
      <c r="BP106">
        <v>1</v>
      </c>
      <c r="BQ106">
        <v>2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109</v>
      </c>
      <c r="CA106">
        <v>57</v>
      </c>
      <c r="CE106">
        <v>0</v>
      </c>
      <c r="CF106">
        <v>0</v>
      </c>
      <c r="CG106">
        <v>0</v>
      </c>
      <c r="CM106">
        <v>0</v>
      </c>
      <c r="CO106">
        <v>0</v>
      </c>
      <c r="CP106">
        <f t="shared" si="80"/>
        <v>-80.87</v>
      </c>
      <c r="CQ106">
        <f t="shared" si="81"/>
        <v>253.8</v>
      </c>
      <c r="CR106">
        <f t="shared" si="82"/>
        <v>0</v>
      </c>
      <c r="CS106">
        <f t="shared" si="83"/>
        <v>0</v>
      </c>
      <c r="CT106">
        <f t="shared" si="84"/>
        <v>0</v>
      </c>
      <c r="CU106">
        <f t="shared" si="85"/>
        <v>0</v>
      </c>
      <c r="CV106">
        <f t="shared" si="86"/>
        <v>0</v>
      </c>
      <c r="CW106">
        <f t="shared" si="87"/>
        <v>0</v>
      </c>
      <c r="CX106">
        <f t="shared" si="88"/>
        <v>0</v>
      </c>
      <c r="CY106">
        <f t="shared" si="89"/>
        <v>0</v>
      </c>
      <c r="CZ106">
        <f t="shared" si="90"/>
        <v>0</v>
      </c>
      <c r="DN106">
        <v>0</v>
      </c>
      <c r="DO106">
        <v>0</v>
      </c>
      <c r="DP106">
        <v>1</v>
      </c>
      <c r="DQ106">
        <v>1</v>
      </c>
      <c r="DU106">
        <v>1013</v>
      </c>
      <c r="DV106" t="s">
        <v>179</v>
      </c>
      <c r="DW106" t="s">
        <v>179</v>
      </c>
      <c r="DX106">
        <v>1</v>
      </c>
      <c r="EE106">
        <v>55402612</v>
      </c>
      <c r="EF106">
        <v>2</v>
      </c>
      <c r="EG106" t="s">
        <v>25</v>
      </c>
      <c r="EH106">
        <v>12</v>
      </c>
      <c r="EI106" t="s">
        <v>115</v>
      </c>
      <c r="EJ106">
        <v>1</v>
      </c>
      <c r="EK106">
        <v>12001</v>
      </c>
      <c r="EL106" t="s">
        <v>115</v>
      </c>
      <c r="EM106" t="s">
        <v>116</v>
      </c>
      <c r="EQ106">
        <v>0</v>
      </c>
      <c r="ER106">
        <v>253.8</v>
      </c>
      <c r="ES106">
        <v>253.8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91"/>
        <v>0</v>
      </c>
      <c r="FS106">
        <v>0</v>
      </c>
      <c r="FX106">
        <v>109</v>
      </c>
      <c r="FY106">
        <v>57</v>
      </c>
      <c r="GD106">
        <v>1</v>
      </c>
      <c r="GF106">
        <v>1208638123</v>
      </c>
      <c r="GG106">
        <v>2</v>
      </c>
      <c r="GH106">
        <v>1</v>
      </c>
      <c r="GI106">
        <v>4</v>
      </c>
      <c r="GJ106">
        <v>0</v>
      </c>
      <c r="GK106">
        <v>0</v>
      </c>
      <c r="GL106">
        <f t="shared" si="92"/>
        <v>0</v>
      </c>
      <c r="GM106">
        <f t="shared" si="93"/>
        <v>-80.87</v>
      </c>
      <c r="GN106">
        <f t="shared" si="94"/>
        <v>-80.87</v>
      </c>
      <c r="GO106">
        <f t="shared" si="95"/>
        <v>0</v>
      </c>
      <c r="GP106">
        <f t="shared" si="96"/>
        <v>0</v>
      </c>
      <c r="GR106">
        <v>0</v>
      </c>
      <c r="GS106">
        <v>0</v>
      </c>
      <c r="GT106">
        <v>0</v>
      </c>
      <c r="GV106">
        <f t="shared" si="97"/>
        <v>0</v>
      </c>
      <c r="GW106">
        <v>1</v>
      </c>
      <c r="GX106">
        <f t="shared" si="98"/>
        <v>0</v>
      </c>
      <c r="HA106">
        <v>0</v>
      </c>
      <c r="HB106">
        <v>0</v>
      </c>
      <c r="HC106">
        <f t="shared" si="99"/>
        <v>0</v>
      </c>
      <c r="HI106">
        <f t="shared" si="100"/>
        <v>0</v>
      </c>
      <c r="HJ106">
        <f t="shared" si="101"/>
        <v>0</v>
      </c>
      <c r="HK106">
        <f t="shared" si="102"/>
        <v>0</v>
      </c>
      <c r="HL106">
        <f t="shared" si="103"/>
        <v>0</v>
      </c>
      <c r="HN106" t="s">
        <v>118</v>
      </c>
      <c r="HO106" t="s">
        <v>119</v>
      </c>
      <c r="HP106" t="s">
        <v>115</v>
      </c>
      <c r="HQ106" t="s">
        <v>115</v>
      </c>
      <c r="IK106">
        <v>0</v>
      </c>
    </row>
    <row r="107" spans="1:255" ht="12.75">
      <c r="A107" s="2">
        <v>17</v>
      </c>
      <c r="B107" s="2">
        <v>1</v>
      </c>
      <c r="C107" s="2">
        <f>ROW(SmtRes!A113)</f>
        <v>113</v>
      </c>
      <c r="D107" s="2">
        <f>ROW(EtalonRes!A113)</f>
        <v>113</v>
      </c>
      <c r="E107" s="2" t="s">
        <v>181</v>
      </c>
      <c r="F107" s="2" t="s">
        <v>182</v>
      </c>
      <c r="G107" s="2" t="s">
        <v>183</v>
      </c>
      <c r="H107" s="2" t="s">
        <v>157</v>
      </c>
      <c r="I107" s="2">
        <f>ROUND(50/100,7)</f>
        <v>0.5</v>
      </c>
      <c r="J107" s="2">
        <v>0</v>
      </c>
      <c r="K107" s="2">
        <f>ROUND(50/100,7)</f>
        <v>0.5</v>
      </c>
      <c r="L107" s="2"/>
      <c r="M107" s="2"/>
      <c r="N107" s="2"/>
      <c r="O107" s="2">
        <f t="shared" si="66"/>
        <v>65.47</v>
      </c>
      <c r="P107" s="2">
        <f t="shared" si="67"/>
        <v>0</v>
      </c>
      <c r="Q107" s="2">
        <f t="shared" si="68"/>
        <v>49.69</v>
      </c>
      <c r="R107" s="2">
        <f t="shared" si="69"/>
        <v>2.03</v>
      </c>
      <c r="S107" s="2">
        <f t="shared" si="70"/>
        <v>15.78</v>
      </c>
      <c r="T107" s="2">
        <f t="shared" si="71"/>
        <v>0</v>
      </c>
      <c r="U107" s="2">
        <f t="shared" si="72"/>
        <v>1.64</v>
      </c>
      <c r="V107" s="2">
        <f t="shared" si="73"/>
        <v>0.175</v>
      </c>
      <c r="W107" s="2">
        <f t="shared" si="74"/>
        <v>0</v>
      </c>
      <c r="X107" s="2">
        <f t="shared" si="75"/>
        <v>18.34</v>
      </c>
      <c r="Y107" s="2">
        <f t="shared" si="76"/>
        <v>10.51</v>
      </c>
      <c r="Z107" s="2"/>
      <c r="AA107" s="2">
        <v>55457795</v>
      </c>
      <c r="AB107" s="2">
        <f t="shared" si="77"/>
        <v>130.93</v>
      </c>
      <c r="AC107" s="2">
        <f t="shared" si="104"/>
        <v>0</v>
      </c>
      <c r="AD107" s="2">
        <f t="shared" si="109"/>
        <v>99.38</v>
      </c>
      <c r="AE107" s="2">
        <f t="shared" si="110"/>
        <v>4.06</v>
      </c>
      <c r="AF107" s="2">
        <f t="shared" si="111"/>
        <v>31.55</v>
      </c>
      <c r="AG107" s="2">
        <f t="shared" si="78"/>
        <v>0</v>
      </c>
      <c r="AH107" s="2">
        <f t="shared" si="112"/>
        <v>3.28</v>
      </c>
      <c r="AI107" s="2">
        <f t="shared" si="113"/>
        <v>0.35</v>
      </c>
      <c r="AJ107" s="2">
        <f t="shared" si="79"/>
        <v>0</v>
      </c>
      <c r="AK107" s="2">
        <v>130.93</v>
      </c>
      <c r="AL107" s="2">
        <v>0</v>
      </c>
      <c r="AM107" s="2">
        <v>99.38</v>
      </c>
      <c r="AN107" s="2">
        <v>4.06</v>
      </c>
      <c r="AO107" s="2">
        <v>31.55</v>
      </c>
      <c r="AP107" s="2">
        <v>0</v>
      </c>
      <c r="AQ107" s="2">
        <v>3.28</v>
      </c>
      <c r="AR107" s="2">
        <v>0.35</v>
      </c>
      <c r="AS107" s="2">
        <v>0</v>
      </c>
      <c r="AT107" s="2">
        <v>103</v>
      </c>
      <c r="AU107" s="2">
        <v>59</v>
      </c>
      <c r="AV107" s="2">
        <v>1</v>
      </c>
      <c r="AW107" s="2">
        <v>1</v>
      </c>
      <c r="AX107" s="2"/>
      <c r="AY107" s="2"/>
      <c r="AZ107" s="2">
        <v>1</v>
      </c>
      <c r="BA107" s="2">
        <v>1</v>
      </c>
      <c r="BB107" s="2">
        <v>1</v>
      </c>
      <c r="BC107" s="2">
        <v>1</v>
      </c>
      <c r="BD107" s="2" t="s">
        <v>3</v>
      </c>
      <c r="BE107" s="2" t="s">
        <v>3</v>
      </c>
      <c r="BF107" s="2" t="s">
        <v>3</v>
      </c>
      <c r="BG107" s="2" t="s">
        <v>3</v>
      </c>
      <c r="BH107" s="2">
        <v>0</v>
      </c>
      <c r="BI107" s="2">
        <v>1</v>
      </c>
      <c r="BJ107" s="2" t="s">
        <v>184</v>
      </c>
      <c r="BK107" s="2"/>
      <c r="BL107" s="2"/>
      <c r="BM107" s="2">
        <v>46001</v>
      </c>
      <c r="BN107" s="2">
        <v>0</v>
      </c>
      <c r="BO107" s="2" t="s">
        <v>3</v>
      </c>
      <c r="BP107" s="2">
        <v>0</v>
      </c>
      <c r="BQ107" s="2">
        <v>2</v>
      </c>
      <c r="BR107" s="2">
        <v>0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 t="s">
        <v>3</v>
      </c>
      <c r="BZ107" s="2">
        <v>103</v>
      </c>
      <c r="CA107" s="2">
        <v>59</v>
      </c>
      <c r="CB107" s="2" t="s">
        <v>3</v>
      </c>
      <c r="CC107" s="2"/>
      <c r="CD107" s="2"/>
      <c r="CE107" s="2">
        <v>0</v>
      </c>
      <c r="CF107" s="2">
        <v>0</v>
      </c>
      <c r="CG107" s="2">
        <v>0</v>
      </c>
      <c r="CH107" s="2"/>
      <c r="CI107" s="2"/>
      <c r="CJ107" s="2"/>
      <c r="CK107" s="2"/>
      <c r="CL107" s="2"/>
      <c r="CM107" s="2">
        <v>0</v>
      </c>
      <c r="CN107" s="2" t="s">
        <v>3</v>
      </c>
      <c r="CO107" s="2">
        <v>0</v>
      </c>
      <c r="CP107" s="2">
        <f t="shared" si="80"/>
        <v>65.47</v>
      </c>
      <c r="CQ107" s="2">
        <f t="shared" si="81"/>
        <v>0</v>
      </c>
      <c r="CR107" s="2">
        <f t="shared" si="82"/>
        <v>99.38</v>
      </c>
      <c r="CS107" s="2">
        <f t="shared" si="83"/>
        <v>4.06</v>
      </c>
      <c r="CT107" s="2">
        <f t="shared" si="84"/>
        <v>31.55</v>
      </c>
      <c r="CU107" s="2">
        <f t="shared" si="85"/>
        <v>0</v>
      </c>
      <c r="CV107" s="2">
        <f t="shared" si="86"/>
        <v>3.28</v>
      </c>
      <c r="CW107" s="2">
        <f t="shared" si="87"/>
        <v>0.35</v>
      </c>
      <c r="CX107" s="2">
        <f t="shared" si="88"/>
        <v>0</v>
      </c>
      <c r="CY107" s="2">
        <f t="shared" si="89"/>
        <v>18.344299999999997</v>
      </c>
      <c r="CZ107" s="2">
        <f t="shared" si="90"/>
        <v>10.5079</v>
      </c>
      <c r="DA107" s="2"/>
      <c r="DB107" s="2"/>
      <c r="DC107" s="2" t="s">
        <v>3</v>
      </c>
      <c r="DD107" s="2" t="s">
        <v>3</v>
      </c>
      <c r="DE107" s="2" t="s">
        <v>3</v>
      </c>
      <c r="DF107" s="2" t="s">
        <v>3</v>
      </c>
      <c r="DG107" s="2" t="s">
        <v>3</v>
      </c>
      <c r="DH107" s="2" t="s">
        <v>3</v>
      </c>
      <c r="DI107" s="2" t="s">
        <v>3</v>
      </c>
      <c r="DJ107" s="2" t="s">
        <v>3</v>
      </c>
      <c r="DK107" s="2" t="s">
        <v>3</v>
      </c>
      <c r="DL107" s="2" t="s">
        <v>3</v>
      </c>
      <c r="DM107" s="2" t="s">
        <v>3</v>
      </c>
      <c r="DN107" s="2">
        <v>0</v>
      </c>
      <c r="DO107" s="2">
        <v>0</v>
      </c>
      <c r="DP107" s="2">
        <v>1</v>
      </c>
      <c r="DQ107" s="2">
        <v>1</v>
      </c>
      <c r="DR107" s="2"/>
      <c r="DS107" s="2"/>
      <c r="DT107" s="2"/>
      <c r="DU107" s="2">
        <v>1003</v>
      </c>
      <c r="DV107" s="2" t="s">
        <v>157</v>
      </c>
      <c r="DW107" s="2" t="s">
        <v>157</v>
      </c>
      <c r="DX107" s="2">
        <v>100</v>
      </c>
      <c r="DY107" s="2"/>
      <c r="DZ107" s="2" t="s">
        <v>3</v>
      </c>
      <c r="EA107" s="2" t="s">
        <v>3</v>
      </c>
      <c r="EB107" s="2" t="s">
        <v>3</v>
      </c>
      <c r="EC107" s="2" t="s">
        <v>3</v>
      </c>
      <c r="ED107" s="2"/>
      <c r="EE107" s="2">
        <v>55402677</v>
      </c>
      <c r="EF107" s="2">
        <v>2</v>
      </c>
      <c r="EG107" s="2" t="s">
        <v>25</v>
      </c>
      <c r="EH107" s="2">
        <v>40</v>
      </c>
      <c r="EI107" s="2" t="s">
        <v>26</v>
      </c>
      <c r="EJ107" s="2">
        <v>1</v>
      </c>
      <c r="EK107" s="2">
        <v>46001</v>
      </c>
      <c r="EL107" s="2" t="s">
        <v>27</v>
      </c>
      <c r="EM107" s="2" t="s">
        <v>28</v>
      </c>
      <c r="EN107" s="2"/>
      <c r="EO107" s="2" t="s">
        <v>3</v>
      </c>
      <c r="EP107" s="2"/>
      <c r="EQ107" s="2">
        <v>0</v>
      </c>
      <c r="ER107" s="2">
        <v>130.93</v>
      </c>
      <c r="ES107" s="2">
        <v>0</v>
      </c>
      <c r="ET107" s="2">
        <v>99.38</v>
      </c>
      <c r="EU107" s="2">
        <v>4.06</v>
      </c>
      <c r="EV107" s="2">
        <v>31.55</v>
      </c>
      <c r="EW107" s="2">
        <v>3.28</v>
      </c>
      <c r="EX107" s="2">
        <v>0.35</v>
      </c>
      <c r="EY107" s="2">
        <v>0</v>
      </c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>
        <v>0</v>
      </c>
      <c r="FR107" s="2">
        <f t="shared" si="91"/>
        <v>0</v>
      </c>
      <c r="FS107" s="2">
        <v>0</v>
      </c>
      <c r="FT107" s="2"/>
      <c r="FU107" s="2"/>
      <c r="FV107" s="2"/>
      <c r="FW107" s="2"/>
      <c r="FX107" s="2">
        <v>103</v>
      </c>
      <c r="FY107" s="2">
        <v>59</v>
      </c>
      <c r="FZ107" s="2"/>
      <c r="GA107" s="2" t="s">
        <v>3</v>
      </c>
      <c r="GB107" s="2"/>
      <c r="GC107" s="2"/>
      <c r="GD107" s="2">
        <v>1</v>
      </c>
      <c r="GE107" s="2"/>
      <c r="GF107" s="2">
        <v>296052952</v>
      </c>
      <c r="GG107" s="2">
        <v>2</v>
      </c>
      <c r="GH107" s="2">
        <v>1</v>
      </c>
      <c r="GI107" s="2">
        <v>-2</v>
      </c>
      <c r="GJ107" s="2">
        <v>0</v>
      </c>
      <c r="GK107" s="2">
        <v>0</v>
      </c>
      <c r="GL107" s="2">
        <f t="shared" si="92"/>
        <v>0</v>
      </c>
      <c r="GM107" s="2">
        <f t="shared" si="93"/>
        <v>94.32</v>
      </c>
      <c r="GN107" s="2">
        <f t="shared" si="94"/>
        <v>94.32</v>
      </c>
      <c r="GO107" s="2">
        <f t="shared" si="95"/>
        <v>0</v>
      </c>
      <c r="GP107" s="2">
        <f t="shared" si="96"/>
        <v>0</v>
      </c>
      <c r="GQ107" s="2"/>
      <c r="GR107" s="2">
        <v>0</v>
      </c>
      <c r="GS107" s="2">
        <v>3</v>
      </c>
      <c r="GT107" s="2">
        <v>0</v>
      </c>
      <c r="GU107" s="2" t="s">
        <v>3</v>
      </c>
      <c r="GV107" s="2">
        <f t="shared" si="97"/>
        <v>0</v>
      </c>
      <c r="GW107" s="2">
        <v>1</v>
      </c>
      <c r="GX107" s="2">
        <f t="shared" si="98"/>
        <v>0</v>
      </c>
      <c r="GY107" s="2"/>
      <c r="GZ107" s="2"/>
      <c r="HA107" s="2">
        <v>0</v>
      </c>
      <c r="HB107" s="2">
        <v>0</v>
      </c>
      <c r="HC107" s="2">
        <f t="shared" si="99"/>
        <v>0</v>
      </c>
      <c r="HD107" s="2"/>
      <c r="HE107" s="2" t="s">
        <v>3</v>
      </c>
      <c r="HF107" s="2" t="s">
        <v>3</v>
      </c>
      <c r="HG107" s="2"/>
      <c r="HH107" s="2"/>
      <c r="HI107" s="2">
        <f t="shared" si="100"/>
        <v>2.03</v>
      </c>
      <c r="HJ107" s="2">
        <f t="shared" si="101"/>
        <v>15.78</v>
      </c>
      <c r="HK107" s="2">
        <f t="shared" si="102"/>
        <v>18.34</v>
      </c>
      <c r="HL107" s="2">
        <f t="shared" si="103"/>
        <v>10.51</v>
      </c>
      <c r="HM107" s="2" t="s">
        <v>3</v>
      </c>
      <c r="HN107" s="2" t="s">
        <v>29</v>
      </c>
      <c r="HO107" s="2" t="s">
        <v>30</v>
      </c>
      <c r="HP107" s="2" t="s">
        <v>27</v>
      </c>
      <c r="HQ107" s="2" t="s">
        <v>27</v>
      </c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>
        <v>0</v>
      </c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45" ht="12.75">
      <c r="A108">
        <v>17</v>
      </c>
      <c r="B108">
        <v>1</v>
      </c>
      <c r="C108">
        <f>ROW(SmtRes!A118)</f>
        <v>118</v>
      </c>
      <c r="D108">
        <f>ROW(EtalonRes!A118)</f>
        <v>118</v>
      </c>
      <c r="E108" t="s">
        <v>181</v>
      </c>
      <c r="F108" t="s">
        <v>182</v>
      </c>
      <c r="G108" t="s">
        <v>183</v>
      </c>
      <c r="H108" t="s">
        <v>157</v>
      </c>
      <c r="I108">
        <f>ROUND(50/100,7)</f>
        <v>0.5</v>
      </c>
      <c r="J108">
        <v>0</v>
      </c>
      <c r="K108">
        <f>ROUND(50/100,7)</f>
        <v>0.5</v>
      </c>
      <c r="O108">
        <f t="shared" si="66"/>
        <v>65.47</v>
      </c>
      <c r="P108">
        <f t="shared" si="67"/>
        <v>0</v>
      </c>
      <c r="Q108">
        <f t="shared" si="68"/>
        <v>49.69</v>
      </c>
      <c r="R108">
        <f t="shared" si="69"/>
        <v>2.03</v>
      </c>
      <c r="S108">
        <f t="shared" si="70"/>
        <v>15.78</v>
      </c>
      <c r="T108">
        <f t="shared" si="71"/>
        <v>0</v>
      </c>
      <c r="U108">
        <f t="shared" si="72"/>
        <v>1.64</v>
      </c>
      <c r="V108">
        <f t="shared" si="73"/>
        <v>0.175</v>
      </c>
      <c r="W108">
        <f t="shared" si="74"/>
        <v>0</v>
      </c>
      <c r="X108">
        <f t="shared" si="75"/>
        <v>18.34</v>
      </c>
      <c r="Y108">
        <f t="shared" si="76"/>
        <v>10.51</v>
      </c>
      <c r="AA108">
        <v>55457796</v>
      </c>
      <c r="AB108">
        <f t="shared" si="77"/>
        <v>130.93</v>
      </c>
      <c r="AC108">
        <f t="shared" si="104"/>
        <v>0</v>
      </c>
      <c r="AD108">
        <f t="shared" si="109"/>
        <v>99.38</v>
      </c>
      <c r="AE108">
        <f t="shared" si="110"/>
        <v>4.06</v>
      </c>
      <c r="AF108">
        <f t="shared" si="111"/>
        <v>31.55</v>
      </c>
      <c r="AG108">
        <f t="shared" si="78"/>
        <v>0</v>
      </c>
      <c r="AH108">
        <f t="shared" si="112"/>
        <v>3.28</v>
      </c>
      <c r="AI108">
        <f t="shared" si="113"/>
        <v>0.35</v>
      </c>
      <c r="AJ108">
        <f t="shared" si="79"/>
        <v>0</v>
      </c>
      <c r="AK108">
        <v>130.93</v>
      </c>
      <c r="AL108">
        <v>0</v>
      </c>
      <c r="AM108">
        <v>99.38</v>
      </c>
      <c r="AN108">
        <v>4.06</v>
      </c>
      <c r="AO108">
        <v>31.55</v>
      </c>
      <c r="AP108">
        <v>0</v>
      </c>
      <c r="AQ108">
        <v>3.28</v>
      </c>
      <c r="AR108">
        <v>0.35</v>
      </c>
      <c r="AS108">
        <v>0</v>
      </c>
      <c r="AT108">
        <v>103</v>
      </c>
      <c r="AU108">
        <v>59</v>
      </c>
      <c r="AV108">
        <v>1</v>
      </c>
      <c r="AW108">
        <v>1</v>
      </c>
      <c r="AZ108">
        <v>1</v>
      </c>
      <c r="BA108">
        <v>36.47</v>
      </c>
      <c r="BB108">
        <v>1</v>
      </c>
      <c r="BC108">
        <v>1</v>
      </c>
      <c r="BH108">
        <v>0</v>
      </c>
      <c r="BI108">
        <v>1</v>
      </c>
      <c r="BJ108" t="s">
        <v>184</v>
      </c>
      <c r="BM108">
        <v>46001</v>
      </c>
      <c r="BN108">
        <v>0</v>
      </c>
      <c r="BO108" t="s">
        <v>31</v>
      </c>
      <c r="BP108">
        <v>1</v>
      </c>
      <c r="BQ108">
        <v>2</v>
      </c>
      <c r="BR108">
        <v>0</v>
      </c>
      <c r="BS108">
        <v>36.47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103</v>
      </c>
      <c r="CA108">
        <v>59</v>
      </c>
      <c r="CE108">
        <v>0</v>
      </c>
      <c r="CF108">
        <v>0</v>
      </c>
      <c r="CG108">
        <v>0</v>
      </c>
      <c r="CM108">
        <v>0</v>
      </c>
      <c r="CO108">
        <v>0</v>
      </c>
      <c r="CP108">
        <f t="shared" si="80"/>
        <v>65.47</v>
      </c>
      <c r="CQ108">
        <f t="shared" si="81"/>
        <v>0</v>
      </c>
      <c r="CR108">
        <f t="shared" si="82"/>
        <v>99.38</v>
      </c>
      <c r="CS108">
        <f t="shared" si="83"/>
        <v>4.06</v>
      </c>
      <c r="CT108">
        <f t="shared" si="84"/>
        <v>31.55</v>
      </c>
      <c r="CU108">
        <f t="shared" si="85"/>
        <v>0</v>
      </c>
      <c r="CV108">
        <f t="shared" si="86"/>
        <v>3.28</v>
      </c>
      <c r="CW108">
        <f t="shared" si="87"/>
        <v>0.35</v>
      </c>
      <c r="CX108">
        <f t="shared" si="88"/>
        <v>0</v>
      </c>
      <c r="CY108">
        <f t="shared" si="89"/>
        <v>18.344299999999997</v>
      </c>
      <c r="CZ108">
        <f t="shared" si="90"/>
        <v>10.5079</v>
      </c>
      <c r="DN108">
        <v>0</v>
      </c>
      <c r="DO108">
        <v>0</v>
      </c>
      <c r="DP108">
        <v>1</v>
      </c>
      <c r="DQ108">
        <v>1</v>
      </c>
      <c r="DU108">
        <v>1003</v>
      </c>
      <c r="DV108" t="s">
        <v>157</v>
      </c>
      <c r="DW108" t="s">
        <v>157</v>
      </c>
      <c r="DX108">
        <v>100</v>
      </c>
      <c r="EE108">
        <v>55402677</v>
      </c>
      <c r="EF108">
        <v>2</v>
      </c>
      <c r="EG108" t="s">
        <v>25</v>
      </c>
      <c r="EH108">
        <v>40</v>
      </c>
      <c r="EI108" t="s">
        <v>26</v>
      </c>
      <c r="EJ108">
        <v>1</v>
      </c>
      <c r="EK108">
        <v>46001</v>
      </c>
      <c r="EL108" t="s">
        <v>27</v>
      </c>
      <c r="EM108" t="s">
        <v>28</v>
      </c>
      <c r="EQ108">
        <v>0</v>
      </c>
      <c r="ER108">
        <v>130.93</v>
      </c>
      <c r="ES108">
        <v>0</v>
      </c>
      <c r="ET108">
        <v>99.38</v>
      </c>
      <c r="EU108">
        <v>4.06</v>
      </c>
      <c r="EV108">
        <v>31.55</v>
      </c>
      <c r="EW108">
        <v>3.28</v>
      </c>
      <c r="EX108">
        <v>0.35</v>
      </c>
      <c r="EY108">
        <v>0</v>
      </c>
      <c r="FQ108">
        <v>0</v>
      </c>
      <c r="FR108">
        <f t="shared" si="91"/>
        <v>0</v>
      </c>
      <c r="FS108">
        <v>0</v>
      </c>
      <c r="FX108">
        <v>103</v>
      </c>
      <c r="FY108">
        <v>59</v>
      </c>
      <c r="GD108">
        <v>1</v>
      </c>
      <c r="GF108">
        <v>296052952</v>
      </c>
      <c r="GG108">
        <v>2</v>
      </c>
      <c r="GH108">
        <v>1</v>
      </c>
      <c r="GI108">
        <v>4</v>
      </c>
      <c r="GJ108">
        <v>0</v>
      </c>
      <c r="GK108">
        <v>0</v>
      </c>
      <c r="GL108">
        <f t="shared" si="92"/>
        <v>0</v>
      </c>
      <c r="GM108">
        <f t="shared" si="93"/>
        <v>94.32</v>
      </c>
      <c r="GN108">
        <f t="shared" si="94"/>
        <v>94.32</v>
      </c>
      <c r="GO108">
        <f t="shared" si="95"/>
        <v>0</v>
      </c>
      <c r="GP108">
        <f t="shared" si="96"/>
        <v>0</v>
      </c>
      <c r="GR108">
        <v>0</v>
      </c>
      <c r="GS108">
        <v>3</v>
      </c>
      <c r="GT108">
        <v>0</v>
      </c>
      <c r="GV108">
        <f t="shared" si="97"/>
        <v>0</v>
      </c>
      <c r="GW108">
        <v>1</v>
      </c>
      <c r="GX108">
        <f t="shared" si="98"/>
        <v>0</v>
      </c>
      <c r="HA108">
        <v>0</v>
      </c>
      <c r="HB108">
        <v>0</v>
      </c>
      <c r="HC108">
        <f t="shared" si="99"/>
        <v>0</v>
      </c>
      <c r="HI108">
        <f t="shared" si="100"/>
        <v>74.03</v>
      </c>
      <c r="HJ108">
        <f t="shared" si="101"/>
        <v>575.5</v>
      </c>
      <c r="HK108">
        <f t="shared" si="102"/>
        <v>669.02</v>
      </c>
      <c r="HL108">
        <f t="shared" si="103"/>
        <v>383.22</v>
      </c>
      <c r="HN108" t="s">
        <v>29</v>
      </c>
      <c r="HO108" t="s">
        <v>30</v>
      </c>
      <c r="HP108" t="s">
        <v>27</v>
      </c>
      <c r="HQ108" t="s">
        <v>27</v>
      </c>
      <c r="IK108">
        <v>0</v>
      </c>
    </row>
    <row r="109" spans="1:255" ht="12.75">
      <c r="A109" s="2">
        <v>18</v>
      </c>
      <c r="B109" s="2">
        <v>1</v>
      </c>
      <c r="C109" s="2">
        <v>113</v>
      </c>
      <c r="D109" s="2"/>
      <c r="E109" s="2" t="s">
        <v>185</v>
      </c>
      <c r="F109" s="2" t="s">
        <v>186</v>
      </c>
      <c r="G109" s="2" t="s">
        <v>187</v>
      </c>
      <c r="H109" s="2" t="s">
        <v>188</v>
      </c>
      <c r="I109" s="2">
        <f>I107*J109</f>
        <v>9.75</v>
      </c>
      <c r="J109" s="2">
        <v>19.5</v>
      </c>
      <c r="K109" s="2">
        <v>19.5</v>
      </c>
      <c r="L109" s="2"/>
      <c r="M109" s="2"/>
      <c r="N109" s="2"/>
      <c r="O109" s="2">
        <f t="shared" si="66"/>
        <v>303.03</v>
      </c>
      <c r="P109" s="2">
        <f t="shared" si="67"/>
        <v>303.03</v>
      </c>
      <c r="Q109" s="2">
        <f t="shared" si="68"/>
        <v>0</v>
      </c>
      <c r="R109" s="2">
        <f t="shared" si="69"/>
        <v>0</v>
      </c>
      <c r="S109" s="2">
        <f t="shared" si="70"/>
        <v>0</v>
      </c>
      <c r="T109" s="2">
        <f t="shared" si="71"/>
        <v>0</v>
      </c>
      <c r="U109" s="2">
        <f t="shared" si="72"/>
        <v>0</v>
      </c>
      <c r="V109" s="2">
        <f t="shared" si="73"/>
        <v>0</v>
      </c>
      <c r="W109" s="2">
        <f t="shared" si="74"/>
        <v>0</v>
      </c>
      <c r="X109" s="2">
        <f t="shared" si="75"/>
        <v>0</v>
      </c>
      <c r="Y109" s="2">
        <f t="shared" si="76"/>
        <v>0</v>
      </c>
      <c r="Z109" s="2"/>
      <c r="AA109" s="2">
        <v>55457795</v>
      </c>
      <c r="AB109" s="2">
        <f t="shared" si="77"/>
        <v>31.08</v>
      </c>
      <c r="AC109" s="2">
        <f t="shared" si="104"/>
        <v>31.08</v>
      </c>
      <c r="AD109" s="2">
        <f t="shared" si="109"/>
        <v>0</v>
      </c>
      <c r="AE109" s="2">
        <f t="shared" si="110"/>
        <v>0</v>
      </c>
      <c r="AF109" s="2">
        <f t="shared" si="111"/>
        <v>0</v>
      </c>
      <c r="AG109" s="2">
        <f t="shared" si="78"/>
        <v>0</v>
      </c>
      <c r="AH109" s="2">
        <f t="shared" si="112"/>
        <v>0</v>
      </c>
      <c r="AI109" s="2">
        <f t="shared" si="113"/>
        <v>0</v>
      </c>
      <c r="AJ109" s="2">
        <f t="shared" si="79"/>
        <v>0</v>
      </c>
      <c r="AK109" s="2">
        <v>31.08</v>
      </c>
      <c r="AL109" s="2">
        <v>31.08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110</v>
      </c>
      <c r="AU109" s="2">
        <v>73</v>
      </c>
      <c r="AV109" s="2">
        <v>1</v>
      </c>
      <c r="AW109" s="2">
        <v>1</v>
      </c>
      <c r="AX109" s="2"/>
      <c r="AY109" s="2"/>
      <c r="AZ109" s="2">
        <v>1</v>
      </c>
      <c r="BA109" s="2">
        <v>1</v>
      </c>
      <c r="BB109" s="2">
        <v>1</v>
      </c>
      <c r="BC109" s="2">
        <v>1</v>
      </c>
      <c r="BD109" s="2" t="s">
        <v>3</v>
      </c>
      <c r="BE109" s="2" t="s">
        <v>3</v>
      </c>
      <c r="BF109" s="2" t="s">
        <v>3</v>
      </c>
      <c r="BG109" s="2" t="s">
        <v>3</v>
      </c>
      <c r="BH109" s="2">
        <v>3</v>
      </c>
      <c r="BI109" s="2">
        <v>1</v>
      </c>
      <c r="BJ109" s="2" t="s">
        <v>189</v>
      </c>
      <c r="BK109" s="2"/>
      <c r="BL109" s="2"/>
      <c r="BM109" s="2">
        <v>7001</v>
      </c>
      <c r="BN109" s="2">
        <v>0</v>
      </c>
      <c r="BO109" s="2" t="s">
        <v>3</v>
      </c>
      <c r="BP109" s="2">
        <v>0</v>
      </c>
      <c r="BQ109" s="2">
        <v>2</v>
      </c>
      <c r="BR109" s="2">
        <v>0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 t="s">
        <v>3</v>
      </c>
      <c r="BZ109" s="2">
        <v>110</v>
      </c>
      <c r="CA109" s="2">
        <v>73</v>
      </c>
      <c r="CB109" s="2" t="s">
        <v>3</v>
      </c>
      <c r="CC109" s="2"/>
      <c r="CD109" s="2"/>
      <c r="CE109" s="2">
        <v>0</v>
      </c>
      <c r="CF109" s="2">
        <v>0</v>
      </c>
      <c r="CG109" s="2">
        <v>0</v>
      </c>
      <c r="CH109" s="2"/>
      <c r="CI109" s="2"/>
      <c r="CJ109" s="2"/>
      <c r="CK109" s="2"/>
      <c r="CL109" s="2"/>
      <c r="CM109" s="2">
        <v>0</v>
      </c>
      <c r="CN109" s="2" t="s">
        <v>3</v>
      </c>
      <c r="CO109" s="2">
        <v>0</v>
      </c>
      <c r="CP109" s="2">
        <f t="shared" si="80"/>
        <v>303.03</v>
      </c>
      <c r="CQ109" s="2">
        <f t="shared" si="81"/>
        <v>31.08</v>
      </c>
      <c r="CR109" s="2">
        <f t="shared" si="82"/>
        <v>0</v>
      </c>
      <c r="CS109" s="2">
        <f t="shared" si="83"/>
        <v>0</v>
      </c>
      <c r="CT109" s="2">
        <f t="shared" si="84"/>
        <v>0</v>
      </c>
      <c r="CU109" s="2">
        <f t="shared" si="85"/>
        <v>0</v>
      </c>
      <c r="CV109" s="2">
        <f t="shared" si="86"/>
        <v>0</v>
      </c>
      <c r="CW109" s="2">
        <f t="shared" si="87"/>
        <v>0</v>
      </c>
      <c r="CX109" s="2">
        <f t="shared" si="88"/>
        <v>0</v>
      </c>
      <c r="CY109" s="2">
        <f t="shared" si="89"/>
        <v>0</v>
      </c>
      <c r="CZ109" s="2">
        <f t="shared" si="90"/>
        <v>0</v>
      </c>
      <c r="DA109" s="2"/>
      <c r="DB109" s="2"/>
      <c r="DC109" s="2" t="s">
        <v>3</v>
      </c>
      <c r="DD109" s="2" t="s">
        <v>3</v>
      </c>
      <c r="DE109" s="2" t="s">
        <v>3</v>
      </c>
      <c r="DF109" s="2" t="s">
        <v>3</v>
      </c>
      <c r="DG109" s="2" t="s">
        <v>3</v>
      </c>
      <c r="DH109" s="2" t="s">
        <v>3</v>
      </c>
      <c r="DI109" s="2" t="s">
        <v>3</v>
      </c>
      <c r="DJ109" s="2" t="s">
        <v>3</v>
      </c>
      <c r="DK109" s="2" t="s">
        <v>3</v>
      </c>
      <c r="DL109" s="2" t="s">
        <v>3</v>
      </c>
      <c r="DM109" s="2" t="s">
        <v>3</v>
      </c>
      <c r="DN109" s="2">
        <v>0</v>
      </c>
      <c r="DO109" s="2">
        <v>0</v>
      </c>
      <c r="DP109" s="2">
        <v>1</v>
      </c>
      <c r="DQ109" s="2">
        <v>1</v>
      </c>
      <c r="DR109" s="2"/>
      <c r="DS109" s="2"/>
      <c r="DT109" s="2"/>
      <c r="DU109" s="2">
        <v>1009</v>
      </c>
      <c r="DV109" s="2" t="s">
        <v>188</v>
      </c>
      <c r="DW109" s="2" t="s">
        <v>188</v>
      </c>
      <c r="DX109" s="2">
        <v>1</v>
      </c>
      <c r="DY109" s="2"/>
      <c r="DZ109" s="2" t="s">
        <v>3</v>
      </c>
      <c r="EA109" s="2" t="s">
        <v>3</v>
      </c>
      <c r="EB109" s="2" t="s">
        <v>3</v>
      </c>
      <c r="EC109" s="2" t="s">
        <v>3</v>
      </c>
      <c r="ED109" s="2"/>
      <c r="EE109" s="2">
        <v>55402600</v>
      </c>
      <c r="EF109" s="2">
        <v>2</v>
      </c>
      <c r="EG109" s="2" t="s">
        <v>25</v>
      </c>
      <c r="EH109" s="2">
        <v>7</v>
      </c>
      <c r="EI109" s="2" t="s">
        <v>190</v>
      </c>
      <c r="EJ109" s="2">
        <v>1</v>
      </c>
      <c r="EK109" s="2">
        <v>7001</v>
      </c>
      <c r="EL109" s="2" t="s">
        <v>190</v>
      </c>
      <c r="EM109" s="2" t="s">
        <v>191</v>
      </c>
      <c r="EN109" s="2"/>
      <c r="EO109" s="2" t="s">
        <v>3</v>
      </c>
      <c r="EP109" s="2"/>
      <c r="EQ109" s="2">
        <v>0</v>
      </c>
      <c r="ER109" s="2">
        <v>31.08</v>
      </c>
      <c r="ES109" s="2">
        <v>31.08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>
        <v>0</v>
      </c>
      <c r="FR109" s="2">
        <f t="shared" si="91"/>
        <v>0</v>
      </c>
      <c r="FS109" s="2">
        <v>0</v>
      </c>
      <c r="FT109" s="2"/>
      <c r="FU109" s="2"/>
      <c r="FV109" s="2"/>
      <c r="FW109" s="2"/>
      <c r="FX109" s="2">
        <v>110</v>
      </c>
      <c r="FY109" s="2">
        <v>73</v>
      </c>
      <c r="FZ109" s="2"/>
      <c r="GA109" s="2" t="s">
        <v>3</v>
      </c>
      <c r="GB109" s="2"/>
      <c r="GC109" s="2"/>
      <c r="GD109" s="2">
        <v>1</v>
      </c>
      <c r="GE109" s="2"/>
      <c r="GF109" s="2">
        <v>624972744</v>
      </c>
      <c r="GG109" s="2">
        <v>2</v>
      </c>
      <c r="GH109" s="2">
        <v>1</v>
      </c>
      <c r="GI109" s="2">
        <v>-2</v>
      </c>
      <c r="GJ109" s="2">
        <v>0</v>
      </c>
      <c r="GK109" s="2">
        <v>0</v>
      </c>
      <c r="GL109" s="2">
        <f t="shared" si="92"/>
        <v>0</v>
      </c>
      <c r="GM109" s="2">
        <f t="shared" si="93"/>
        <v>303.03</v>
      </c>
      <c r="GN109" s="2">
        <f t="shared" si="94"/>
        <v>303.03</v>
      </c>
      <c r="GO109" s="2">
        <f t="shared" si="95"/>
        <v>0</v>
      </c>
      <c r="GP109" s="2">
        <f t="shared" si="96"/>
        <v>0</v>
      </c>
      <c r="GQ109" s="2"/>
      <c r="GR109" s="2">
        <v>0</v>
      </c>
      <c r="GS109" s="2">
        <v>0</v>
      </c>
      <c r="GT109" s="2">
        <v>0</v>
      </c>
      <c r="GU109" s="2" t="s">
        <v>3</v>
      </c>
      <c r="GV109" s="2">
        <f t="shared" si="97"/>
        <v>0</v>
      </c>
      <c r="GW109" s="2">
        <v>1</v>
      </c>
      <c r="GX109" s="2">
        <f t="shared" si="98"/>
        <v>0</v>
      </c>
      <c r="GY109" s="2"/>
      <c r="GZ109" s="2"/>
      <c r="HA109" s="2">
        <v>0</v>
      </c>
      <c r="HB109" s="2">
        <v>0</v>
      </c>
      <c r="HC109" s="2">
        <f t="shared" si="99"/>
        <v>0</v>
      </c>
      <c r="HD109" s="2"/>
      <c r="HE109" s="2" t="s">
        <v>3</v>
      </c>
      <c r="HF109" s="2" t="s">
        <v>3</v>
      </c>
      <c r="HG109" s="2"/>
      <c r="HH109" s="2"/>
      <c r="HI109" s="2">
        <f t="shared" si="100"/>
        <v>0</v>
      </c>
      <c r="HJ109" s="2">
        <f t="shared" si="101"/>
        <v>0</v>
      </c>
      <c r="HK109" s="2">
        <f t="shared" si="102"/>
        <v>0</v>
      </c>
      <c r="HL109" s="2">
        <f t="shared" si="103"/>
        <v>0</v>
      </c>
      <c r="HM109" s="2" t="s">
        <v>3</v>
      </c>
      <c r="HN109" s="2" t="s">
        <v>192</v>
      </c>
      <c r="HO109" s="2" t="s">
        <v>193</v>
      </c>
      <c r="HP109" s="2" t="s">
        <v>190</v>
      </c>
      <c r="HQ109" s="2" t="s">
        <v>190</v>
      </c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>
        <v>0</v>
      </c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45" ht="12.75">
      <c r="A110">
        <v>18</v>
      </c>
      <c r="B110">
        <v>1</v>
      </c>
      <c r="C110">
        <v>118</v>
      </c>
      <c r="E110" t="s">
        <v>185</v>
      </c>
      <c r="F110" t="s">
        <v>186</v>
      </c>
      <c r="G110" t="s">
        <v>187</v>
      </c>
      <c r="H110" t="s">
        <v>188</v>
      </c>
      <c r="I110">
        <f>I108*J110</f>
        <v>9.75</v>
      </c>
      <c r="J110">
        <v>19.5</v>
      </c>
      <c r="K110">
        <v>19.5</v>
      </c>
      <c r="O110">
        <f t="shared" si="66"/>
        <v>303.03</v>
      </c>
      <c r="P110">
        <f t="shared" si="67"/>
        <v>303.03</v>
      </c>
      <c r="Q110">
        <f t="shared" si="68"/>
        <v>0</v>
      </c>
      <c r="R110">
        <f t="shared" si="69"/>
        <v>0</v>
      </c>
      <c r="S110">
        <f t="shared" si="70"/>
        <v>0</v>
      </c>
      <c r="T110">
        <f t="shared" si="71"/>
        <v>0</v>
      </c>
      <c r="U110">
        <f t="shared" si="72"/>
        <v>0</v>
      </c>
      <c r="V110">
        <f t="shared" si="73"/>
        <v>0</v>
      </c>
      <c r="W110">
        <f t="shared" si="74"/>
        <v>0</v>
      </c>
      <c r="X110">
        <f t="shared" si="75"/>
        <v>0</v>
      </c>
      <c r="Y110">
        <f t="shared" si="76"/>
        <v>0</v>
      </c>
      <c r="AA110">
        <v>55457796</v>
      </c>
      <c r="AB110">
        <f t="shared" si="77"/>
        <v>31.08</v>
      </c>
      <c r="AC110">
        <f t="shared" si="104"/>
        <v>31.08</v>
      </c>
      <c r="AD110">
        <f t="shared" si="109"/>
        <v>0</v>
      </c>
      <c r="AE110">
        <f t="shared" si="110"/>
        <v>0</v>
      </c>
      <c r="AF110">
        <f t="shared" si="111"/>
        <v>0</v>
      </c>
      <c r="AG110">
        <f t="shared" si="78"/>
        <v>0</v>
      </c>
      <c r="AH110">
        <f t="shared" si="112"/>
        <v>0</v>
      </c>
      <c r="AI110">
        <f t="shared" si="113"/>
        <v>0</v>
      </c>
      <c r="AJ110">
        <f t="shared" si="79"/>
        <v>0</v>
      </c>
      <c r="AK110">
        <v>31.08</v>
      </c>
      <c r="AL110">
        <v>31.08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110</v>
      </c>
      <c r="AU110">
        <v>73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1</v>
      </c>
      <c r="BH110">
        <v>3</v>
      </c>
      <c r="BI110">
        <v>1</v>
      </c>
      <c r="BJ110" t="s">
        <v>189</v>
      </c>
      <c r="BM110">
        <v>7001</v>
      </c>
      <c r="BN110">
        <v>0</v>
      </c>
      <c r="BO110" t="s">
        <v>31</v>
      </c>
      <c r="BP110">
        <v>1</v>
      </c>
      <c r="BQ110">
        <v>2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110</v>
      </c>
      <c r="CA110">
        <v>73</v>
      </c>
      <c r="CE110">
        <v>0</v>
      </c>
      <c r="CF110">
        <v>0</v>
      </c>
      <c r="CG110">
        <v>0</v>
      </c>
      <c r="CM110">
        <v>0</v>
      </c>
      <c r="CO110">
        <v>0</v>
      </c>
      <c r="CP110">
        <f t="shared" si="80"/>
        <v>303.03</v>
      </c>
      <c r="CQ110">
        <f t="shared" si="81"/>
        <v>31.08</v>
      </c>
      <c r="CR110">
        <f t="shared" si="82"/>
        <v>0</v>
      </c>
      <c r="CS110">
        <f t="shared" si="83"/>
        <v>0</v>
      </c>
      <c r="CT110">
        <f t="shared" si="84"/>
        <v>0</v>
      </c>
      <c r="CU110">
        <f t="shared" si="85"/>
        <v>0</v>
      </c>
      <c r="CV110">
        <f t="shared" si="86"/>
        <v>0</v>
      </c>
      <c r="CW110">
        <f t="shared" si="87"/>
        <v>0</v>
      </c>
      <c r="CX110">
        <f t="shared" si="88"/>
        <v>0</v>
      </c>
      <c r="CY110">
        <f t="shared" si="89"/>
        <v>0</v>
      </c>
      <c r="CZ110">
        <f t="shared" si="90"/>
        <v>0</v>
      </c>
      <c r="DN110">
        <v>0</v>
      </c>
      <c r="DO110">
        <v>0</v>
      </c>
      <c r="DP110">
        <v>1</v>
      </c>
      <c r="DQ110">
        <v>1</v>
      </c>
      <c r="DU110">
        <v>1009</v>
      </c>
      <c r="DV110" t="s">
        <v>188</v>
      </c>
      <c r="DW110" t="s">
        <v>188</v>
      </c>
      <c r="DX110">
        <v>1</v>
      </c>
      <c r="EE110">
        <v>55402600</v>
      </c>
      <c r="EF110">
        <v>2</v>
      </c>
      <c r="EG110" t="s">
        <v>25</v>
      </c>
      <c r="EH110">
        <v>7</v>
      </c>
      <c r="EI110" t="s">
        <v>190</v>
      </c>
      <c r="EJ110">
        <v>1</v>
      </c>
      <c r="EK110">
        <v>7001</v>
      </c>
      <c r="EL110" t="s">
        <v>190</v>
      </c>
      <c r="EM110" t="s">
        <v>191</v>
      </c>
      <c r="EQ110">
        <v>0</v>
      </c>
      <c r="ER110">
        <v>31.08</v>
      </c>
      <c r="ES110">
        <v>31.08</v>
      </c>
      <c r="ET110">
        <v>0</v>
      </c>
      <c r="EU110">
        <v>0</v>
      </c>
      <c r="EV110">
        <v>0</v>
      </c>
      <c r="EW110">
        <v>0</v>
      </c>
      <c r="EX110">
        <v>0</v>
      </c>
      <c r="FQ110">
        <v>0</v>
      </c>
      <c r="FR110">
        <f t="shared" si="91"/>
        <v>0</v>
      </c>
      <c r="FS110">
        <v>0</v>
      </c>
      <c r="FX110">
        <v>110</v>
      </c>
      <c r="FY110">
        <v>73</v>
      </c>
      <c r="GD110">
        <v>1</v>
      </c>
      <c r="GF110">
        <v>624972744</v>
      </c>
      <c r="GG110">
        <v>2</v>
      </c>
      <c r="GH110">
        <v>1</v>
      </c>
      <c r="GI110">
        <v>4</v>
      </c>
      <c r="GJ110">
        <v>0</v>
      </c>
      <c r="GK110">
        <v>0</v>
      </c>
      <c r="GL110">
        <f t="shared" si="92"/>
        <v>0</v>
      </c>
      <c r="GM110">
        <f t="shared" si="93"/>
        <v>303.03</v>
      </c>
      <c r="GN110">
        <f t="shared" si="94"/>
        <v>303.03</v>
      </c>
      <c r="GO110">
        <f t="shared" si="95"/>
        <v>0</v>
      </c>
      <c r="GP110">
        <f t="shared" si="96"/>
        <v>0</v>
      </c>
      <c r="GR110">
        <v>0</v>
      </c>
      <c r="GS110">
        <v>0</v>
      </c>
      <c r="GT110">
        <v>0</v>
      </c>
      <c r="GV110">
        <f t="shared" si="97"/>
        <v>0</v>
      </c>
      <c r="GW110">
        <v>1</v>
      </c>
      <c r="GX110">
        <f t="shared" si="98"/>
        <v>0</v>
      </c>
      <c r="HA110">
        <v>0</v>
      </c>
      <c r="HB110">
        <v>0</v>
      </c>
      <c r="HC110">
        <f t="shared" si="99"/>
        <v>0</v>
      </c>
      <c r="HI110">
        <f t="shared" si="100"/>
        <v>0</v>
      </c>
      <c r="HJ110">
        <f t="shared" si="101"/>
        <v>0</v>
      </c>
      <c r="HK110">
        <f t="shared" si="102"/>
        <v>0</v>
      </c>
      <c r="HL110">
        <f t="shared" si="103"/>
        <v>0</v>
      </c>
      <c r="HN110" t="s">
        <v>192</v>
      </c>
      <c r="HO110" t="s">
        <v>193</v>
      </c>
      <c r="HP110" t="s">
        <v>190</v>
      </c>
      <c r="HQ110" t="s">
        <v>190</v>
      </c>
      <c r="IK110">
        <v>0</v>
      </c>
    </row>
    <row r="112" spans="1:206" ht="12.75">
      <c r="A112" s="3">
        <v>51</v>
      </c>
      <c r="B112" s="3">
        <f>B67</f>
        <v>1</v>
      </c>
      <c r="C112" s="3">
        <f>A67</f>
        <v>4</v>
      </c>
      <c r="D112" s="3">
        <f>ROW(A67)</f>
        <v>67</v>
      </c>
      <c r="E112" s="3"/>
      <c r="F112" s="3">
        <f>IF(F67&lt;&gt;"",F67,"")</f>
      </c>
      <c r="G112" s="3" t="str">
        <f>IF(G67&lt;&gt;"",G67,"")</f>
        <v>Монтажные работы</v>
      </c>
      <c r="H112" s="3">
        <v>0</v>
      </c>
      <c r="I112" s="3"/>
      <c r="J112" s="3"/>
      <c r="K112" s="3"/>
      <c r="L112" s="3"/>
      <c r="M112" s="3"/>
      <c r="N112" s="3"/>
      <c r="O112" s="3">
        <f aca="true" t="shared" si="114" ref="O112:T112">ROUND(AB112,2)</f>
        <v>91437.24</v>
      </c>
      <c r="P112" s="3">
        <f t="shared" si="114"/>
        <v>85936.99</v>
      </c>
      <c r="Q112" s="3">
        <f t="shared" si="114"/>
        <v>1464.15</v>
      </c>
      <c r="R112" s="3">
        <f t="shared" si="114"/>
        <v>186.78</v>
      </c>
      <c r="S112" s="3">
        <f t="shared" si="114"/>
        <v>4036.1</v>
      </c>
      <c r="T112" s="3">
        <f t="shared" si="114"/>
        <v>0</v>
      </c>
      <c r="U112" s="3">
        <f>AH112</f>
        <v>443.604136</v>
      </c>
      <c r="V112" s="3">
        <f>AI112</f>
        <v>15.640264999999998</v>
      </c>
      <c r="W112" s="3">
        <f>ROUND(AJ112,2)</f>
        <v>0</v>
      </c>
      <c r="X112" s="3">
        <f>ROUND(AK112,2)</f>
        <v>4143.51</v>
      </c>
      <c r="Y112" s="3">
        <f>ROUND(AL112,2)</f>
        <v>2047.88</v>
      </c>
      <c r="Z112" s="3"/>
      <c r="AA112" s="3"/>
      <c r="AB112" s="3">
        <f>ROUND(SUMIF(AA71:AA110,"=55457795",O71:O110),2)</f>
        <v>91437.24</v>
      </c>
      <c r="AC112" s="3">
        <f>ROUND(SUMIF(AA71:AA110,"=55457795",P71:P110),2)</f>
        <v>85936.99</v>
      </c>
      <c r="AD112" s="3">
        <f>ROUND(SUMIF(AA71:AA110,"=55457795",Q71:Q110),2)</f>
        <v>1464.15</v>
      </c>
      <c r="AE112" s="3">
        <f>ROUND(SUMIF(AA71:AA110,"=55457795",R71:R110),2)</f>
        <v>186.78</v>
      </c>
      <c r="AF112" s="3">
        <f>ROUND(SUMIF(AA71:AA110,"=55457795",S71:S110),2)</f>
        <v>4036.1</v>
      </c>
      <c r="AG112" s="3">
        <f>ROUND(SUMIF(AA71:AA110,"=55457795",T71:T110),2)</f>
        <v>0</v>
      </c>
      <c r="AH112" s="3">
        <f>SUMIF(AA71:AA110,"=55457795",U71:U110)</f>
        <v>443.604136</v>
      </c>
      <c r="AI112" s="3">
        <f>SUMIF(AA71:AA110,"=55457795",V71:V110)</f>
        <v>15.640264999999998</v>
      </c>
      <c r="AJ112" s="3">
        <f>ROUND(SUMIF(AA71:AA110,"=55457795",W71:W110),2)</f>
        <v>0</v>
      </c>
      <c r="AK112" s="3">
        <f>ROUND(SUMIF(AA71:AA110,"=55457795",X71:X110),2)</f>
        <v>4143.51</v>
      </c>
      <c r="AL112" s="3">
        <f>ROUND(SUMIF(AA71:AA110,"=55457795",Y71:Y110),2)</f>
        <v>2047.88</v>
      </c>
      <c r="AM112" s="3"/>
      <c r="AN112" s="3"/>
      <c r="AO112" s="3">
        <f aca="true" t="shared" si="115" ref="AO112:BD112">ROUND(BX112,2)</f>
        <v>0</v>
      </c>
      <c r="AP112" s="3">
        <f t="shared" si="115"/>
        <v>0</v>
      </c>
      <c r="AQ112" s="3">
        <f t="shared" si="115"/>
        <v>0</v>
      </c>
      <c r="AR112" s="3">
        <f t="shared" si="115"/>
        <v>97628.63</v>
      </c>
      <c r="AS112" s="3">
        <f t="shared" si="115"/>
        <v>97628.63</v>
      </c>
      <c r="AT112" s="3">
        <f t="shared" si="115"/>
        <v>0</v>
      </c>
      <c r="AU112" s="3">
        <f t="shared" si="115"/>
        <v>0</v>
      </c>
      <c r="AV112" s="3">
        <f t="shared" si="115"/>
        <v>85936.99</v>
      </c>
      <c r="AW112" s="3">
        <f t="shared" si="115"/>
        <v>85936.99</v>
      </c>
      <c r="AX112" s="3">
        <f t="shared" si="115"/>
        <v>0</v>
      </c>
      <c r="AY112" s="3">
        <f t="shared" si="115"/>
        <v>85936.99</v>
      </c>
      <c r="AZ112" s="3">
        <f t="shared" si="115"/>
        <v>0</v>
      </c>
      <c r="BA112" s="3">
        <f t="shared" si="115"/>
        <v>0</v>
      </c>
      <c r="BB112" s="3">
        <f t="shared" si="115"/>
        <v>0</v>
      </c>
      <c r="BC112" s="3">
        <f t="shared" si="115"/>
        <v>0</v>
      </c>
      <c r="BD112" s="3">
        <f t="shared" si="115"/>
        <v>0</v>
      </c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>
        <f>ROUND(SUMIF(AA71:AA110,"=55457795",FQ71:FQ110),2)</f>
        <v>0</v>
      </c>
      <c r="BY112" s="3">
        <f>ROUND(SUMIF(AA71:AA110,"=55457795",FR71:FR110),2)</f>
        <v>0</v>
      </c>
      <c r="BZ112" s="3">
        <f>ROUND(SUMIF(AA71:AA110,"=55457795",GL71:GL110),2)</f>
        <v>0</v>
      </c>
      <c r="CA112" s="3">
        <f>ROUND(SUMIF(AA71:AA110,"=55457795",GM71:GM110),2)</f>
        <v>97628.63</v>
      </c>
      <c r="CB112" s="3">
        <f>ROUND(SUMIF(AA71:AA110,"=55457795",GN71:GN110),2)</f>
        <v>97628.63</v>
      </c>
      <c r="CC112" s="3">
        <f>ROUND(SUMIF(AA71:AA110,"=55457795",GO71:GO110),2)</f>
        <v>0</v>
      </c>
      <c r="CD112" s="3">
        <f>ROUND(SUMIF(AA71:AA110,"=55457795",GP71:GP110),2)</f>
        <v>0</v>
      </c>
      <c r="CE112" s="3">
        <f>AC112-BX112</f>
        <v>85936.99</v>
      </c>
      <c r="CF112" s="3">
        <f>AC112-BY112</f>
        <v>85936.99</v>
      </c>
      <c r="CG112" s="3">
        <f>BX112-BZ112</f>
        <v>0</v>
      </c>
      <c r="CH112" s="3">
        <f>AC112-BX112-BY112+BZ112</f>
        <v>85936.99</v>
      </c>
      <c r="CI112" s="3">
        <f>BY112-BZ112</f>
        <v>0</v>
      </c>
      <c r="CJ112" s="3">
        <f>ROUND(SUMIF(AA71:AA110,"=55457795",GX71:GX110),2)</f>
        <v>0</v>
      </c>
      <c r="CK112" s="3">
        <f>ROUND(SUMIF(AA71:AA110,"=55457795",GY71:GY110),2)</f>
        <v>0</v>
      </c>
      <c r="CL112" s="3">
        <f>ROUND(SUMIF(AA71:AA110,"=55457795",GZ71:GZ110),2)</f>
        <v>0</v>
      </c>
      <c r="CM112" s="3">
        <f>ROUND(SUMIF(AA71:AA110,"=55457795",HD71:HD110),2)</f>
        <v>0</v>
      </c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4">
        <f aca="true" t="shared" si="116" ref="DG112:DL112">ROUND(DT112,2)</f>
        <v>91437.24</v>
      </c>
      <c r="DH112" s="4">
        <f t="shared" si="116"/>
        <v>85936.99</v>
      </c>
      <c r="DI112" s="4">
        <f t="shared" si="116"/>
        <v>1464.15</v>
      </c>
      <c r="DJ112" s="4">
        <f t="shared" si="116"/>
        <v>186.78</v>
      </c>
      <c r="DK112" s="4">
        <f t="shared" si="116"/>
        <v>4036.1</v>
      </c>
      <c r="DL112" s="4">
        <f t="shared" si="116"/>
        <v>0</v>
      </c>
      <c r="DM112" s="4">
        <f>DZ112</f>
        <v>443.604136</v>
      </c>
      <c r="DN112" s="4">
        <f>EA112</f>
        <v>15.640264999999998</v>
      </c>
      <c r="DO112" s="4">
        <f>ROUND(EB112,2)</f>
        <v>0</v>
      </c>
      <c r="DP112" s="4">
        <f>ROUND(EC112,2)</f>
        <v>4143.51</v>
      </c>
      <c r="DQ112" s="4">
        <f>ROUND(ED112,2)</f>
        <v>2047.88</v>
      </c>
      <c r="DR112" s="4"/>
      <c r="DS112" s="4"/>
      <c r="DT112" s="4">
        <f>ROUND(SUMIF(AA71:AA110,"=55457796",O71:O110),2)</f>
        <v>91437.24</v>
      </c>
      <c r="DU112" s="4">
        <f>ROUND(SUMIF(AA71:AA110,"=55457796",P71:P110),2)</f>
        <v>85936.99</v>
      </c>
      <c r="DV112" s="4">
        <f>ROUND(SUMIF(AA71:AA110,"=55457796",Q71:Q110),2)</f>
        <v>1464.15</v>
      </c>
      <c r="DW112" s="4">
        <f>ROUND(SUMIF(AA71:AA110,"=55457796",R71:R110),2)</f>
        <v>186.78</v>
      </c>
      <c r="DX112" s="4">
        <f>ROUND(SUMIF(AA71:AA110,"=55457796",S71:S110),2)</f>
        <v>4036.1</v>
      </c>
      <c r="DY112" s="4">
        <f>ROUND(SUMIF(AA71:AA110,"=55457796",T71:T110),2)</f>
        <v>0</v>
      </c>
      <c r="DZ112" s="4">
        <f>SUMIF(AA71:AA110,"=55457796",U71:U110)</f>
        <v>443.604136</v>
      </c>
      <c r="EA112" s="4">
        <f>SUMIF(AA71:AA110,"=55457796",V71:V110)</f>
        <v>15.640264999999998</v>
      </c>
      <c r="EB112" s="4">
        <f>ROUND(SUMIF(AA71:AA110,"=55457796",W71:W110),2)</f>
        <v>0</v>
      </c>
      <c r="EC112" s="4">
        <f>ROUND(SUMIF(AA71:AA110,"=55457796",X71:X110),2)</f>
        <v>4143.51</v>
      </c>
      <c r="ED112" s="4">
        <f>ROUND(SUMIF(AA71:AA110,"=55457796",Y71:Y110),2)</f>
        <v>2047.88</v>
      </c>
      <c r="EE112" s="4"/>
      <c r="EF112" s="4"/>
      <c r="EG112" s="4">
        <f aca="true" t="shared" si="117" ref="EG112:EV112">ROUND(FP112,2)</f>
        <v>0</v>
      </c>
      <c r="EH112" s="4">
        <f t="shared" si="117"/>
        <v>0</v>
      </c>
      <c r="EI112" s="4">
        <f t="shared" si="117"/>
        <v>0</v>
      </c>
      <c r="EJ112" s="4">
        <f t="shared" si="117"/>
        <v>97628.63</v>
      </c>
      <c r="EK112" s="4">
        <f t="shared" si="117"/>
        <v>97628.63</v>
      </c>
      <c r="EL112" s="4">
        <f t="shared" si="117"/>
        <v>0</v>
      </c>
      <c r="EM112" s="4">
        <f t="shared" si="117"/>
        <v>0</v>
      </c>
      <c r="EN112" s="4">
        <f t="shared" si="117"/>
        <v>85936.99</v>
      </c>
      <c r="EO112" s="4">
        <f t="shared" si="117"/>
        <v>85936.99</v>
      </c>
      <c r="EP112" s="4">
        <f t="shared" si="117"/>
        <v>0</v>
      </c>
      <c r="EQ112" s="4">
        <f t="shared" si="117"/>
        <v>85936.99</v>
      </c>
      <c r="ER112" s="4">
        <f t="shared" si="117"/>
        <v>0</v>
      </c>
      <c r="ES112" s="4">
        <f t="shared" si="117"/>
        <v>0</v>
      </c>
      <c r="ET112" s="4">
        <f t="shared" si="117"/>
        <v>0</v>
      </c>
      <c r="EU112" s="4">
        <f t="shared" si="117"/>
        <v>0</v>
      </c>
      <c r="EV112" s="4">
        <f t="shared" si="117"/>
        <v>0</v>
      </c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>
        <f>ROUND(SUMIF(AA71:AA110,"=55457796",FQ71:FQ110),2)</f>
        <v>0</v>
      </c>
      <c r="FQ112" s="4">
        <f>ROUND(SUMIF(AA71:AA110,"=55457796",FR71:FR110),2)</f>
        <v>0</v>
      </c>
      <c r="FR112" s="4">
        <f>ROUND(SUMIF(AA71:AA110,"=55457796",GL71:GL110),2)</f>
        <v>0</v>
      </c>
      <c r="FS112" s="4">
        <f>ROUND(SUMIF(AA71:AA110,"=55457796",GM71:GM110),2)</f>
        <v>97628.63</v>
      </c>
      <c r="FT112" s="4">
        <f>ROUND(SUMIF(AA71:AA110,"=55457796",GN71:GN110),2)</f>
        <v>97628.63</v>
      </c>
      <c r="FU112" s="4">
        <f>ROUND(SUMIF(AA71:AA110,"=55457796",GO71:GO110),2)</f>
        <v>0</v>
      </c>
      <c r="FV112" s="4">
        <f>ROUND(SUMIF(AA71:AA110,"=55457796",GP71:GP110),2)</f>
        <v>0</v>
      </c>
      <c r="FW112" s="4">
        <f>DU112-FP112</f>
        <v>85936.99</v>
      </c>
      <c r="FX112" s="4">
        <f>DU112-FQ112</f>
        <v>85936.99</v>
      </c>
      <c r="FY112" s="4">
        <f>FP112-FR112</f>
        <v>0</v>
      </c>
      <c r="FZ112" s="4">
        <f>DU112-FP112-FQ112+FR112</f>
        <v>85936.99</v>
      </c>
      <c r="GA112" s="4">
        <f>FQ112-FR112</f>
        <v>0</v>
      </c>
      <c r="GB112" s="4">
        <f>ROUND(SUMIF(AA71:AA110,"=55457796",GX71:GX110),2)</f>
        <v>0</v>
      </c>
      <c r="GC112" s="4">
        <f>ROUND(SUMIF(AA71:AA110,"=55457796",GY71:GY110),2)</f>
        <v>0</v>
      </c>
      <c r="GD112" s="4">
        <f>ROUND(SUMIF(AA71:AA110,"=55457796",GZ71:GZ110),2)</f>
        <v>0</v>
      </c>
      <c r="GE112" s="4">
        <f>ROUND(SUMIF(AA71:AA110,"=55457796",HD71:HD110),2)</f>
        <v>0</v>
      </c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>
        <v>0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201</v>
      </c>
      <c r="F114" s="5">
        <f>ROUND(Source!O112,O114)</f>
        <v>91437.24</v>
      </c>
      <c r="G114" s="5" t="s">
        <v>52</v>
      </c>
      <c r="H114" s="5" t="s">
        <v>53</v>
      </c>
      <c r="I114" s="5"/>
      <c r="J114" s="5"/>
      <c r="K114" s="5">
        <v>201</v>
      </c>
      <c r="L114" s="5">
        <v>1</v>
      </c>
      <c r="M114" s="5">
        <v>3</v>
      </c>
      <c r="N114" s="5" t="s">
        <v>3</v>
      </c>
      <c r="O114" s="5">
        <v>2</v>
      </c>
      <c r="P114" s="5">
        <f>ROUND(Source!DG112,O114)</f>
        <v>91437.24</v>
      </c>
      <c r="Q114" s="5"/>
      <c r="R114" s="5"/>
      <c r="S114" s="5"/>
      <c r="T114" s="5"/>
      <c r="U114" s="5"/>
      <c r="V114" s="5"/>
      <c r="W114" s="5">
        <v>91437.24</v>
      </c>
      <c r="X114" s="5">
        <v>1</v>
      </c>
      <c r="Y114" s="5">
        <v>91437.24</v>
      </c>
      <c r="Z114" s="5">
        <v>91437.24</v>
      </c>
      <c r="AA114" s="5">
        <v>1</v>
      </c>
      <c r="AB114" s="5">
        <v>752276.88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202</v>
      </c>
      <c r="F115" s="5">
        <f>ROUND(Source!P112,O115)</f>
        <v>85936.99</v>
      </c>
      <c r="G115" s="5" t="s">
        <v>54</v>
      </c>
      <c r="H115" s="5" t="s">
        <v>55</v>
      </c>
      <c r="I115" s="5"/>
      <c r="J115" s="5"/>
      <c r="K115" s="5">
        <v>202</v>
      </c>
      <c r="L115" s="5">
        <v>2</v>
      </c>
      <c r="M115" s="5">
        <v>3</v>
      </c>
      <c r="N115" s="5" t="s">
        <v>3</v>
      </c>
      <c r="O115" s="5">
        <v>2</v>
      </c>
      <c r="P115" s="5">
        <f>ROUND(Source!DH112,O115)</f>
        <v>85936.99</v>
      </c>
      <c r="Q115" s="5"/>
      <c r="R115" s="5"/>
      <c r="S115" s="5"/>
      <c r="T115" s="5"/>
      <c r="U115" s="5"/>
      <c r="V115" s="5"/>
      <c r="W115" s="5">
        <v>85936.99</v>
      </c>
      <c r="X115" s="5">
        <v>1</v>
      </c>
      <c r="Y115" s="5">
        <v>85936.99</v>
      </c>
      <c r="Z115" s="5">
        <v>85936.99</v>
      </c>
      <c r="AA115" s="5">
        <v>1</v>
      </c>
      <c r="AB115" s="5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222</v>
      </c>
      <c r="F116" s="5">
        <f>ROUND(Source!AO112,O116)</f>
        <v>0</v>
      </c>
      <c r="G116" s="5" t="s">
        <v>56</v>
      </c>
      <c r="H116" s="5" t="s">
        <v>57</v>
      </c>
      <c r="I116" s="5"/>
      <c r="J116" s="5"/>
      <c r="K116" s="5">
        <v>222</v>
      </c>
      <c r="L116" s="5">
        <v>3</v>
      </c>
      <c r="M116" s="5">
        <v>3</v>
      </c>
      <c r="N116" s="5" t="s">
        <v>3</v>
      </c>
      <c r="O116" s="5">
        <v>2</v>
      </c>
      <c r="P116" s="5">
        <f>ROUND(Source!EG112,O116)</f>
        <v>0</v>
      </c>
      <c r="Q116" s="5"/>
      <c r="R116" s="5"/>
      <c r="S116" s="5"/>
      <c r="T116" s="5"/>
      <c r="U116" s="5"/>
      <c r="V116" s="5"/>
      <c r="W116" s="5">
        <v>0</v>
      </c>
      <c r="X116" s="5">
        <v>1</v>
      </c>
      <c r="Y116" s="5">
        <v>0</v>
      </c>
      <c r="Z116" s="5">
        <v>0</v>
      </c>
      <c r="AA116" s="5">
        <v>1</v>
      </c>
      <c r="AB116" s="5">
        <v>0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225</v>
      </c>
      <c r="F117" s="5">
        <f>ROUND(Source!AV112,O117)</f>
        <v>85936.99</v>
      </c>
      <c r="G117" s="5" t="s">
        <v>58</v>
      </c>
      <c r="H117" s="5" t="s">
        <v>59</v>
      </c>
      <c r="I117" s="5"/>
      <c r="J117" s="5"/>
      <c r="K117" s="5">
        <v>225</v>
      </c>
      <c r="L117" s="5">
        <v>4</v>
      </c>
      <c r="M117" s="5">
        <v>3</v>
      </c>
      <c r="N117" s="5" t="s">
        <v>3</v>
      </c>
      <c r="O117" s="5">
        <v>2</v>
      </c>
      <c r="P117" s="5">
        <f>ROUND(Source!EN112,O117)</f>
        <v>85936.99</v>
      </c>
      <c r="Q117" s="5"/>
      <c r="R117" s="5"/>
      <c r="S117" s="5"/>
      <c r="T117" s="5"/>
      <c r="U117" s="5"/>
      <c r="V117" s="5"/>
      <c r="W117" s="5">
        <v>85936.99</v>
      </c>
      <c r="X117" s="5">
        <v>1</v>
      </c>
      <c r="Y117" s="5">
        <v>85936.99</v>
      </c>
      <c r="Z117" s="5">
        <v>85936.99</v>
      </c>
      <c r="AA117" s="5">
        <v>1</v>
      </c>
      <c r="AB117" s="5">
        <v>0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226</v>
      </c>
      <c r="F118" s="5">
        <f>ROUND(Source!AW112,O118)</f>
        <v>85936.99</v>
      </c>
      <c r="G118" s="5" t="s">
        <v>60</v>
      </c>
      <c r="H118" s="5" t="s">
        <v>61</v>
      </c>
      <c r="I118" s="5"/>
      <c r="J118" s="5"/>
      <c r="K118" s="5">
        <v>226</v>
      </c>
      <c r="L118" s="5">
        <v>5</v>
      </c>
      <c r="M118" s="5">
        <v>3</v>
      </c>
      <c r="N118" s="5" t="s">
        <v>3</v>
      </c>
      <c r="O118" s="5">
        <v>2</v>
      </c>
      <c r="P118" s="5">
        <f>ROUND(Source!EO112,O118)</f>
        <v>85936.99</v>
      </c>
      <c r="Q118" s="5"/>
      <c r="R118" s="5"/>
      <c r="S118" s="5"/>
      <c r="T118" s="5"/>
      <c r="U118" s="5"/>
      <c r="V118" s="5"/>
      <c r="W118" s="5">
        <v>85936.99</v>
      </c>
      <c r="X118" s="5">
        <v>1</v>
      </c>
      <c r="Y118" s="5">
        <v>85936.99</v>
      </c>
      <c r="Z118" s="5">
        <v>85936.99</v>
      </c>
      <c r="AA118" s="5">
        <v>1</v>
      </c>
      <c r="AB118" s="5">
        <v>586090.27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227</v>
      </c>
      <c r="F119" s="5">
        <f>ROUND(Source!AX112,O119)</f>
        <v>0</v>
      </c>
      <c r="G119" s="5" t="s">
        <v>62</v>
      </c>
      <c r="H119" s="5" t="s">
        <v>63</v>
      </c>
      <c r="I119" s="5"/>
      <c r="J119" s="5"/>
      <c r="K119" s="5">
        <v>227</v>
      </c>
      <c r="L119" s="5">
        <v>6</v>
      </c>
      <c r="M119" s="5">
        <v>3</v>
      </c>
      <c r="N119" s="5" t="s">
        <v>3</v>
      </c>
      <c r="O119" s="5">
        <v>2</v>
      </c>
      <c r="P119" s="5">
        <f>ROUND(Source!EP112,O119)</f>
        <v>0</v>
      </c>
      <c r="Q119" s="5"/>
      <c r="R119" s="5"/>
      <c r="S119" s="5"/>
      <c r="T119" s="5"/>
      <c r="U119" s="5"/>
      <c r="V119" s="5"/>
      <c r="W119" s="5">
        <v>0</v>
      </c>
      <c r="X119" s="5">
        <v>1</v>
      </c>
      <c r="Y119" s="5">
        <v>0</v>
      </c>
      <c r="Z119" s="5">
        <v>0</v>
      </c>
      <c r="AA119" s="5">
        <v>1</v>
      </c>
      <c r="AB119" s="5">
        <v>0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228</v>
      </c>
      <c r="F120" s="5">
        <f>ROUND(Source!AY112,O120)</f>
        <v>85936.99</v>
      </c>
      <c r="G120" s="5" t="s">
        <v>64</v>
      </c>
      <c r="H120" s="5" t="s">
        <v>65</v>
      </c>
      <c r="I120" s="5"/>
      <c r="J120" s="5"/>
      <c r="K120" s="5">
        <v>228</v>
      </c>
      <c r="L120" s="5">
        <v>7</v>
      </c>
      <c r="M120" s="5">
        <v>3</v>
      </c>
      <c r="N120" s="5" t="s">
        <v>3</v>
      </c>
      <c r="O120" s="5">
        <v>2</v>
      </c>
      <c r="P120" s="5">
        <f>ROUND(Source!EQ112,O120)</f>
        <v>85936.99</v>
      </c>
      <c r="Q120" s="5"/>
      <c r="R120" s="5"/>
      <c r="S120" s="5"/>
      <c r="T120" s="5"/>
      <c r="U120" s="5"/>
      <c r="V120" s="5"/>
      <c r="W120" s="5">
        <v>85936.99</v>
      </c>
      <c r="X120" s="5">
        <v>1</v>
      </c>
      <c r="Y120" s="5">
        <v>85936.99</v>
      </c>
      <c r="Z120" s="5">
        <v>85936.99</v>
      </c>
      <c r="AA120" s="5">
        <v>1</v>
      </c>
      <c r="AB120" s="5">
        <v>586090.27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216</v>
      </c>
      <c r="F121" s="5">
        <f>ROUND(Source!AP112,O121)</f>
        <v>0</v>
      </c>
      <c r="G121" s="5" t="s">
        <v>66</v>
      </c>
      <c r="H121" s="5" t="s">
        <v>67</v>
      </c>
      <c r="I121" s="5"/>
      <c r="J121" s="5"/>
      <c r="K121" s="5">
        <v>216</v>
      </c>
      <c r="L121" s="5">
        <v>8</v>
      </c>
      <c r="M121" s="5">
        <v>3</v>
      </c>
      <c r="N121" s="5" t="s">
        <v>3</v>
      </c>
      <c r="O121" s="5">
        <v>2</v>
      </c>
      <c r="P121" s="5">
        <f>ROUND(Source!EH112,O121)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223</v>
      </c>
      <c r="F122" s="5">
        <f>ROUND(Source!AQ112,O122)</f>
        <v>0</v>
      </c>
      <c r="G122" s="5" t="s">
        <v>68</v>
      </c>
      <c r="H122" s="5" t="s">
        <v>69</v>
      </c>
      <c r="I122" s="5"/>
      <c r="J122" s="5"/>
      <c r="K122" s="5">
        <v>223</v>
      </c>
      <c r="L122" s="5">
        <v>9</v>
      </c>
      <c r="M122" s="5">
        <v>3</v>
      </c>
      <c r="N122" s="5" t="s">
        <v>3</v>
      </c>
      <c r="O122" s="5">
        <v>2</v>
      </c>
      <c r="P122" s="5">
        <f>ROUND(Source!EI112,O122)</f>
        <v>0</v>
      </c>
      <c r="Q122" s="5"/>
      <c r="R122" s="5"/>
      <c r="S122" s="5"/>
      <c r="T122" s="5"/>
      <c r="U122" s="5"/>
      <c r="V122" s="5"/>
      <c r="W122" s="5">
        <v>0</v>
      </c>
      <c r="X122" s="5">
        <v>1</v>
      </c>
      <c r="Y122" s="5">
        <v>0</v>
      </c>
      <c r="Z122" s="5">
        <v>0</v>
      </c>
      <c r="AA122" s="5">
        <v>1</v>
      </c>
      <c r="AB122" s="5">
        <v>0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229</v>
      </c>
      <c r="F123" s="5">
        <f>ROUND(Source!AZ112,O123)</f>
        <v>0</v>
      </c>
      <c r="G123" s="5" t="s">
        <v>70</v>
      </c>
      <c r="H123" s="5" t="s">
        <v>71</v>
      </c>
      <c r="I123" s="5"/>
      <c r="J123" s="5"/>
      <c r="K123" s="5">
        <v>229</v>
      </c>
      <c r="L123" s="5">
        <v>10</v>
      </c>
      <c r="M123" s="5">
        <v>3</v>
      </c>
      <c r="N123" s="5" t="s">
        <v>3</v>
      </c>
      <c r="O123" s="5">
        <v>2</v>
      </c>
      <c r="P123" s="5">
        <f>ROUND(Source!ER112,O123)</f>
        <v>0</v>
      </c>
      <c r="Q123" s="5"/>
      <c r="R123" s="5"/>
      <c r="S123" s="5"/>
      <c r="T123" s="5"/>
      <c r="U123" s="5"/>
      <c r="V123" s="5"/>
      <c r="W123" s="5">
        <v>0</v>
      </c>
      <c r="X123" s="5">
        <v>1</v>
      </c>
      <c r="Y123" s="5">
        <v>0</v>
      </c>
      <c r="Z123" s="5">
        <v>0</v>
      </c>
      <c r="AA123" s="5">
        <v>1</v>
      </c>
      <c r="AB123" s="5">
        <v>0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203</v>
      </c>
      <c r="F124" s="5">
        <f>ROUND(Source!Q112,O124)</f>
        <v>1464.15</v>
      </c>
      <c r="G124" s="5" t="s">
        <v>72</v>
      </c>
      <c r="H124" s="5" t="s">
        <v>73</v>
      </c>
      <c r="I124" s="5"/>
      <c r="J124" s="5"/>
      <c r="K124" s="5">
        <v>203</v>
      </c>
      <c r="L124" s="5">
        <v>11</v>
      </c>
      <c r="M124" s="5">
        <v>3</v>
      </c>
      <c r="N124" s="5" t="s">
        <v>3</v>
      </c>
      <c r="O124" s="5">
        <v>2</v>
      </c>
      <c r="P124" s="5">
        <f>ROUND(Source!DI112,O124)</f>
        <v>1464.15</v>
      </c>
      <c r="Q124" s="5"/>
      <c r="R124" s="5"/>
      <c r="S124" s="5"/>
      <c r="T124" s="5"/>
      <c r="U124" s="5"/>
      <c r="V124" s="5"/>
      <c r="W124" s="5">
        <v>1464.1499999999999</v>
      </c>
      <c r="X124" s="5">
        <v>1</v>
      </c>
      <c r="Y124" s="5">
        <v>1464.1499999999999</v>
      </c>
      <c r="Z124" s="5">
        <v>1464.1499999999999</v>
      </c>
      <c r="AA124" s="5">
        <v>1</v>
      </c>
      <c r="AB124" s="5">
        <v>18990.03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231</v>
      </c>
      <c r="F125" s="5">
        <f>ROUND(Source!BB112,O125)</f>
        <v>0</v>
      </c>
      <c r="G125" s="5" t="s">
        <v>74</v>
      </c>
      <c r="H125" s="5" t="s">
        <v>75</v>
      </c>
      <c r="I125" s="5"/>
      <c r="J125" s="5"/>
      <c r="K125" s="5">
        <v>231</v>
      </c>
      <c r="L125" s="5">
        <v>12</v>
      </c>
      <c r="M125" s="5">
        <v>3</v>
      </c>
      <c r="N125" s="5" t="s">
        <v>3</v>
      </c>
      <c r="O125" s="5">
        <v>2</v>
      </c>
      <c r="P125" s="5">
        <f>ROUND(Source!ET112,O125)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204</v>
      </c>
      <c r="F126" s="5">
        <f>ROUND(Source!R112,O126)</f>
        <v>186.78</v>
      </c>
      <c r="G126" s="5" t="s">
        <v>76</v>
      </c>
      <c r="H126" s="5" t="s">
        <v>77</v>
      </c>
      <c r="I126" s="5"/>
      <c r="J126" s="5"/>
      <c r="K126" s="5">
        <v>204</v>
      </c>
      <c r="L126" s="5">
        <v>13</v>
      </c>
      <c r="M126" s="5">
        <v>3</v>
      </c>
      <c r="N126" s="5" t="s">
        <v>3</v>
      </c>
      <c r="O126" s="5">
        <v>2</v>
      </c>
      <c r="P126" s="5">
        <f>ROUND(Source!DJ112,O126)</f>
        <v>186.78</v>
      </c>
      <c r="Q126" s="5"/>
      <c r="R126" s="5"/>
      <c r="S126" s="5"/>
      <c r="T126" s="5"/>
      <c r="U126" s="5"/>
      <c r="V126" s="5"/>
      <c r="W126" s="5">
        <v>186.78</v>
      </c>
      <c r="X126" s="5">
        <v>1</v>
      </c>
      <c r="Y126" s="5">
        <v>186.78</v>
      </c>
      <c r="Z126" s="5">
        <v>186.78</v>
      </c>
      <c r="AA126" s="5">
        <v>1</v>
      </c>
      <c r="AB126" s="5">
        <v>6811.86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205</v>
      </c>
      <c r="F127" s="5">
        <f>ROUND(Source!S112,O127)</f>
        <v>4036.1</v>
      </c>
      <c r="G127" s="5" t="s">
        <v>78</v>
      </c>
      <c r="H127" s="5" t="s">
        <v>79</v>
      </c>
      <c r="I127" s="5"/>
      <c r="J127" s="5"/>
      <c r="K127" s="5">
        <v>205</v>
      </c>
      <c r="L127" s="5">
        <v>14</v>
      </c>
      <c r="M127" s="5">
        <v>3</v>
      </c>
      <c r="N127" s="5" t="s">
        <v>3</v>
      </c>
      <c r="O127" s="5">
        <v>2</v>
      </c>
      <c r="P127" s="5">
        <f>ROUND(Source!DK112,O127)</f>
        <v>4036.1</v>
      </c>
      <c r="Q127" s="5"/>
      <c r="R127" s="5"/>
      <c r="S127" s="5"/>
      <c r="T127" s="5"/>
      <c r="U127" s="5"/>
      <c r="V127" s="5"/>
      <c r="W127" s="5">
        <v>4036.1000000000004</v>
      </c>
      <c r="X127" s="5">
        <v>1</v>
      </c>
      <c r="Y127" s="5">
        <v>4036.1000000000004</v>
      </c>
      <c r="Z127" s="5">
        <v>4036.1000000000004</v>
      </c>
      <c r="AA127" s="5">
        <v>1</v>
      </c>
      <c r="AB127" s="5">
        <v>147196.58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232</v>
      </c>
      <c r="F128" s="5">
        <f>ROUND(Source!BC112,O128)</f>
        <v>0</v>
      </c>
      <c r="G128" s="5" t="s">
        <v>80</v>
      </c>
      <c r="H128" s="5" t="s">
        <v>81</v>
      </c>
      <c r="I128" s="5"/>
      <c r="J128" s="5"/>
      <c r="K128" s="5">
        <v>232</v>
      </c>
      <c r="L128" s="5">
        <v>15</v>
      </c>
      <c r="M128" s="5">
        <v>3</v>
      </c>
      <c r="N128" s="5" t="s">
        <v>3</v>
      </c>
      <c r="O128" s="5">
        <v>2</v>
      </c>
      <c r="P128" s="5">
        <f>ROUND(Source!EU112,O128)</f>
        <v>0</v>
      </c>
      <c r="Q128" s="5"/>
      <c r="R128" s="5"/>
      <c r="S128" s="5"/>
      <c r="T128" s="5"/>
      <c r="U128" s="5"/>
      <c r="V128" s="5"/>
      <c r="W128" s="5">
        <v>0</v>
      </c>
      <c r="X128" s="5">
        <v>1</v>
      </c>
      <c r="Y128" s="5">
        <v>0</v>
      </c>
      <c r="Z128" s="5">
        <v>0</v>
      </c>
      <c r="AA128" s="5">
        <v>1</v>
      </c>
      <c r="AB128" s="5">
        <v>0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214</v>
      </c>
      <c r="F129" s="5">
        <f>ROUND(Source!AS112,O129)</f>
        <v>97628.63</v>
      </c>
      <c r="G129" s="5" t="s">
        <v>82</v>
      </c>
      <c r="H129" s="5" t="s">
        <v>83</v>
      </c>
      <c r="I129" s="5"/>
      <c r="J129" s="5"/>
      <c r="K129" s="5">
        <v>214</v>
      </c>
      <c r="L129" s="5">
        <v>16</v>
      </c>
      <c r="M129" s="5">
        <v>3</v>
      </c>
      <c r="N129" s="5" t="s">
        <v>3</v>
      </c>
      <c r="O129" s="5">
        <v>2</v>
      </c>
      <c r="P129" s="5">
        <f>ROUND(Source!EK112,O129)</f>
        <v>97628.63</v>
      </c>
      <c r="Q129" s="5"/>
      <c r="R129" s="5"/>
      <c r="S129" s="5"/>
      <c r="T129" s="5"/>
      <c r="U129" s="5"/>
      <c r="V129" s="5"/>
      <c r="W129" s="5">
        <v>97628.63</v>
      </c>
      <c r="X129" s="5">
        <v>1</v>
      </c>
      <c r="Y129" s="5">
        <v>97628.63</v>
      </c>
      <c r="Z129" s="5">
        <v>97628.63</v>
      </c>
      <c r="AA129" s="5">
        <v>1</v>
      </c>
      <c r="AB129" s="5">
        <v>978076.62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215</v>
      </c>
      <c r="F130" s="5">
        <f>ROUND(Source!AT112,O130)</f>
        <v>0</v>
      </c>
      <c r="G130" s="5" t="s">
        <v>84</v>
      </c>
      <c r="H130" s="5" t="s">
        <v>85</v>
      </c>
      <c r="I130" s="5"/>
      <c r="J130" s="5"/>
      <c r="K130" s="5">
        <v>215</v>
      </c>
      <c r="L130" s="5">
        <v>17</v>
      </c>
      <c r="M130" s="5">
        <v>3</v>
      </c>
      <c r="N130" s="5" t="s">
        <v>3</v>
      </c>
      <c r="O130" s="5">
        <v>2</v>
      </c>
      <c r="P130" s="5">
        <f>ROUND(Source!EL112,O130)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217</v>
      </c>
      <c r="F131" s="5">
        <f>ROUND(Source!AU112,O131)</f>
        <v>0</v>
      </c>
      <c r="G131" s="5" t="s">
        <v>86</v>
      </c>
      <c r="H131" s="5" t="s">
        <v>87</v>
      </c>
      <c r="I131" s="5"/>
      <c r="J131" s="5"/>
      <c r="K131" s="5">
        <v>217</v>
      </c>
      <c r="L131" s="5">
        <v>18</v>
      </c>
      <c r="M131" s="5">
        <v>3</v>
      </c>
      <c r="N131" s="5" t="s">
        <v>3</v>
      </c>
      <c r="O131" s="5">
        <v>2</v>
      </c>
      <c r="P131" s="5">
        <f>ROUND(Source!EM112,O131)</f>
        <v>0</v>
      </c>
      <c r="Q131" s="5"/>
      <c r="R131" s="5"/>
      <c r="S131" s="5"/>
      <c r="T131" s="5"/>
      <c r="U131" s="5"/>
      <c r="V131" s="5"/>
      <c r="W131" s="5">
        <v>0</v>
      </c>
      <c r="X131" s="5">
        <v>1</v>
      </c>
      <c r="Y131" s="5">
        <v>0</v>
      </c>
      <c r="Z131" s="5">
        <v>0</v>
      </c>
      <c r="AA131" s="5">
        <v>1</v>
      </c>
      <c r="AB131" s="5">
        <v>0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230</v>
      </c>
      <c r="F132" s="5">
        <f>ROUND(Source!BA112,O132)</f>
        <v>0</v>
      </c>
      <c r="G132" s="5" t="s">
        <v>88</v>
      </c>
      <c r="H132" s="5" t="s">
        <v>89</v>
      </c>
      <c r="I132" s="5"/>
      <c r="J132" s="5"/>
      <c r="K132" s="5">
        <v>230</v>
      </c>
      <c r="L132" s="5">
        <v>19</v>
      </c>
      <c r="M132" s="5">
        <v>3</v>
      </c>
      <c r="N132" s="5" t="s">
        <v>3</v>
      </c>
      <c r="O132" s="5">
        <v>2</v>
      </c>
      <c r="P132" s="5">
        <f>ROUND(Source!ES112,O132)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206</v>
      </c>
      <c r="F133" s="5">
        <f>ROUND(Source!T112,O133)</f>
        <v>0</v>
      </c>
      <c r="G133" s="5" t="s">
        <v>90</v>
      </c>
      <c r="H133" s="5" t="s">
        <v>91</v>
      </c>
      <c r="I133" s="5"/>
      <c r="J133" s="5"/>
      <c r="K133" s="5">
        <v>206</v>
      </c>
      <c r="L133" s="5">
        <v>20</v>
      </c>
      <c r="M133" s="5">
        <v>3</v>
      </c>
      <c r="N133" s="5" t="s">
        <v>3</v>
      </c>
      <c r="O133" s="5">
        <v>2</v>
      </c>
      <c r="P133" s="5">
        <f>ROUND(Source!DL112,O133)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207</v>
      </c>
      <c r="F134" s="5">
        <f>Source!U112</f>
        <v>443.604136</v>
      </c>
      <c r="G134" s="5" t="s">
        <v>92</v>
      </c>
      <c r="H134" s="5" t="s">
        <v>93</v>
      </c>
      <c r="I134" s="5"/>
      <c r="J134" s="5"/>
      <c r="K134" s="5">
        <v>207</v>
      </c>
      <c r="L134" s="5">
        <v>21</v>
      </c>
      <c r="M134" s="5">
        <v>3</v>
      </c>
      <c r="N134" s="5" t="s">
        <v>3</v>
      </c>
      <c r="O134" s="5">
        <v>-1</v>
      </c>
      <c r="P134" s="5">
        <f>Source!DM112</f>
        <v>443.604136</v>
      </c>
      <c r="Q134" s="5"/>
      <c r="R134" s="5"/>
      <c r="S134" s="5"/>
      <c r="T134" s="5"/>
      <c r="U134" s="5"/>
      <c r="V134" s="5"/>
      <c r="W134" s="5">
        <v>443.604136</v>
      </c>
      <c r="X134" s="5">
        <v>1</v>
      </c>
      <c r="Y134" s="5">
        <v>443.604136</v>
      </c>
      <c r="Z134" s="5">
        <v>443.604136</v>
      </c>
      <c r="AA134" s="5">
        <v>1</v>
      </c>
      <c r="AB134" s="5">
        <v>443.604136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208</v>
      </c>
      <c r="F135" s="5">
        <f>Source!V112</f>
        <v>15.640264999999998</v>
      </c>
      <c r="G135" s="5" t="s">
        <v>94</v>
      </c>
      <c r="H135" s="5" t="s">
        <v>95</v>
      </c>
      <c r="I135" s="5"/>
      <c r="J135" s="5"/>
      <c r="K135" s="5">
        <v>208</v>
      </c>
      <c r="L135" s="5">
        <v>22</v>
      </c>
      <c r="M135" s="5">
        <v>3</v>
      </c>
      <c r="N135" s="5" t="s">
        <v>3</v>
      </c>
      <c r="O135" s="5">
        <v>-1</v>
      </c>
      <c r="P135" s="5">
        <f>Source!DN112</f>
        <v>15.640264999999998</v>
      </c>
      <c r="Q135" s="5"/>
      <c r="R135" s="5"/>
      <c r="S135" s="5"/>
      <c r="T135" s="5"/>
      <c r="U135" s="5"/>
      <c r="V135" s="5"/>
      <c r="W135" s="5">
        <v>15.640265</v>
      </c>
      <c r="X135" s="5">
        <v>1</v>
      </c>
      <c r="Y135" s="5">
        <v>15.640265</v>
      </c>
      <c r="Z135" s="5">
        <v>15.640265</v>
      </c>
      <c r="AA135" s="5">
        <v>1</v>
      </c>
      <c r="AB135" s="5">
        <v>15.640265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209</v>
      </c>
      <c r="F136" s="5">
        <f>ROUND(Source!W112,O136)</f>
        <v>0</v>
      </c>
      <c r="G136" s="5" t="s">
        <v>96</v>
      </c>
      <c r="H136" s="5" t="s">
        <v>97</v>
      </c>
      <c r="I136" s="5"/>
      <c r="J136" s="5"/>
      <c r="K136" s="5">
        <v>209</v>
      </c>
      <c r="L136" s="5">
        <v>23</v>
      </c>
      <c r="M136" s="5">
        <v>3</v>
      </c>
      <c r="N136" s="5" t="s">
        <v>3</v>
      </c>
      <c r="O136" s="5">
        <v>2</v>
      </c>
      <c r="P136" s="5">
        <f>ROUND(Source!DO112,O136)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233</v>
      </c>
      <c r="F137" s="5">
        <f>ROUND(Source!BD112,O137)</f>
        <v>0</v>
      </c>
      <c r="G137" s="5" t="s">
        <v>98</v>
      </c>
      <c r="H137" s="5" t="s">
        <v>99</v>
      </c>
      <c r="I137" s="5"/>
      <c r="J137" s="5"/>
      <c r="K137" s="5">
        <v>233</v>
      </c>
      <c r="L137" s="5">
        <v>24</v>
      </c>
      <c r="M137" s="5">
        <v>3</v>
      </c>
      <c r="N137" s="5" t="s">
        <v>3</v>
      </c>
      <c r="O137" s="5">
        <v>2</v>
      </c>
      <c r="P137" s="5">
        <f>ROUND(Source!EV112,O137)</f>
        <v>0</v>
      </c>
      <c r="Q137" s="5"/>
      <c r="R137" s="5"/>
      <c r="S137" s="5"/>
      <c r="T137" s="5"/>
      <c r="U137" s="5"/>
      <c r="V137" s="5"/>
      <c r="W137" s="5">
        <v>0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210</v>
      </c>
      <c r="F138" s="5">
        <f>ROUND(Source!X112,O138)</f>
        <v>4143.51</v>
      </c>
      <c r="G138" s="5" t="s">
        <v>100</v>
      </c>
      <c r="H138" s="5" t="s">
        <v>101</v>
      </c>
      <c r="I138" s="5"/>
      <c r="J138" s="5"/>
      <c r="K138" s="5">
        <v>210</v>
      </c>
      <c r="L138" s="5">
        <v>25</v>
      </c>
      <c r="M138" s="5">
        <v>3</v>
      </c>
      <c r="N138" s="5" t="s">
        <v>3</v>
      </c>
      <c r="O138" s="5">
        <v>2</v>
      </c>
      <c r="P138" s="5">
        <f>ROUND(Source!DP112,O138)</f>
        <v>4143.51</v>
      </c>
      <c r="Q138" s="5"/>
      <c r="R138" s="5"/>
      <c r="S138" s="5"/>
      <c r="T138" s="5"/>
      <c r="U138" s="5"/>
      <c r="V138" s="5"/>
      <c r="W138" s="5">
        <v>4143.51</v>
      </c>
      <c r="X138" s="5">
        <v>1</v>
      </c>
      <c r="Y138" s="5">
        <v>4143.51</v>
      </c>
      <c r="Z138" s="5">
        <v>4143.51</v>
      </c>
      <c r="AA138" s="5">
        <v>1</v>
      </c>
      <c r="AB138" s="5">
        <v>151114.12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211</v>
      </c>
      <c r="F139" s="5">
        <f>ROUND(Source!Y112,O139)</f>
        <v>2047.88</v>
      </c>
      <c r="G139" s="5" t="s">
        <v>102</v>
      </c>
      <c r="H139" s="5" t="s">
        <v>103</v>
      </c>
      <c r="I139" s="5"/>
      <c r="J139" s="5"/>
      <c r="K139" s="5">
        <v>211</v>
      </c>
      <c r="L139" s="5">
        <v>26</v>
      </c>
      <c r="M139" s="5">
        <v>3</v>
      </c>
      <c r="N139" s="5" t="s">
        <v>3</v>
      </c>
      <c r="O139" s="5">
        <v>2</v>
      </c>
      <c r="P139" s="5">
        <f>ROUND(Source!DQ112,O139)</f>
        <v>2047.88</v>
      </c>
      <c r="Q139" s="5"/>
      <c r="R139" s="5"/>
      <c r="S139" s="5"/>
      <c r="T139" s="5"/>
      <c r="U139" s="5"/>
      <c r="V139" s="5"/>
      <c r="W139" s="5">
        <v>2047.88</v>
      </c>
      <c r="X139" s="5">
        <v>1</v>
      </c>
      <c r="Y139" s="5">
        <v>2047.88</v>
      </c>
      <c r="Z139" s="5">
        <v>2047.88</v>
      </c>
      <c r="AA139" s="5">
        <v>1</v>
      </c>
      <c r="AB139" s="5">
        <v>74685.62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224</v>
      </c>
      <c r="F140" s="5">
        <f>ROUND(Source!AR112,O140)</f>
        <v>97628.63</v>
      </c>
      <c r="G140" s="5" t="s">
        <v>104</v>
      </c>
      <c r="H140" s="5" t="s">
        <v>105</v>
      </c>
      <c r="I140" s="5"/>
      <c r="J140" s="5"/>
      <c r="K140" s="5">
        <v>224</v>
      </c>
      <c r="L140" s="5">
        <v>27</v>
      </c>
      <c r="M140" s="5">
        <v>3</v>
      </c>
      <c r="N140" s="5" t="s">
        <v>3</v>
      </c>
      <c r="O140" s="5">
        <v>2</v>
      </c>
      <c r="P140" s="5">
        <f>ROUND(Source!EJ112,O140)</f>
        <v>97628.63</v>
      </c>
      <c r="Q140" s="5"/>
      <c r="R140" s="5"/>
      <c r="S140" s="5"/>
      <c r="T140" s="5"/>
      <c r="U140" s="5"/>
      <c r="V140" s="5"/>
      <c r="W140" s="5">
        <v>97628.63</v>
      </c>
      <c r="X140" s="5">
        <v>1</v>
      </c>
      <c r="Y140" s="5">
        <v>97628.63</v>
      </c>
      <c r="Z140" s="5">
        <v>97628.63</v>
      </c>
      <c r="AA140" s="5">
        <v>1</v>
      </c>
      <c r="AB140" s="5">
        <v>978076.62</v>
      </c>
    </row>
    <row r="142" spans="1:88" ht="12.75">
      <c r="A142" s="1">
        <v>4</v>
      </c>
      <c r="B142" s="1">
        <v>1</v>
      </c>
      <c r="C142" s="1"/>
      <c r="D142" s="1">
        <f>ROW(A153)</f>
        <v>153</v>
      </c>
      <c r="E142" s="1"/>
      <c r="F142" s="1" t="s">
        <v>194</v>
      </c>
      <c r="G142" s="1" t="s">
        <v>195</v>
      </c>
      <c r="H142" s="1" t="s">
        <v>3</v>
      </c>
      <c r="I142" s="1">
        <v>0</v>
      </c>
      <c r="J142" s="1"/>
      <c r="K142" s="1">
        <v>0</v>
      </c>
      <c r="L142" s="1"/>
      <c r="M142" s="1" t="s">
        <v>3</v>
      </c>
      <c r="N142" s="1"/>
      <c r="O142" s="1"/>
      <c r="P142" s="1"/>
      <c r="Q142" s="1"/>
      <c r="R142" s="1"/>
      <c r="S142" s="1">
        <v>0</v>
      </c>
      <c r="T142" s="1">
        <v>55457797</v>
      </c>
      <c r="U142" s="1" t="s">
        <v>3</v>
      </c>
      <c r="V142" s="1">
        <v>0</v>
      </c>
      <c r="W142" s="1"/>
      <c r="X142" s="1"/>
      <c r="Y142" s="1"/>
      <c r="Z142" s="1"/>
      <c r="AA142" s="1"/>
      <c r="AB142" s="1" t="s">
        <v>3</v>
      </c>
      <c r="AC142" s="1" t="s">
        <v>3</v>
      </c>
      <c r="AD142" s="1" t="s">
        <v>3</v>
      </c>
      <c r="AE142" s="1" t="s">
        <v>3</v>
      </c>
      <c r="AF142" s="1" t="s">
        <v>3</v>
      </c>
      <c r="AG142" s="1" t="s">
        <v>3</v>
      </c>
      <c r="AH142" s="1"/>
      <c r="AI142" s="1"/>
      <c r="AJ142" s="1"/>
      <c r="AK142" s="1"/>
      <c r="AL142" s="1"/>
      <c r="AM142" s="1"/>
      <c r="AN142" s="1"/>
      <c r="AO142" s="1"/>
      <c r="AP142" s="1" t="s">
        <v>3</v>
      </c>
      <c r="AQ142" s="1" t="s">
        <v>3</v>
      </c>
      <c r="AR142" s="1" t="s">
        <v>3</v>
      </c>
      <c r="AS142" s="1"/>
      <c r="AT142" s="1"/>
      <c r="AU142" s="1"/>
      <c r="AV142" s="1"/>
      <c r="AW142" s="1"/>
      <c r="AX142" s="1"/>
      <c r="AY142" s="1"/>
      <c r="AZ142" s="1" t="s">
        <v>3</v>
      </c>
      <c r="BA142" s="1"/>
      <c r="BB142" s="1" t="s">
        <v>3</v>
      </c>
      <c r="BC142" s="1" t="s">
        <v>3</v>
      </c>
      <c r="BD142" s="1" t="s">
        <v>3</v>
      </c>
      <c r="BE142" s="1" t="s">
        <v>3</v>
      </c>
      <c r="BF142" s="1" t="s">
        <v>3</v>
      </c>
      <c r="BG142" s="1" t="s">
        <v>3</v>
      </c>
      <c r="BH142" s="1" t="s">
        <v>3</v>
      </c>
      <c r="BI142" s="1" t="s">
        <v>3</v>
      </c>
      <c r="BJ142" s="1" t="s">
        <v>3</v>
      </c>
      <c r="BK142" s="1" t="s">
        <v>3</v>
      </c>
      <c r="BL142" s="1" t="s">
        <v>3</v>
      </c>
      <c r="BM142" s="1" t="s">
        <v>3</v>
      </c>
      <c r="BN142" s="1" t="s">
        <v>3</v>
      </c>
      <c r="BO142" s="1" t="s">
        <v>3</v>
      </c>
      <c r="BP142" s="1" t="s">
        <v>3</v>
      </c>
      <c r="BQ142" s="1"/>
      <c r="BR142" s="1"/>
      <c r="BS142" s="1"/>
      <c r="BT142" s="1"/>
      <c r="BU142" s="1"/>
      <c r="BV142" s="1"/>
      <c r="BW142" s="1"/>
      <c r="BX142" s="1">
        <v>0</v>
      </c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>
        <v>0</v>
      </c>
    </row>
    <row r="144" spans="1:206" ht="12.75">
      <c r="A144" s="3">
        <v>52</v>
      </c>
      <c r="B144" s="3">
        <f aca="true" t="shared" si="118" ref="B144:G144">B153</f>
        <v>1</v>
      </c>
      <c r="C144" s="3">
        <f t="shared" si="118"/>
        <v>4</v>
      </c>
      <c r="D144" s="3">
        <f t="shared" si="118"/>
        <v>142</v>
      </c>
      <c r="E144" s="3">
        <f t="shared" si="118"/>
        <v>0</v>
      </c>
      <c r="F144" s="3" t="str">
        <f t="shared" si="118"/>
        <v>Новый раздел</v>
      </c>
      <c r="G144" s="3" t="str">
        <f t="shared" si="118"/>
        <v>Разные работы</v>
      </c>
      <c r="H144" s="3"/>
      <c r="I144" s="3"/>
      <c r="J144" s="3"/>
      <c r="K144" s="3"/>
      <c r="L144" s="3"/>
      <c r="M144" s="3"/>
      <c r="N144" s="3"/>
      <c r="O144" s="3">
        <f aca="true" t="shared" si="119" ref="O144:AT144">O153</f>
        <v>292.63</v>
      </c>
      <c r="P144" s="3">
        <f t="shared" si="119"/>
        <v>201.56</v>
      </c>
      <c r="Q144" s="3">
        <f t="shared" si="119"/>
        <v>0</v>
      </c>
      <c r="R144" s="3">
        <f t="shared" si="119"/>
        <v>0</v>
      </c>
      <c r="S144" s="3">
        <f t="shared" si="119"/>
        <v>91.07</v>
      </c>
      <c r="T144" s="3">
        <f t="shared" si="119"/>
        <v>0</v>
      </c>
      <c r="U144" s="3">
        <f t="shared" si="119"/>
        <v>12.6587</v>
      </c>
      <c r="V144" s="3">
        <f t="shared" si="119"/>
        <v>0</v>
      </c>
      <c r="W144" s="3">
        <f t="shared" si="119"/>
        <v>0</v>
      </c>
      <c r="X144" s="3">
        <f t="shared" si="119"/>
        <v>83.78</v>
      </c>
      <c r="Y144" s="3">
        <f t="shared" si="119"/>
        <v>40.07</v>
      </c>
      <c r="Z144" s="3">
        <f t="shared" si="119"/>
        <v>0</v>
      </c>
      <c r="AA144" s="3">
        <f t="shared" si="119"/>
        <v>0</v>
      </c>
      <c r="AB144" s="3">
        <f t="shared" si="119"/>
        <v>292.63</v>
      </c>
      <c r="AC144" s="3">
        <f t="shared" si="119"/>
        <v>201.56</v>
      </c>
      <c r="AD144" s="3">
        <f t="shared" si="119"/>
        <v>0</v>
      </c>
      <c r="AE144" s="3">
        <f t="shared" si="119"/>
        <v>0</v>
      </c>
      <c r="AF144" s="3">
        <f t="shared" si="119"/>
        <v>91.07</v>
      </c>
      <c r="AG144" s="3">
        <f t="shared" si="119"/>
        <v>0</v>
      </c>
      <c r="AH144" s="3">
        <f t="shared" si="119"/>
        <v>12.6587</v>
      </c>
      <c r="AI144" s="3">
        <f t="shared" si="119"/>
        <v>0</v>
      </c>
      <c r="AJ144" s="3">
        <f t="shared" si="119"/>
        <v>0</v>
      </c>
      <c r="AK144" s="3">
        <f t="shared" si="119"/>
        <v>83.78</v>
      </c>
      <c r="AL144" s="3">
        <f t="shared" si="119"/>
        <v>40.07</v>
      </c>
      <c r="AM144" s="3">
        <f t="shared" si="119"/>
        <v>0</v>
      </c>
      <c r="AN144" s="3">
        <f t="shared" si="119"/>
        <v>0</v>
      </c>
      <c r="AO144" s="3">
        <f t="shared" si="119"/>
        <v>0</v>
      </c>
      <c r="AP144" s="3">
        <f t="shared" si="119"/>
        <v>0</v>
      </c>
      <c r="AQ144" s="3">
        <f t="shared" si="119"/>
        <v>0</v>
      </c>
      <c r="AR144" s="3">
        <f t="shared" si="119"/>
        <v>1749.48</v>
      </c>
      <c r="AS144" s="3">
        <f t="shared" si="119"/>
        <v>1749.48</v>
      </c>
      <c r="AT144" s="3">
        <f t="shared" si="119"/>
        <v>0</v>
      </c>
      <c r="AU144" s="3">
        <f aca="true" t="shared" si="120" ref="AU144:BZ144">AU153</f>
        <v>0</v>
      </c>
      <c r="AV144" s="3">
        <f t="shared" si="120"/>
        <v>201.56</v>
      </c>
      <c r="AW144" s="3">
        <f t="shared" si="120"/>
        <v>201.56</v>
      </c>
      <c r="AX144" s="3">
        <f t="shared" si="120"/>
        <v>0</v>
      </c>
      <c r="AY144" s="3">
        <f t="shared" si="120"/>
        <v>201.56</v>
      </c>
      <c r="AZ144" s="3">
        <f t="shared" si="120"/>
        <v>0</v>
      </c>
      <c r="BA144" s="3">
        <f t="shared" si="120"/>
        <v>0</v>
      </c>
      <c r="BB144" s="3">
        <f t="shared" si="120"/>
        <v>0</v>
      </c>
      <c r="BC144" s="3">
        <f t="shared" si="120"/>
        <v>0</v>
      </c>
      <c r="BD144" s="3">
        <f t="shared" si="120"/>
        <v>1333</v>
      </c>
      <c r="BE144" s="3">
        <f t="shared" si="120"/>
        <v>0</v>
      </c>
      <c r="BF144" s="3">
        <f t="shared" si="120"/>
        <v>0</v>
      </c>
      <c r="BG144" s="3">
        <f t="shared" si="120"/>
        <v>0</v>
      </c>
      <c r="BH144" s="3">
        <f t="shared" si="120"/>
        <v>0</v>
      </c>
      <c r="BI144" s="3">
        <f t="shared" si="120"/>
        <v>0</v>
      </c>
      <c r="BJ144" s="3">
        <f t="shared" si="120"/>
        <v>0</v>
      </c>
      <c r="BK144" s="3">
        <f t="shared" si="120"/>
        <v>0</v>
      </c>
      <c r="BL144" s="3">
        <f t="shared" si="120"/>
        <v>0</v>
      </c>
      <c r="BM144" s="3">
        <f t="shared" si="120"/>
        <v>0</v>
      </c>
      <c r="BN144" s="3">
        <f t="shared" si="120"/>
        <v>0</v>
      </c>
      <c r="BO144" s="3">
        <f t="shared" si="120"/>
        <v>0</v>
      </c>
      <c r="BP144" s="3">
        <f t="shared" si="120"/>
        <v>0</v>
      </c>
      <c r="BQ144" s="3">
        <f t="shared" si="120"/>
        <v>0</v>
      </c>
      <c r="BR144" s="3">
        <f t="shared" si="120"/>
        <v>0</v>
      </c>
      <c r="BS144" s="3">
        <f t="shared" si="120"/>
        <v>0</v>
      </c>
      <c r="BT144" s="3">
        <f t="shared" si="120"/>
        <v>0</v>
      </c>
      <c r="BU144" s="3">
        <f t="shared" si="120"/>
        <v>0</v>
      </c>
      <c r="BV144" s="3">
        <f t="shared" si="120"/>
        <v>0</v>
      </c>
      <c r="BW144" s="3">
        <f t="shared" si="120"/>
        <v>0</v>
      </c>
      <c r="BX144" s="3">
        <f t="shared" si="120"/>
        <v>0</v>
      </c>
      <c r="BY144" s="3">
        <f t="shared" si="120"/>
        <v>0</v>
      </c>
      <c r="BZ144" s="3">
        <f t="shared" si="120"/>
        <v>0</v>
      </c>
      <c r="CA144" s="3">
        <f aca="true" t="shared" si="121" ref="CA144:DF144">CA153</f>
        <v>1749.48</v>
      </c>
      <c r="CB144" s="3">
        <f t="shared" si="121"/>
        <v>1749.48</v>
      </c>
      <c r="CC144" s="3">
        <f t="shared" si="121"/>
        <v>0</v>
      </c>
      <c r="CD144" s="3">
        <f t="shared" si="121"/>
        <v>0</v>
      </c>
      <c r="CE144" s="3">
        <f t="shared" si="121"/>
        <v>201.56</v>
      </c>
      <c r="CF144" s="3">
        <f t="shared" si="121"/>
        <v>201.56</v>
      </c>
      <c r="CG144" s="3">
        <f t="shared" si="121"/>
        <v>0</v>
      </c>
      <c r="CH144" s="3">
        <f t="shared" si="121"/>
        <v>201.56</v>
      </c>
      <c r="CI144" s="3">
        <f t="shared" si="121"/>
        <v>0</v>
      </c>
      <c r="CJ144" s="3">
        <f t="shared" si="121"/>
        <v>0</v>
      </c>
      <c r="CK144" s="3">
        <f t="shared" si="121"/>
        <v>0</v>
      </c>
      <c r="CL144" s="3">
        <f t="shared" si="121"/>
        <v>0</v>
      </c>
      <c r="CM144" s="3">
        <f t="shared" si="121"/>
        <v>1333</v>
      </c>
      <c r="CN144" s="3">
        <f t="shared" si="121"/>
        <v>0</v>
      </c>
      <c r="CO144" s="3">
        <f t="shared" si="121"/>
        <v>0</v>
      </c>
      <c r="CP144" s="3">
        <f t="shared" si="121"/>
        <v>0</v>
      </c>
      <c r="CQ144" s="3">
        <f t="shared" si="121"/>
        <v>0</v>
      </c>
      <c r="CR144" s="3">
        <f t="shared" si="121"/>
        <v>0</v>
      </c>
      <c r="CS144" s="3">
        <f t="shared" si="121"/>
        <v>0</v>
      </c>
      <c r="CT144" s="3">
        <f t="shared" si="121"/>
        <v>0</v>
      </c>
      <c r="CU144" s="3">
        <f t="shared" si="121"/>
        <v>0</v>
      </c>
      <c r="CV144" s="3">
        <f t="shared" si="121"/>
        <v>0</v>
      </c>
      <c r="CW144" s="3">
        <f t="shared" si="121"/>
        <v>0</v>
      </c>
      <c r="CX144" s="3">
        <f t="shared" si="121"/>
        <v>0</v>
      </c>
      <c r="CY144" s="3">
        <f t="shared" si="121"/>
        <v>0</v>
      </c>
      <c r="CZ144" s="3">
        <f t="shared" si="121"/>
        <v>0</v>
      </c>
      <c r="DA144" s="3">
        <f t="shared" si="121"/>
        <v>0</v>
      </c>
      <c r="DB144" s="3">
        <f t="shared" si="121"/>
        <v>0</v>
      </c>
      <c r="DC144" s="3">
        <f t="shared" si="121"/>
        <v>0</v>
      </c>
      <c r="DD144" s="3">
        <f t="shared" si="121"/>
        <v>0</v>
      </c>
      <c r="DE144" s="3">
        <f t="shared" si="121"/>
        <v>0</v>
      </c>
      <c r="DF144" s="3">
        <f t="shared" si="121"/>
        <v>0</v>
      </c>
      <c r="DG144" s="4">
        <f aca="true" t="shared" si="122" ref="DG144:EL144">DG153</f>
        <v>292.63</v>
      </c>
      <c r="DH144" s="4">
        <f t="shared" si="122"/>
        <v>201.56</v>
      </c>
      <c r="DI144" s="4">
        <f t="shared" si="122"/>
        <v>0</v>
      </c>
      <c r="DJ144" s="4">
        <f t="shared" si="122"/>
        <v>0</v>
      </c>
      <c r="DK144" s="4">
        <f t="shared" si="122"/>
        <v>91.07</v>
      </c>
      <c r="DL144" s="4">
        <f t="shared" si="122"/>
        <v>0</v>
      </c>
      <c r="DM144" s="4">
        <f t="shared" si="122"/>
        <v>12.6587</v>
      </c>
      <c r="DN144" s="4">
        <f t="shared" si="122"/>
        <v>0</v>
      </c>
      <c r="DO144" s="4">
        <f t="shared" si="122"/>
        <v>0</v>
      </c>
      <c r="DP144" s="4">
        <f t="shared" si="122"/>
        <v>83.78</v>
      </c>
      <c r="DQ144" s="4">
        <f t="shared" si="122"/>
        <v>40.07</v>
      </c>
      <c r="DR144" s="4">
        <f t="shared" si="122"/>
        <v>0</v>
      </c>
      <c r="DS144" s="4">
        <f t="shared" si="122"/>
        <v>0</v>
      </c>
      <c r="DT144" s="4">
        <f t="shared" si="122"/>
        <v>292.63</v>
      </c>
      <c r="DU144" s="4">
        <f t="shared" si="122"/>
        <v>201.56</v>
      </c>
      <c r="DV144" s="4">
        <f t="shared" si="122"/>
        <v>0</v>
      </c>
      <c r="DW144" s="4">
        <f t="shared" si="122"/>
        <v>0</v>
      </c>
      <c r="DX144" s="4">
        <f t="shared" si="122"/>
        <v>91.07</v>
      </c>
      <c r="DY144" s="4">
        <f t="shared" si="122"/>
        <v>0</v>
      </c>
      <c r="DZ144" s="4">
        <f t="shared" si="122"/>
        <v>12.6587</v>
      </c>
      <c r="EA144" s="4">
        <f t="shared" si="122"/>
        <v>0</v>
      </c>
      <c r="EB144" s="4">
        <f t="shared" si="122"/>
        <v>0</v>
      </c>
      <c r="EC144" s="4">
        <f t="shared" si="122"/>
        <v>83.78</v>
      </c>
      <c r="ED144" s="4">
        <f t="shared" si="122"/>
        <v>40.07</v>
      </c>
      <c r="EE144" s="4">
        <f t="shared" si="122"/>
        <v>0</v>
      </c>
      <c r="EF144" s="4">
        <f t="shared" si="122"/>
        <v>0</v>
      </c>
      <c r="EG144" s="4">
        <f t="shared" si="122"/>
        <v>0</v>
      </c>
      <c r="EH144" s="4">
        <f t="shared" si="122"/>
        <v>0</v>
      </c>
      <c r="EI144" s="4">
        <f t="shared" si="122"/>
        <v>0</v>
      </c>
      <c r="EJ144" s="4">
        <f t="shared" si="122"/>
        <v>1749.48</v>
      </c>
      <c r="EK144" s="4">
        <f t="shared" si="122"/>
        <v>1749.48</v>
      </c>
      <c r="EL144" s="4">
        <f t="shared" si="122"/>
        <v>0</v>
      </c>
      <c r="EM144" s="4">
        <f aca="true" t="shared" si="123" ref="EM144:FR144">EM153</f>
        <v>0</v>
      </c>
      <c r="EN144" s="4">
        <f t="shared" si="123"/>
        <v>201.56</v>
      </c>
      <c r="EO144" s="4">
        <f t="shared" si="123"/>
        <v>201.56</v>
      </c>
      <c r="EP144" s="4">
        <f t="shared" si="123"/>
        <v>0</v>
      </c>
      <c r="EQ144" s="4">
        <f t="shared" si="123"/>
        <v>201.56</v>
      </c>
      <c r="ER144" s="4">
        <f t="shared" si="123"/>
        <v>0</v>
      </c>
      <c r="ES144" s="4">
        <f t="shared" si="123"/>
        <v>0</v>
      </c>
      <c r="ET144" s="4">
        <f t="shared" si="123"/>
        <v>0</v>
      </c>
      <c r="EU144" s="4">
        <f t="shared" si="123"/>
        <v>0</v>
      </c>
      <c r="EV144" s="4">
        <f t="shared" si="123"/>
        <v>1333</v>
      </c>
      <c r="EW144" s="4">
        <f t="shared" si="123"/>
        <v>0</v>
      </c>
      <c r="EX144" s="4">
        <f t="shared" si="123"/>
        <v>0</v>
      </c>
      <c r="EY144" s="4">
        <f t="shared" si="123"/>
        <v>0</v>
      </c>
      <c r="EZ144" s="4">
        <f t="shared" si="123"/>
        <v>0</v>
      </c>
      <c r="FA144" s="4">
        <f t="shared" si="123"/>
        <v>0</v>
      </c>
      <c r="FB144" s="4">
        <f t="shared" si="123"/>
        <v>0</v>
      </c>
      <c r="FC144" s="4">
        <f t="shared" si="123"/>
        <v>0</v>
      </c>
      <c r="FD144" s="4">
        <f t="shared" si="123"/>
        <v>0</v>
      </c>
      <c r="FE144" s="4">
        <f t="shared" si="123"/>
        <v>0</v>
      </c>
      <c r="FF144" s="4">
        <f t="shared" si="123"/>
        <v>0</v>
      </c>
      <c r="FG144" s="4">
        <f t="shared" si="123"/>
        <v>0</v>
      </c>
      <c r="FH144" s="4">
        <f t="shared" si="123"/>
        <v>0</v>
      </c>
      <c r="FI144" s="4">
        <f t="shared" si="123"/>
        <v>0</v>
      </c>
      <c r="FJ144" s="4">
        <f t="shared" si="123"/>
        <v>0</v>
      </c>
      <c r="FK144" s="4">
        <f t="shared" si="123"/>
        <v>0</v>
      </c>
      <c r="FL144" s="4">
        <f t="shared" si="123"/>
        <v>0</v>
      </c>
      <c r="FM144" s="4">
        <f t="shared" si="123"/>
        <v>0</v>
      </c>
      <c r="FN144" s="4">
        <f t="shared" si="123"/>
        <v>0</v>
      </c>
      <c r="FO144" s="4">
        <f t="shared" si="123"/>
        <v>0</v>
      </c>
      <c r="FP144" s="4">
        <f t="shared" si="123"/>
        <v>0</v>
      </c>
      <c r="FQ144" s="4">
        <f t="shared" si="123"/>
        <v>0</v>
      </c>
      <c r="FR144" s="4">
        <f t="shared" si="123"/>
        <v>0</v>
      </c>
      <c r="FS144" s="4">
        <f aca="true" t="shared" si="124" ref="FS144:GX144">FS153</f>
        <v>1749.48</v>
      </c>
      <c r="FT144" s="4">
        <f t="shared" si="124"/>
        <v>1749.48</v>
      </c>
      <c r="FU144" s="4">
        <f t="shared" si="124"/>
        <v>0</v>
      </c>
      <c r="FV144" s="4">
        <f t="shared" si="124"/>
        <v>0</v>
      </c>
      <c r="FW144" s="4">
        <f t="shared" si="124"/>
        <v>201.56</v>
      </c>
      <c r="FX144" s="4">
        <f t="shared" si="124"/>
        <v>201.56</v>
      </c>
      <c r="FY144" s="4">
        <f t="shared" si="124"/>
        <v>0</v>
      </c>
      <c r="FZ144" s="4">
        <f t="shared" si="124"/>
        <v>201.56</v>
      </c>
      <c r="GA144" s="4">
        <f t="shared" si="124"/>
        <v>0</v>
      </c>
      <c r="GB144" s="4">
        <f t="shared" si="124"/>
        <v>0</v>
      </c>
      <c r="GC144" s="4">
        <f t="shared" si="124"/>
        <v>0</v>
      </c>
      <c r="GD144" s="4">
        <f t="shared" si="124"/>
        <v>0</v>
      </c>
      <c r="GE144" s="4">
        <f t="shared" si="124"/>
        <v>1333</v>
      </c>
      <c r="GF144" s="4">
        <f t="shared" si="124"/>
        <v>0</v>
      </c>
      <c r="GG144" s="4">
        <f t="shared" si="124"/>
        <v>0</v>
      </c>
      <c r="GH144" s="4">
        <f t="shared" si="124"/>
        <v>0</v>
      </c>
      <c r="GI144" s="4">
        <f t="shared" si="124"/>
        <v>0</v>
      </c>
      <c r="GJ144" s="4">
        <f t="shared" si="124"/>
        <v>0</v>
      </c>
      <c r="GK144" s="4">
        <f t="shared" si="124"/>
        <v>0</v>
      </c>
      <c r="GL144" s="4">
        <f t="shared" si="124"/>
        <v>0</v>
      </c>
      <c r="GM144" s="4">
        <f t="shared" si="124"/>
        <v>0</v>
      </c>
      <c r="GN144" s="4">
        <f t="shared" si="124"/>
        <v>0</v>
      </c>
      <c r="GO144" s="4">
        <f t="shared" si="124"/>
        <v>0</v>
      </c>
      <c r="GP144" s="4">
        <f t="shared" si="124"/>
        <v>0</v>
      </c>
      <c r="GQ144" s="4">
        <f t="shared" si="124"/>
        <v>0</v>
      </c>
      <c r="GR144" s="4">
        <f t="shared" si="124"/>
        <v>0</v>
      </c>
      <c r="GS144" s="4">
        <f t="shared" si="124"/>
        <v>0</v>
      </c>
      <c r="GT144" s="4">
        <f t="shared" si="124"/>
        <v>0</v>
      </c>
      <c r="GU144" s="4">
        <f t="shared" si="124"/>
        <v>0</v>
      </c>
      <c r="GV144" s="4">
        <f t="shared" si="124"/>
        <v>0</v>
      </c>
      <c r="GW144" s="4">
        <f t="shared" si="124"/>
        <v>0</v>
      </c>
      <c r="GX144" s="4">
        <f t="shared" si="124"/>
        <v>0</v>
      </c>
    </row>
    <row r="146" spans="1:255" ht="12.75">
      <c r="A146" s="2">
        <v>17</v>
      </c>
      <c r="B146" s="2">
        <v>1</v>
      </c>
      <c r="C146" s="2">
        <f>ROW(SmtRes!A120)</f>
        <v>120</v>
      </c>
      <c r="D146" s="2">
        <f>ROW(EtalonRes!A120)</f>
        <v>120</v>
      </c>
      <c r="E146" s="2" t="s">
        <v>196</v>
      </c>
      <c r="F146" s="2" t="s">
        <v>197</v>
      </c>
      <c r="G146" s="2" t="s">
        <v>198</v>
      </c>
      <c r="H146" s="2" t="s">
        <v>123</v>
      </c>
      <c r="I146" s="2">
        <v>12.29</v>
      </c>
      <c r="J146" s="2">
        <v>0</v>
      </c>
      <c r="K146" s="2">
        <v>12.29</v>
      </c>
      <c r="L146" s="2"/>
      <c r="M146" s="2"/>
      <c r="N146" s="2"/>
      <c r="O146" s="2">
        <f>ROUND(CP146,2)</f>
        <v>292.63</v>
      </c>
      <c r="P146" s="2">
        <f>ROUND(CQ146*I146,2)</f>
        <v>201.56</v>
      </c>
      <c r="Q146" s="2">
        <f>ROUND(CR146*I146,2)</f>
        <v>0</v>
      </c>
      <c r="R146" s="2">
        <f>ROUND(CS146*I146,2)</f>
        <v>0</v>
      </c>
      <c r="S146" s="2">
        <f>ROUND(CT146*I146,2)</f>
        <v>91.07</v>
      </c>
      <c r="T146" s="2">
        <f>ROUND(CU146*I146,2)</f>
        <v>0</v>
      </c>
      <c r="U146" s="2">
        <f>CV146*I146</f>
        <v>12.6587</v>
      </c>
      <c r="V146" s="2">
        <f>CW146*I146</f>
        <v>0</v>
      </c>
      <c r="W146" s="2">
        <f>ROUND(CX146*I146,2)</f>
        <v>0</v>
      </c>
      <c r="X146" s="2">
        <f>ROUND(CY146,2)</f>
        <v>83.78</v>
      </c>
      <c r="Y146" s="2">
        <f>ROUND(CZ146,2)</f>
        <v>40.07</v>
      </c>
      <c r="Z146" s="2"/>
      <c r="AA146" s="2">
        <v>55457795</v>
      </c>
      <c r="AB146" s="2">
        <f>ROUND((AC146+AD146+AF146),2)</f>
        <v>23.81</v>
      </c>
      <c r="AC146" s="2">
        <f>ROUND((ES146),2)</f>
        <v>16.4</v>
      </c>
      <c r="AD146" s="2">
        <f>ROUND((((ET146)-(EU146))+AE146),2)</f>
        <v>0</v>
      </c>
      <c r="AE146" s="2">
        <f>ROUND((EU146),2)</f>
        <v>0</v>
      </c>
      <c r="AF146" s="2">
        <f>ROUND((EV146),2)</f>
        <v>7.41</v>
      </c>
      <c r="AG146" s="2">
        <f>ROUND((AP146),2)</f>
        <v>0</v>
      </c>
      <c r="AH146" s="2">
        <f>(EW146)</f>
        <v>1.03</v>
      </c>
      <c r="AI146" s="2">
        <f>(EX146)</f>
        <v>0</v>
      </c>
      <c r="AJ146" s="2">
        <f>(AS146)</f>
        <v>0</v>
      </c>
      <c r="AK146" s="2">
        <v>23.81</v>
      </c>
      <c r="AL146" s="2">
        <v>16.4</v>
      </c>
      <c r="AM146" s="2">
        <v>0</v>
      </c>
      <c r="AN146" s="2">
        <v>0</v>
      </c>
      <c r="AO146" s="2">
        <v>7.41</v>
      </c>
      <c r="AP146" s="2">
        <v>0</v>
      </c>
      <c r="AQ146" s="2">
        <v>1.03</v>
      </c>
      <c r="AR146" s="2">
        <v>0</v>
      </c>
      <c r="AS146" s="2">
        <v>0</v>
      </c>
      <c r="AT146" s="2">
        <v>92</v>
      </c>
      <c r="AU146" s="2">
        <v>44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3</v>
      </c>
      <c r="BE146" s="2" t="s">
        <v>3</v>
      </c>
      <c r="BF146" s="2" t="s">
        <v>3</v>
      </c>
      <c r="BG146" s="2" t="s">
        <v>3</v>
      </c>
      <c r="BH146" s="2">
        <v>0</v>
      </c>
      <c r="BI146" s="2">
        <v>1</v>
      </c>
      <c r="BJ146" s="2" t="s">
        <v>199</v>
      </c>
      <c r="BK146" s="2"/>
      <c r="BL146" s="2"/>
      <c r="BM146" s="2">
        <v>69001</v>
      </c>
      <c r="BN146" s="2">
        <v>0</v>
      </c>
      <c r="BO146" s="2" t="s">
        <v>3</v>
      </c>
      <c r="BP146" s="2">
        <v>0</v>
      </c>
      <c r="BQ146" s="2">
        <v>6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3</v>
      </c>
      <c r="BZ146" s="2">
        <v>92</v>
      </c>
      <c r="CA146" s="2">
        <v>44</v>
      </c>
      <c r="CB146" s="2" t="s">
        <v>3</v>
      </c>
      <c r="CC146" s="2"/>
      <c r="CD146" s="2"/>
      <c r="CE146" s="2">
        <v>0</v>
      </c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3</v>
      </c>
      <c r="CO146" s="2">
        <v>0</v>
      </c>
      <c r="CP146" s="2">
        <f>(P146+Q146+S146)</f>
        <v>292.63</v>
      </c>
      <c r="CQ146" s="2">
        <f>AC146*BC146</f>
        <v>16.4</v>
      </c>
      <c r="CR146" s="2">
        <f>AD146*BB146</f>
        <v>0</v>
      </c>
      <c r="CS146" s="2">
        <f aca="true" t="shared" si="125" ref="CS146:CX147">AE146</f>
        <v>0</v>
      </c>
      <c r="CT146" s="2">
        <f t="shared" si="125"/>
        <v>7.41</v>
      </c>
      <c r="CU146" s="2">
        <f t="shared" si="125"/>
        <v>0</v>
      </c>
      <c r="CV146" s="2">
        <f t="shared" si="125"/>
        <v>1.03</v>
      </c>
      <c r="CW146" s="2">
        <f t="shared" si="125"/>
        <v>0</v>
      </c>
      <c r="CX146" s="2">
        <f t="shared" si="125"/>
        <v>0</v>
      </c>
      <c r="CY146" s="2">
        <f>(((S146+R146)*AT146)/100)</f>
        <v>83.78439999999999</v>
      </c>
      <c r="CZ146" s="2">
        <f>(((S146+R146)*AU146)/100)</f>
        <v>40.0708</v>
      </c>
      <c r="DA146" s="2"/>
      <c r="DB146" s="2"/>
      <c r="DC146" s="2" t="s">
        <v>3</v>
      </c>
      <c r="DD146" s="2" t="s">
        <v>3</v>
      </c>
      <c r="DE146" s="2" t="s">
        <v>3</v>
      </c>
      <c r="DF146" s="2" t="s">
        <v>3</v>
      </c>
      <c r="DG146" s="2" t="s">
        <v>3</v>
      </c>
      <c r="DH146" s="2" t="s">
        <v>3</v>
      </c>
      <c r="DI146" s="2" t="s">
        <v>3</v>
      </c>
      <c r="DJ146" s="2" t="s">
        <v>3</v>
      </c>
      <c r="DK146" s="2" t="s">
        <v>3</v>
      </c>
      <c r="DL146" s="2" t="s">
        <v>3</v>
      </c>
      <c r="DM146" s="2" t="s">
        <v>3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123</v>
      </c>
      <c r="DW146" s="2" t="s">
        <v>123</v>
      </c>
      <c r="DX146" s="2">
        <v>1000</v>
      </c>
      <c r="DY146" s="2"/>
      <c r="DZ146" s="2" t="s">
        <v>3</v>
      </c>
      <c r="EA146" s="2" t="s">
        <v>3</v>
      </c>
      <c r="EB146" s="2" t="s">
        <v>3</v>
      </c>
      <c r="EC146" s="2" t="s">
        <v>3</v>
      </c>
      <c r="ED146" s="2"/>
      <c r="EE146" s="2">
        <v>55402736</v>
      </c>
      <c r="EF146" s="2">
        <v>6</v>
      </c>
      <c r="EG146" s="2" t="s">
        <v>200</v>
      </c>
      <c r="EH146" s="2">
        <v>103</v>
      </c>
      <c r="EI146" s="2" t="s">
        <v>201</v>
      </c>
      <c r="EJ146" s="2">
        <v>1</v>
      </c>
      <c r="EK146" s="2">
        <v>69001</v>
      </c>
      <c r="EL146" s="2" t="s">
        <v>201</v>
      </c>
      <c r="EM146" s="2" t="s">
        <v>202</v>
      </c>
      <c r="EN146" s="2"/>
      <c r="EO146" s="2" t="s">
        <v>3</v>
      </c>
      <c r="EP146" s="2"/>
      <c r="EQ146" s="2">
        <v>0</v>
      </c>
      <c r="ER146" s="2">
        <v>23.81</v>
      </c>
      <c r="ES146" s="2">
        <v>16.4</v>
      </c>
      <c r="ET146" s="2">
        <v>0</v>
      </c>
      <c r="EU146" s="2">
        <v>0</v>
      </c>
      <c r="EV146" s="2">
        <v>7.41</v>
      </c>
      <c r="EW146" s="2">
        <v>1.03</v>
      </c>
      <c r="EX146" s="2">
        <v>0</v>
      </c>
      <c r="EY146" s="2">
        <v>0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aca="true" t="shared" si="126" ref="FR146:FR151">ROUND(IF(AND(BH146=3,BI146=3),P146,0),2)</f>
        <v>0</v>
      </c>
      <c r="FS146" s="2">
        <v>0</v>
      </c>
      <c r="FT146" s="2"/>
      <c r="FU146" s="2"/>
      <c r="FV146" s="2"/>
      <c r="FW146" s="2"/>
      <c r="FX146" s="2">
        <v>92</v>
      </c>
      <c r="FY146" s="2">
        <v>44</v>
      </c>
      <c r="FZ146" s="2"/>
      <c r="GA146" s="2" t="s">
        <v>3</v>
      </c>
      <c r="GB146" s="2"/>
      <c r="GC146" s="2"/>
      <c r="GD146" s="2">
        <v>1</v>
      </c>
      <c r="GE146" s="2"/>
      <c r="GF146" s="2">
        <v>-1160313074</v>
      </c>
      <c r="GG146" s="2">
        <v>2</v>
      </c>
      <c r="GH146" s="2">
        <v>1</v>
      </c>
      <c r="GI146" s="2">
        <v>-2</v>
      </c>
      <c r="GJ146" s="2">
        <v>0</v>
      </c>
      <c r="GK146" s="2">
        <v>0</v>
      </c>
      <c r="GL146" s="2">
        <f aca="true" t="shared" si="127" ref="GL146:GL151">ROUND(IF(AND(BH146=3,BI146=3,FS146&lt;&gt;0),P146,0),2)</f>
        <v>0</v>
      </c>
      <c r="GM146" s="2">
        <f>ROUND(O146+X146+Y146,2)+GX146</f>
        <v>416.48</v>
      </c>
      <c r="GN146" s="2">
        <f>IF(OR(BI146=0,BI146=1),ROUND(O146+X146+Y146,2),0)</f>
        <v>416.48</v>
      </c>
      <c r="GO146" s="2">
        <f>IF(BI146=2,ROUND(O146+X146+Y146,2),0)</f>
        <v>0</v>
      </c>
      <c r="GP146" s="2">
        <f>IF(BI146=4,ROUND(O146+X146+Y146,2)+GX146,0)</f>
        <v>0</v>
      </c>
      <c r="GQ146" s="2"/>
      <c r="GR146" s="2">
        <v>0</v>
      </c>
      <c r="GS146" s="2">
        <v>0</v>
      </c>
      <c r="GT146" s="2">
        <v>0</v>
      </c>
      <c r="GU146" s="2" t="s">
        <v>3</v>
      </c>
      <c r="GV146" s="2">
        <f>ROUND((GT146),2)</f>
        <v>0</v>
      </c>
      <c r="GW146" s="2">
        <v>1</v>
      </c>
      <c r="GX146" s="2">
        <f>ROUND(HC146*I146,2)</f>
        <v>0</v>
      </c>
      <c r="GY146" s="2"/>
      <c r="GZ146" s="2"/>
      <c r="HA146" s="2">
        <v>0</v>
      </c>
      <c r="HB146" s="2">
        <v>0</v>
      </c>
      <c r="HC146" s="2">
        <f>GV146*GW146</f>
        <v>0</v>
      </c>
      <c r="HD146" s="2"/>
      <c r="HE146" s="2" t="s">
        <v>3</v>
      </c>
      <c r="HF146" s="2" t="s">
        <v>3</v>
      </c>
      <c r="HG146" s="2"/>
      <c r="HH146" s="2"/>
      <c r="HI146" s="2">
        <f aca="true" t="shared" si="128" ref="HI146:HI151">ROUND(R146*BS146,2)</f>
        <v>0</v>
      </c>
      <c r="HJ146" s="2">
        <f aca="true" t="shared" si="129" ref="HJ146:HJ151">ROUND(S146*BA146,2)</f>
        <v>91.07</v>
      </c>
      <c r="HK146" s="2">
        <f>ROUND((((HJ146+HI146)*AT146)/100),2)</f>
        <v>83.78</v>
      </c>
      <c r="HL146" s="2">
        <f>ROUND((((HJ146+HI146)*AU146)/100),2)</f>
        <v>40.07</v>
      </c>
      <c r="HM146" s="2" t="s">
        <v>3</v>
      </c>
      <c r="HN146" s="2" t="s">
        <v>203</v>
      </c>
      <c r="HO146" s="2" t="s">
        <v>204</v>
      </c>
      <c r="HP146" s="2" t="s">
        <v>201</v>
      </c>
      <c r="HQ146" s="2" t="s">
        <v>201</v>
      </c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45" ht="12.75">
      <c r="A147">
        <v>17</v>
      </c>
      <c r="B147">
        <v>1</v>
      </c>
      <c r="C147">
        <f>ROW(SmtRes!A122)</f>
        <v>122</v>
      </c>
      <c r="D147">
        <f>ROW(EtalonRes!A122)</f>
        <v>122</v>
      </c>
      <c r="E147" t="s">
        <v>196</v>
      </c>
      <c r="F147" t="s">
        <v>197</v>
      </c>
      <c r="G147" t="s">
        <v>198</v>
      </c>
      <c r="H147" t="s">
        <v>123</v>
      </c>
      <c r="I147">
        <v>12.29</v>
      </c>
      <c r="J147">
        <v>0</v>
      </c>
      <c r="K147">
        <v>12.29</v>
      </c>
      <c r="O147">
        <f>ROUND(CP147,2)</f>
        <v>292.63</v>
      </c>
      <c r="P147">
        <f>ROUND(CQ147*I147,2)</f>
        <v>201.56</v>
      </c>
      <c r="Q147">
        <f>ROUND(CR147*I147,2)</f>
        <v>0</v>
      </c>
      <c r="R147">
        <f>ROUND(CS147*I147,2)</f>
        <v>0</v>
      </c>
      <c r="S147">
        <f>ROUND(CT147*I147,2)</f>
        <v>91.07</v>
      </c>
      <c r="T147">
        <f>ROUND(CU147*I147,2)</f>
        <v>0</v>
      </c>
      <c r="U147">
        <f>CV147*I147</f>
        <v>12.6587</v>
      </c>
      <c r="V147">
        <f>CW147*I147</f>
        <v>0</v>
      </c>
      <c r="W147">
        <f>ROUND(CX147*I147,2)</f>
        <v>0</v>
      </c>
      <c r="X147">
        <f>ROUND(CY147,2)</f>
        <v>83.78</v>
      </c>
      <c r="Y147">
        <f>ROUND(CZ147,2)</f>
        <v>40.07</v>
      </c>
      <c r="AA147">
        <v>55457796</v>
      </c>
      <c r="AB147">
        <f>ROUND((AC147+AD147+AF147),2)</f>
        <v>23.81</v>
      </c>
      <c r="AC147">
        <f>ROUND((ES147),2)</f>
        <v>16.4</v>
      </c>
      <c r="AD147">
        <f>ROUND((((ET147)-(EU147))+AE147),2)</f>
        <v>0</v>
      </c>
      <c r="AE147">
        <f>ROUND((EU147),2)</f>
        <v>0</v>
      </c>
      <c r="AF147">
        <f>ROUND((EV147),2)</f>
        <v>7.41</v>
      </c>
      <c r="AG147">
        <f>ROUND((AP147),2)</f>
        <v>0</v>
      </c>
      <c r="AH147">
        <f>(EW147)</f>
        <v>1.03</v>
      </c>
      <c r="AI147">
        <f>(EX147)</f>
        <v>0</v>
      </c>
      <c r="AJ147">
        <f>(AS147)</f>
        <v>0</v>
      </c>
      <c r="AK147">
        <v>23.81</v>
      </c>
      <c r="AL147">
        <v>16.4</v>
      </c>
      <c r="AM147">
        <v>0</v>
      </c>
      <c r="AN147">
        <v>0</v>
      </c>
      <c r="AO147">
        <v>7.41</v>
      </c>
      <c r="AP147">
        <v>0</v>
      </c>
      <c r="AQ147">
        <v>1.03</v>
      </c>
      <c r="AR147">
        <v>0</v>
      </c>
      <c r="AS147">
        <v>0</v>
      </c>
      <c r="AT147">
        <v>92</v>
      </c>
      <c r="AU147">
        <v>44</v>
      </c>
      <c r="AV147">
        <v>1</v>
      </c>
      <c r="AW147">
        <v>1</v>
      </c>
      <c r="AZ147">
        <v>1</v>
      </c>
      <c r="BA147">
        <v>36.47</v>
      </c>
      <c r="BB147">
        <v>1</v>
      </c>
      <c r="BC147">
        <v>1</v>
      </c>
      <c r="BH147">
        <v>0</v>
      </c>
      <c r="BI147">
        <v>1</v>
      </c>
      <c r="BJ147" t="s">
        <v>199</v>
      </c>
      <c r="BM147">
        <v>69001</v>
      </c>
      <c r="BN147">
        <v>0</v>
      </c>
      <c r="BO147" t="s">
        <v>31</v>
      </c>
      <c r="BP147">
        <v>1</v>
      </c>
      <c r="BQ147">
        <v>6</v>
      </c>
      <c r="BR147">
        <v>0</v>
      </c>
      <c r="BS147">
        <v>36.47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92</v>
      </c>
      <c r="CA147">
        <v>44</v>
      </c>
      <c r="CE147">
        <v>0</v>
      </c>
      <c r="CF147">
        <v>0</v>
      </c>
      <c r="CG147">
        <v>0</v>
      </c>
      <c r="CM147">
        <v>0</v>
      </c>
      <c r="CO147">
        <v>0</v>
      </c>
      <c r="CP147">
        <f>(P147+Q147+S147)</f>
        <v>292.63</v>
      </c>
      <c r="CQ147">
        <f>AC147*BC147</f>
        <v>16.4</v>
      </c>
      <c r="CR147">
        <f>AD147*BB147</f>
        <v>0</v>
      </c>
      <c r="CS147">
        <f t="shared" si="125"/>
        <v>0</v>
      </c>
      <c r="CT147">
        <f t="shared" si="125"/>
        <v>7.41</v>
      </c>
      <c r="CU147">
        <f t="shared" si="125"/>
        <v>0</v>
      </c>
      <c r="CV147">
        <f t="shared" si="125"/>
        <v>1.03</v>
      </c>
      <c r="CW147">
        <f t="shared" si="125"/>
        <v>0</v>
      </c>
      <c r="CX147">
        <f t="shared" si="125"/>
        <v>0</v>
      </c>
      <c r="CY147">
        <f>(((S147+R147)*AT147)/100)</f>
        <v>83.78439999999999</v>
      </c>
      <c r="CZ147">
        <f>(((S147+R147)*AU147)/100)</f>
        <v>40.0708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123</v>
      </c>
      <c r="DW147" t="s">
        <v>123</v>
      </c>
      <c r="DX147">
        <v>1000</v>
      </c>
      <c r="EE147">
        <v>55402736</v>
      </c>
      <c r="EF147">
        <v>6</v>
      </c>
      <c r="EG147" t="s">
        <v>200</v>
      </c>
      <c r="EH147">
        <v>103</v>
      </c>
      <c r="EI147" t="s">
        <v>201</v>
      </c>
      <c r="EJ147">
        <v>1</v>
      </c>
      <c r="EK147">
        <v>69001</v>
      </c>
      <c r="EL147" t="s">
        <v>201</v>
      </c>
      <c r="EM147" t="s">
        <v>202</v>
      </c>
      <c r="EQ147">
        <v>0</v>
      </c>
      <c r="ER147">
        <v>23.81</v>
      </c>
      <c r="ES147">
        <v>16.4</v>
      </c>
      <c r="ET147">
        <v>0</v>
      </c>
      <c r="EU147">
        <v>0</v>
      </c>
      <c r="EV147">
        <v>7.41</v>
      </c>
      <c r="EW147">
        <v>1.03</v>
      </c>
      <c r="EX147">
        <v>0</v>
      </c>
      <c r="EY147">
        <v>0</v>
      </c>
      <c r="FQ147">
        <v>0</v>
      </c>
      <c r="FR147">
        <f t="shared" si="126"/>
        <v>0</v>
      </c>
      <c r="FS147">
        <v>0</v>
      </c>
      <c r="FX147">
        <v>92</v>
      </c>
      <c r="FY147">
        <v>44</v>
      </c>
      <c r="GD147">
        <v>1</v>
      </c>
      <c r="GF147">
        <v>-1160313074</v>
      </c>
      <c r="GG147">
        <v>2</v>
      </c>
      <c r="GH147">
        <v>1</v>
      </c>
      <c r="GI147">
        <v>4</v>
      </c>
      <c r="GJ147">
        <v>0</v>
      </c>
      <c r="GK147">
        <v>0</v>
      </c>
      <c r="GL147">
        <f t="shared" si="127"/>
        <v>0</v>
      </c>
      <c r="GM147">
        <f>ROUND(O147+X147+Y147,2)+GX147</f>
        <v>416.48</v>
      </c>
      <c r="GN147">
        <f>IF(OR(BI147=0,BI147=1),ROUND(O147+X147+Y147,2),0)</f>
        <v>416.48</v>
      </c>
      <c r="GO147">
        <f>IF(BI147=2,ROUND(O147+X147+Y147,2),0)</f>
        <v>0</v>
      </c>
      <c r="GP147">
        <f>IF(BI147=4,ROUND(O147+X147+Y147,2)+GX147,0)</f>
        <v>0</v>
      </c>
      <c r="GR147">
        <v>0</v>
      </c>
      <c r="GS147">
        <v>0</v>
      </c>
      <c r="GT147">
        <v>0</v>
      </c>
      <c r="GV147">
        <f>ROUND((GT147),2)</f>
        <v>0</v>
      </c>
      <c r="GW147">
        <v>1</v>
      </c>
      <c r="GX147">
        <f>ROUND(HC147*I147,2)</f>
        <v>0</v>
      </c>
      <c r="HA147">
        <v>0</v>
      </c>
      <c r="HB147">
        <v>0</v>
      </c>
      <c r="HC147">
        <f>GV147*GW147</f>
        <v>0</v>
      </c>
      <c r="HI147">
        <f t="shared" si="128"/>
        <v>0</v>
      </c>
      <c r="HJ147">
        <f t="shared" si="129"/>
        <v>3321.32</v>
      </c>
      <c r="HK147">
        <f>ROUND((((HJ147+HI147)*AT147)/100),2)</f>
        <v>3055.61</v>
      </c>
      <c r="HL147">
        <f>ROUND((((HJ147+HI147)*AU147)/100),2)</f>
        <v>1461.38</v>
      </c>
      <c r="HN147" t="s">
        <v>203</v>
      </c>
      <c r="HO147" t="s">
        <v>204</v>
      </c>
      <c r="HP147" t="s">
        <v>201</v>
      </c>
      <c r="HQ147" t="s">
        <v>201</v>
      </c>
      <c r="IK147">
        <v>0</v>
      </c>
    </row>
    <row r="148" spans="1:255" ht="12.75">
      <c r="A148" s="2">
        <v>17</v>
      </c>
      <c r="B148" s="2">
        <v>1</v>
      </c>
      <c r="C148" s="2"/>
      <c r="D148" s="2"/>
      <c r="E148" s="2" t="s">
        <v>205</v>
      </c>
      <c r="F148" s="2" t="s">
        <v>206</v>
      </c>
      <c r="G148" s="2" t="s">
        <v>207</v>
      </c>
      <c r="H148" s="2" t="s">
        <v>208</v>
      </c>
      <c r="I148" s="2">
        <v>20</v>
      </c>
      <c r="J148" s="2">
        <v>0</v>
      </c>
      <c r="K148" s="2">
        <v>20</v>
      </c>
      <c r="L148" s="2"/>
      <c r="M148" s="2"/>
      <c r="N148" s="2"/>
      <c r="O148" s="2">
        <f>0</f>
        <v>0</v>
      </c>
      <c r="P148" s="2">
        <f>0</f>
        <v>0</v>
      </c>
      <c r="Q148" s="2">
        <f>0</f>
        <v>0</v>
      </c>
      <c r="R148" s="2">
        <f>0</f>
        <v>0</v>
      </c>
      <c r="S148" s="2">
        <f>0</f>
        <v>0</v>
      </c>
      <c r="T148" s="2">
        <f>0</f>
        <v>0</v>
      </c>
      <c r="U148" s="2">
        <f>0</f>
        <v>0</v>
      </c>
      <c r="V148" s="2">
        <f>0</f>
        <v>0</v>
      </c>
      <c r="W148" s="2">
        <f>0</f>
        <v>0</v>
      </c>
      <c r="X148" s="2">
        <f>0</f>
        <v>0</v>
      </c>
      <c r="Y148" s="2">
        <f>0</f>
        <v>0</v>
      </c>
      <c r="Z148" s="2"/>
      <c r="AA148" s="2">
        <v>55457795</v>
      </c>
      <c r="AB148" s="2">
        <f>ROUND((AK148),2)</f>
        <v>42.98</v>
      </c>
      <c r="AC148" s="2">
        <f>0</f>
        <v>0</v>
      </c>
      <c r="AD148" s="2">
        <f>0</f>
        <v>0</v>
      </c>
      <c r="AE148" s="2">
        <f>0</f>
        <v>0</v>
      </c>
      <c r="AF148" s="2">
        <f>0</f>
        <v>0</v>
      </c>
      <c r="AG148" s="2">
        <f>0</f>
        <v>0</v>
      </c>
      <c r="AH148" s="2">
        <f>0</f>
        <v>0</v>
      </c>
      <c r="AI148" s="2">
        <f>0</f>
        <v>0</v>
      </c>
      <c r="AJ148" s="2">
        <f>0</f>
        <v>0</v>
      </c>
      <c r="AK148" s="2">
        <v>42.98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3</v>
      </c>
      <c r="BE148" s="2" t="s">
        <v>3</v>
      </c>
      <c r="BF148" s="2" t="s">
        <v>3</v>
      </c>
      <c r="BG148" s="2" t="s">
        <v>3</v>
      </c>
      <c r="BH148" s="2">
        <v>0</v>
      </c>
      <c r="BI148" s="2">
        <v>1</v>
      </c>
      <c r="BJ148" s="2" t="s">
        <v>209</v>
      </c>
      <c r="BK148" s="2"/>
      <c r="BL148" s="2"/>
      <c r="BM148" s="2">
        <v>700004</v>
      </c>
      <c r="BN148" s="2">
        <v>0</v>
      </c>
      <c r="BO148" s="2" t="s">
        <v>3</v>
      </c>
      <c r="BP148" s="2">
        <v>0</v>
      </c>
      <c r="BQ148" s="2">
        <v>19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3</v>
      </c>
      <c r="BZ148" s="2">
        <v>0</v>
      </c>
      <c r="CA148" s="2">
        <v>0</v>
      </c>
      <c r="CB148" s="2" t="s">
        <v>3</v>
      </c>
      <c r="CC148" s="2"/>
      <c r="CD148" s="2"/>
      <c r="CE148" s="2">
        <v>0</v>
      </c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3</v>
      </c>
      <c r="CO148" s="2">
        <v>0</v>
      </c>
      <c r="CP148" s="2">
        <f>AB148*AZ148</f>
        <v>42.98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/>
      <c r="DB148" s="2"/>
      <c r="DC148" s="2" t="s">
        <v>3</v>
      </c>
      <c r="DD148" s="2" t="s">
        <v>3</v>
      </c>
      <c r="DE148" s="2" t="s">
        <v>3</v>
      </c>
      <c r="DF148" s="2" t="s">
        <v>3</v>
      </c>
      <c r="DG148" s="2" t="s">
        <v>3</v>
      </c>
      <c r="DH148" s="2" t="s">
        <v>3</v>
      </c>
      <c r="DI148" s="2" t="s">
        <v>3</v>
      </c>
      <c r="DJ148" s="2" t="s">
        <v>3</v>
      </c>
      <c r="DK148" s="2" t="s">
        <v>3</v>
      </c>
      <c r="DL148" s="2" t="s">
        <v>3</v>
      </c>
      <c r="DM148" s="2" t="s">
        <v>3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208</v>
      </c>
      <c r="DW148" s="2" t="s">
        <v>208</v>
      </c>
      <c r="DX148" s="2">
        <v>1</v>
      </c>
      <c r="DY148" s="2"/>
      <c r="DZ148" s="2" t="s">
        <v>3</v>
      </c>
      <c r="EA148" s="2" t="s">
        <v>3</v>
      </c>
      <c r="EB148" s="2" t="s">
        <v>3</v>
      </c>
      <c r="EC148" s="2" t="s">
        <v>3</v>
      </c>
      <c r="ED148" s="2"/>
      <c r="EE148" s="2">
        <v>55402797</v>
      </c>
      <c r="EF148" s="2">
        <v>19</v>
      </c>
      <c r="EG148" s="2" t="s">
        <v>210</v>
      </c>
      <c r="EH148" s="2">
        <v>106</v>
      </c>
      <c r="EI148" s="2" t="s">
        <v>210</v>
      </c>
      <c r="EJ148" s="2">
        <v>1</v>
      </c>
      <c r="EK148" s="2">
        <v>700004</v>
      </c>
      <c r="EL148" s="2" t="s">
        <v>210</v>
      </c>
      <c r="EM148" s="2" t="s">
        <v>211</v>
      </c>
      <c r="EN148" s="2"/>
      <c r="EO148" s="2" t="s">
        <v>3</v>
      </c>
      <c r="EP148" s="2"/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26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3</v>
      </c>
      <c r="GB148" s="2"/>
      <c r="GC148" s="2"/>
      <c r="GD148" s="2">
        <v>1</v>
      </c>
      <c r="GE148" s="2"/>
      <c r="GF148" s="2">
        <v>26033588</v>
      </c>
      <c r="GG148" s="2">
        <v>2</v>
      </c>
      <c r="GH148" s="2">
        <v>1</v>
      </c>
      <c r="GI148" s="2">
        <v>-2</v>
      </c>
      <c r="GJ148" s="2">
        <v>2</v>
      </c>
      <c r="GK148" s="2">
        <v>0</v>
      </c>
      <c r="GL148" s="2">
        <f t="shared" si="127"/>
        <v>0</v>
      </c>
      <c r="GM148" s="2">
        <f>ROUND(CP148*I148,2)</f>
        <v>859.6</v>
      </c>
      <c r="GN148" s="2">
        <f>IF(OR(BI148=0,BI148=1),ROUND(CP148*I148,2),0)</f>
        <v>859.6</v>
      </c>
      <c r="GO148" s="2">
        <f>IF(BI148=2,ROUND(CP148*I148,2),0)</f>
        <v>0</v>
      </c>
      <c r="GP148" s="2">
        <f>IF(BI148=4,ROUND(CP148*I148,2)+GX148,0)</f>
        <v>0</v>
      </c>
      <c r="GQ148" s="2"/>
      <c r="GR148" s="2">
        <v>0</v>
      </c>
      <c r="GS148" s="2">
        <v>0</v>
      </c>
      <c r="GT148" s="2">
        <v>0</v>
      </c>
      <c r="GU148" s="2" t="s">
        <v>3</v>
      </c>
      <c r="GV148" s="2">
        <f>0</f>
        <v>0</v>
      </c>
      <c r="GW148" s="2">
        <v>1</v>
      </c>
      <c r="GX148" s="2">
        <f>0</f>
        <v>0</v>
      </c>
      <c r="GY148" s="2"/>
      <c r="GZ148" s="2"/>
      <c r="HA148" s="2">
        <v>0</v>
      </c>
      <c r="HB148" s="2">
        <v>0</v>
      </c>
      <c r="HC148" s="2">
        <v>0</v>
      </c>
      <c r="HD148" s="2">
        <f>GM148</f>
        <v>859.6</v>
      </c>
      <c r="HE148" s="2" t="s">
        <v>3</v>
      </c>
      <c r="HF148" s="2" t="s">
        <v>3</v>
      </c>
      <c r="HG148" s="2"/>
      <c r="HH148" s="2"/>
      <c r="HI148" s="2">
        <f t="shared" si="128"/>
        <v>0</v>
      </c>
      <c r="HJ148" s="2">
        <f t="shared" si="129"/>
        <v>0</v>
      </c>
      <c r="HK148" s="2"/>
      <c r="HL148" s="2"/>
      <c r="HM148" s="2" t="s">
        <v>3</v>
      </c>
      <c r="HN148" s="2" t="s">
        <v>3</v>
      </c>
      <c r="HO148" s="2" t="s">
        <v>3</v>
      </c>
      <c r="HP148" s="2" t="s">
        <v>3</v>
      </c>
      <c r="HQ148" s="2" t="s">
        <v>3</v>
      </c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45" ht="12.75">
      <c r="A149">
        <v>17</v>
      </c>
      <c r="B149">
        <v>1</v>
      </c>
      <c r="E149" t="s">
        <v>205</v>
      </c>
      <c r="F149" t="s">
        <v>206</v>
      </c>
      <c r="G149" t="s">
        <v>207</v>
      </c>
      <c r="H149" t="s">
        <v>208</v>
      </c>
      <c r="I149">
        <v>20</v>
      </c>
      <c r="J149">
        <v>0</v>
      </c>
      <c r="K149">
        <v>20</v>
      </c>
      <c r="O149">
        <f>0</f>
        <v>0</v>
      </c>
      <c r="P149">
        <f>0</f>
        <v>0</v>
      </c>
      <c r="Q149">
        <f>0</f>
        <v>0</v>
      </c>
      <c r="R149">
        <f>0</f>
        <v>0</v>
      </c>
      <c r="S149">
        <f>0</f>
        <v>0</v>
      </c>
      <c r="T149">
        <f>0</f>
        <v>0</v>
      </c>
      <c r="U149">
        <f>0</f>
        <v>0</v>
      </c>
      <c r="V149">
        <f>0</f>
        <v>0</v>
      </c>
      <c r="W149">
        <f>0</f>
        <v>0</v>
      </c>
      <c r="X149">
        <f>0</f>
        <v>0</v>
      </c>
      <c r="Y149">
        <f>0</f>
        <v>0</v>
      </c>
      <c r="AA149">
        <v>55457796</v>
      </c>
      <c r="AB149">
        <f>ROUND((AK149),2)</f>
        <v>42.98</v>
      </c>
      <c r="AC149">
        <f>0</f>
        <v>0</v>
      </c>
      <c r="AD149">
        <f>0</f>
        <v>0</v>
      </c>
      <c r="AE149">
        <f>0</f>
        <v>0</v>
      </c>
      <c r="AF149">
        <f>0</f>
        <v>0</v>
      </c>
      <c r="AG149">
        <f>0</f>
        <v>0</v>
      </c>
      <c r="AH149">
        <f>0</f>
        <v>0</v>
      </c>
      <c r="AI149">
        <f>0</f>
        <v>0</v>
      </c>
      <c r="AJ149">
        <f>0</f>
        <v>0</v>
      </c>
      <c r="AK149">
        <v>42.98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1</v>
      </c>
      <c r="BH149">
        <v>0</v>
      </c>
      <c r="BI149">
        <v>1</v>
      </c>
      <c r="BJ149" t="s">
        <v>209</v>
      </c>
      <c r="BM149">
        <v>700004</v>
      </c>
      <c r="BN149">
        <v>0</v>
      </c>
      <c r="BO149" t="s">
        <v>31</v>
      </c>
      <c r="BP149">
        <v>1</v>
      </c>
      <c r="BQ149">
        <v>19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0</v>
      </c>
      <c r="CA149">
        <v>0</v>
      </c>
      <c r="CE149">
        <v>0</v>
      </c>
      <c r="CF149">
        <v>0</v>
      </c>
      <c r="CG149">
        <v>0</v>
      </c>
      <c r="CM149">
        <v>0</v>
      </c>
      <c r="CO149">
        <v>0</v>
      </c>
      <c r="CP149">
        <f>AB149*AZ149</f>
        <v>42.98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208</v>
      </c>
      <c r="DW149" t="s">
        <v>208</v>
      </c>
      <c r="DX149">
        <v>1</v>
      </c>
      <c r="EE149">
        <v>55402797</v>
      </c>
      <c r="EF149">
        <v>19</v>
      </c>
      <c r="EG149" t="s">
        <v>210</v>
      </c>
      <c r="EH149">
        <v>106</v>
      </c>
      <c r="EI149" t="s">
        <v>210</v>
      </c>
      <c r="EJ149">
        <v>1</v>
      </c>
      <c r="EK149">
        <v>700004</v>
      </c>
      <c r="EL149" t="s">
        <v>210</v>
      </c>
      <c r="EM149" t="s">
        <v>211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FQ149">
        <v>0</v>
      </c>
      <c r="FR149">
        <f t="shared" si="126"/>
        <v>0</v>
      </c>
      <c r="FS149">
        <v>0</v>
      </c>
      <c r="FX149">
        <v>0</v>
      </c>
      <c r="FY149">
        <v>0</v>
      </c>
      <c r="GD149">
        <v>1</v>
      </c>
      <c r="GF149">
        <v>26033588</v>
      </c>
      <c r="GG149">
        <v>2</v>
      </c>
      <c r="GH149">
        <v>1</v>
      </c>
      <c r="GI149">
        <v>4</v>
      </c>
      <c r="GJ149">
        <v>2</v>
      </c>
      <c r="GK149">
        <v>0</v>
      </c>
      <c r="GL149">
        <f t="shared" si="127"/>
        <v>0</v>
      </c>
      <c r="GM149">
        <f>ROUND(CP149*I149,2)</f>
        <v>859.6</v>
      </c>
      <c r="GN149">
        <f>IF(OR(BI149=0,BI149=1),ROUND(CP149*I149,2),0)</f>
        <v>859.6</v>
      </c>
      <c r="GO149">
        <f>IF(BI149=2,ROUND(CP149*I149,2),0)</f>
        <v>0</v>
      </c>
      <c r="GP149">
        <f>IF(BI149=4,ROUND(CP149*I149,2)+GX149,0)</f>
        <v>0</v>
      </c>
      <c r="GR149">
        <v>0</v>
      </c>
      <c r="GS149">
        <v>0</v>
      </c>
      <c r="GT149">
        <v>0</v>
      </c>
      <c r="GV149">
        <f>0</f>
        <v>0</v>
      </c>
      <c r="GW149">
        <v>1</v>
      </c>
      <c r="GX149">
        <f>0</f>
        <v>0</v>
      </c>
      <c r="HA149">
        <v>0</v>
      </c>
      <c r="HB149">
        <v>0</v>
      </c>
      <c r="HC149">
        <v>0</v>
      </c>
      <c r="HD149">
        <f>GM149</f>
        <v>859.6</v>
      </c>
      <c r="HI149">
        <f t="shared" si="128"/>
        <v>0</v>
      </c>
      <c r="HJ149">
        <f t="shared" si="129"/>
        <v>0</v>
      </c>
      <c r="IK149">
        <v>0</v>
      </c>
    </row>
    <row r="150" spans="1:255" ht="12.75">
      <c r="A150" s="2">
        <v>17</v>
      </c>
      <c r="B150" s="2">
        <v>1</v>
      </c>
      <c r="C150" s="2"/>
      <c r="D150" s="2"/>
      <c r="E150" s="2" t="s">
        <v>212</v>
      </c>
      <c r="F150" s="2" t="s">
        <v>213</v>
      </c>
      <c r="G150" s="2" t="s">
        <v>214</v>
      </c>
      <c r="H150" s="2" t="s">
        <v>208</v>
      </c>
      <c r="I150" s="2">
        <v>20</v>
      </c>
      <c r="J150" s="2">
        <v>0</v>
      </c>
      <c r="K150" s="2">
        <v>20</v>
      </c>
      <c r="L150" s="2"/>
      <c r="M150" s="2"/>
      <c r="N150" s="2"/>
      <c r="O150" s="2">
        <f>0</f>
        <v>0</v>
      </c>
      <c r="P150" s="2">
        <f>0</f>
        <v>0</v>
      </c>
      <c r="Q150" s="2">
        <f>0</f>
        <v>0</v>
      </c>
      <c r="R150" s="2">
        <f>0</f>
        <v>0</v>
      </c>
      <c r="S150" s="2">
        <f>0</f>
        <v>0</v>
      </c>
      <c r="T150" s="2">
        <f>0</f>
        <v>0</v>
      </c>
      <c r="U150" s="2">
        <f>0</f>
        <v>0</v>
      </c>
      <c r="V150" s="2">
        <f>0</f>
        <v>0</v>
      </c>
      <c r="W150" s="2">
        <f>0</f>
        <v>0</v>
      </c>
      <c r="X150" s="2">
        <f>0</f>
        <v>0</v>
      </c>
      <c r="Y150" s="2">
        <f>0</f>
        <v>0</v>
      </c>
      <c r="Z150" s="2"/>
      <c r="AA150" s="2">
        <v>55457795</v>
      </c>
      <c r="AB150" s="2">
        <f>ROUND((AK150),2)</f>
        <v>23.67</v>
      </c>
      <c r="AC150" s="2">
        <f>0</f>
        <v>0</v>
      </c>
      <c r="AD150" s="2">
        <f>0</f>
        <v>0</v>
      </c>
      <c r="AE150" s="2">
        <f>0</f>
        <v>0</v>
      </c>
      <c r="AF150" s="2">
        <f>0</f>
        <v>0</v>
      </c>
      <c r="AG150" s="2">
        <f>0</f>
        <v>0</v>
      </c>
      <c r="AH150" s="2">
        <f>0</f>
        <v>0</v>
      </c>
      <c r="AI150" s="2">
        <f>0</f>
        <v>0</v>
      </c>
      <c r="AJ150" s="2">
        <f>0</f>
        <v>0</v>
      </c>
      <c r="AK150" s="2">
        <v>23.67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3</v>
      </c>
      <c r="BE150" s="2" t="s">
        <v>3</v>
      </c>
      <c r="BF150" s="2" t="s">
        <v>3</v>
      </c>
      <c r="BG150" s="2" t="s">
        <v>3</v>
      </c>
      <c r="BH150" s="2">
        <v>0</v>
      </c>
      <c r="BI150" s="2">
        <v>1</v>
      </c>
      <c r="BJ150" s="2" t="s">
        <v>215</v>
      </c>
      <c r="BK150" s="2"/>
      <c r="BL150" s="2"/>
      <c r="BM150" s="2">
        <v>700005</v>
      </c>
      <c r="BN150" s="2">
        <v>0</v>
      </c>
      <c r="BO150" s="2" t="s">
        <v>3</v>
      </c>
      <c r="BP150" s="2">
        <v>0</v>
      </c>
      <c r="BQ150" s="2">
        <v>10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3</v>
      </c>
      <c r="BZ150" s="2">
        <v>0</v>
      </c>
      <c r="CA150" s="2">
        <v>0</v>
      </c>
      <c r="CB150" s="2" t="s">
        <v>3</v>
      </c>
      <c r="CC150" s="2"/>
      <c r="CD150" s="2"/>
      <c r="CE150" s="2">
        <v>0</v>
      </c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3</v>
      </c>
      <c r="CO150" s="2">
        <v>0</v>
      </c>
      <c r="CP150" s="2">
        <f>AB150*AZ150</f>
        <v>23.67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/>
      <c r="DB150" s="2"/>
      <c r="DC150" s="2" t="s">
        <v>3</v>
      </c>
      <c r="DD150" s="2" t="s">
        <v>3</v>
      </c>
      <c r="DE150" s="2" t="s">
        <v>3</v>
      </c>
      <c r="DF150" s="2" t="s">
        <v>3</v>
      </c>
      <c r="DG150" s="2" t="s">
        <v>3</v>
      </c>
      <c r="DH150" s="2" t="s">
        <v>3</v>
      </c>
      <c r="DI150" s="2" t="s">
        <v>3</v>
      </c>
      <c r="DJ150" s="2" t="s">
        <v>3</v>
      </c>
      <c r="DK150" s="2" t="s">
        <v>3</v>
      </c>
      <c r="DL150" s="2" t="s">
        <v>3</v>
      </c>
      <c r="DM150" s="2" t="s">
        <v>3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1013</v>
      </c>
      <c r="DV150" s="2" t="s">
        <v>208</v>
      </c>
      <c r="DW150" s="2" t="s">
        <v>208</v>
      </c>
      <c r="DX150" s="2">
        <v>1</v>
      </c>
      <c r="DY150" s="2"/>
      <c r="DZ150" s="2" t="s">
        <v>3</v>
      </c>
      <c r="EA150" s="2" t="s">
        <v>3</v>
      </c>
      <c r="EB150" s="2" t="s">
        <v>3</v>
      </c>
      <c r="EC150" s="2" t="s">
        <v>3</v>
      </c>
      <c r="ED150" s="2"/>
      <c r="EE150" s="2">
        <v>55402800</v>
      </c>
      <c r="EF150" s="2">
        <v>10</v>
      </c>
      <c r="EG150" s="2" t="s">
        <v>216</v>
      </c>
      <c r="EH150" s="2">
        <v>107</v>
      </c>
      <c r="EI150" s="2" t="s">
        <v>217</v>
      </c>
      <c r="EJ150" s="2">
        <v>1</v>
      </c>
      <c r="EK150" s="2">
        <v>700005</v>
      </c>
      <c r="EL150" s="2" t="s">
        <v>217</v>
      </c>
      <c r="EM150" s="2" t="s">
        <v>218</v>
      </c>
      <c r="EN150" s="2"/>
      <c r="EO150" s="2" t="s">
        <v>3</v>
      </c>
      <c r="EP150" s="2"/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26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3</v>
      </c>
      <c r="GB150" s="2"/>
      <c r="GC150" s="2"/>
      <c r="GD150" s="2">
        <v>1</v>
      </c>
      <c r="GE150" s="2"/>
      <c r="GF150" s="2">
        <v>977903381</v>
      </c>
      <c r="GG150" s="2">
        <v>2</v>
      </c>
      <c r="GH150" s="2">
        <v>1</v>
      </c>
      <c r="GI150" s="2">
        <v>-2</v>
      </c>
      <c r="GJ150" s="2">
        <v>2</v>
      </c>
      <c r="GK150" s="2">
        <v>0</v>
      </c>
      <c r="GL150" s="2">
        <f t="shared" si="127"/>
        <v>0</v>
      </c>
      <c r="GM150" s="2">
        <f>ROUND(CP150*I150,2)</f>
        <v>473.4</v>
      </c>
      <c r="GN150" s="2">
        <f>IF(OR(BI150=0,BI150=1),ROUND(CP150*I150,2),0)</f>
        <v>473.4</v>
      </c>
      <c r="GO150" s="2">
        <f>IF(BI150=2,ROUND(CP150*I150,2),0)</f>
        <v>0</v>
      </c>
      <c r="GP150" s="2">
        <f>IF(BI150=4,ROUND(CP150*I150,2)+GX150,0)</f>
        <v>0</v>
      </c>
      <c r="GQ150" s="2"/>
      <c r="GR150" s="2">
        <v>0</v>
      </c>
      <c r="GS150" s="2">
        <v>0</v>
      </c>
      <c r="GT150" s="2">
        <v>0</v>
      </c>
      <c r="GU150" s="2" t="s">
        <v>3</v>
      </c>
      <c r="GV150" s="2">
        <f>0</f>
        <v>0</v>
      </c>
      <c r="GW150" s="2">
        <v>1</v>
      </c>
      <c r="GX150" s="2">
        <f>0</f>
        <v>0</v>
      </c>
      <c r="GY150" s="2"/>
      <c r="GZ150" s="2"/>
      <c r="HA150" s="2">
        <v>0</v>
      </c>
      <c r="HB150" s="2">
        <v>0</v>
      </c>
      <c r="HC150" s="2">
        <v>0</v>
      </c>
      <c r="HD150" s="2">
        <f>GM150</f>
        <v>473.4</v>
      </c>
      <c r="HE150" s="2" t="s">
        <v>3</v>
      </c>
      <c r="HF150" s="2" t="s">
        <v>3</v>
      </c>
      <c r="HG150" s="2"/>
      <c r="HH150" s="2"/>
      <c r="HI150" s="2">
        <f t="shared" si="128"/>
        <v>0</v>
      </c>
      <c r="HJ150" s="2">
        <f t="shared" si="129"/>
        <v>0</v>
      </c>
      <c r="HK150" s="2"/>
      <c r="HL150" s="2"/>
      <c r="HM150" s="2" t="s">
        <v>3</v>
      </c>
      <c r="HN150" s="2" t="s">
        <v>3</v>
      </c>
      <c r="HO150" s="2" t="s">
        <v>3</v>
      </c>
      <c r="HP150" s="2" t="s">
        <v>3</v>
      </c>
      <c r="HQ150" s="2" t="s">
        <v>3</v>
      </c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45" ht="12.75">
      <c r="A151">
        <v>17</v>
      </c>
      <c r="B151">
        <v>1</v>
      </c>
      <c r="E151" t="s">
        <v>212</v>
      </c>
      <c r="F151" t="s">
        <v>213</v>
      </c>
      <c r="G151" t="s">
        <v>214</v>
      </c>
      <c r="H151" t="s">
        <v>208</v>
      </c>
      <c r="I151">
        <v>20</v>
      </c>
      <c r="J151">
        <v>0</v>
      </c>
      <c r="K151">
        <v>20</v>
      </c>
      <c r="O151">
        <f>0</f>
        <v>0</v>
      </c>
      <c r="P151">
        <f>0</f>
        <v>0</v>
      </c>
      <c r="Q151">
        <f>0</f>
        <v>0</v>
      </c>
      <c r="R151">
        <f>0</f>
        <v>0</v>
      </c>
      <c r="S151">
        <f>0</f>
        <v>0</v>
      </c>
      <c r="T151">
        <f>0</f>
        <v>0</v>
      </c>
      <c r="U151">
        <f>0</f>
        <v>0</v>
      </c>
      <c r="V151">
        <f>0</f>
        <v>0</v>
      </c>
      <c r="W151">
        <f>0</f>
        <v>0</v>
      </c>
      <c r="X151">
        <f>0</f>
        <v>0</v>
      </c>
      <c r="Y151">
        <f>0</f>
        <v>0</v>
      </c>
      <c r="AA151">
        <v>55457796</v>
      </c>
      <c r="AB151">
        <f>ROUND((AK151),2)</f>
        <v>23.67</v>
      </c>
      <c r="AC151">
        <f>0</f>
        <v>0</v>
      </c>
      <c r="AD151">
        <f>0</f>
        <v>0</v>
      </c>
      <c r="AE151">
        <f>0</f>
        <v>0</v>
      </c>
      <c r="AF151">
        <f>0</f>
        <v>0</v>
      </c>
      <c r="AG151">
        <f>0</f>
        <v>0</v>
      </c>
      <c r="AH151">
        <f>0</f>
        <v>0</v>
      </c>
      <c r="AI151">
        <f>0</f>
        <v>0</v>
      </c>
      <c r="AJ151">
        <f>0</f>
        <v>0</v>
      </c>
      <c r="AK151">
        <v>23.67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1</v>
      </c>
      <c r="BH151">
        <v>0</v>
      </c>
      <c r="BI151">
        <v>1</v>
      </c>
      <c r="BJ151" t="s">
        <v>215</v>
      </c>
      <c r="BM151">
        <v>700005</v>
      </c>
      <c r="BN151">
        <v>0</v>
      </c>
      <c r="BO151" t="s">
        <v>31</v>
      </c>
      <c r="BP151">
        <v>1</v>
      </c>
      <c r="BQ151">
        <v>10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Z151">
        <v>0</v>
      </c>
      <c r="CA151">
        <v>0</v>
      </c>
      <c r="CE151">
        <v>0</v>
      </c>
      <c r="CF151">
        <v>0</v>
      </c>
      <c r="CG151">
        <v>0</v>
      </c>
      <c r="CM151">
        <v>0</v>
      </c>
      <c r="CO151">
        <v>0</v>
      </c>
      <c r="CP151">
        <f>AB151*AZ151</f>
        <v>23.67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N151">
        <v>0</v>
      </c>
      <c r="DO151">
        <v>0</v>
      </c>
      <c r="DP151">
        <v>1</v>
      </c>
      <c r="DQ151">
        <v>1</v>
      </c>
      <c r="DU151">
        <v>1013</v>
      </c>
      <c r="DV151" t="s">
        <v>208</v>
      </c>
      <c r="DW151" t="s">
        <v>208</v>
      </c>
      <c r="DX151">
        <v>1</v>
      </c>
      <c r="EE151">
        <v>55402800</v>
      </c>
      <c r="EF151">
        <v>10</v>
      </c>
      <c r="EG151" t="s">
        <v>216</v>
      </c>
      <c r="EH151">
        <v>107</v>
      </c>
      <c r="EI151" t="s">
        <v>217</v>
      </c>
      <c r="EJ151">
        <v>1</v>
      </c>
      <c r="EK151">
        <v>700005</v>
      </c>
      <c r="EL151" t="s">
        <v>217</v>
      </c>
      <c r="EM151" t="s">
        <v>218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FQ151">
        <v>0</v>
      </c>
      <c r="FR151">
        <f t="shared" si="126"/>
        <v>0</v>
      </c>
      <c r="FS151">
        <v>0</v>
      </c>
      <c r="FX151">
        <v>0</v>
      </c>
      <c r="FY151">
        <v>0</v>
      </c>
      <c r="GD151">
        <v>1</v>
      </c>
      <c r="GF151">
        <v>977903381</v>
      </c>
      <c r="GG151">
        <v>2</v>
      </c>
      <c r="GH151">
        <v>1</v>
      </c>
      <c r="GI151">
        <v>4</v>
      </c>
      <c r="GJ151">
        <v>2</v>
      </c>
      <c r="GK151">
        <v>0</v>
      </c>
      <c r="GL151">
        <f t="shared" si="127"/>
        <v>0</v>
      </c>
      <c r="GM151">
        <f>ROUND(CP151*I151,2)</f>
        <v>473.4</v>
      </c>
      <c r="GN151">
        <f>IF(OR(BI151=0,BI151=1),ROUND(CP151*I151,2),0)</f>
        <v>473.4</v>
      </c>
      <c r="GO151">
        <f>IF(BI151=2,ROUND(CP151*I151,2),0)</f>
        <v>0</v>
      </c>
      <c r="GP151">
        <f>IF(BI151=4,ROUND(CP151*I151,2)+GX151,0)</f>
        <v>0</v>
      </c>
      <c r="GR151">
        <v>0</v>
      </c>
      <c r="GS151">
        <v>0</v>
      </c>
      <c r="GT151">
        <v>0</v>
      </c>
      <c r="GV151">
        <f>0</f>
        <v>0</v>
      </c>
      <c r="GW151">
        <v>1</v>
      </c>
      <c r="GX151">
        <f>0</f>
        <v>0</v>
      </c>
      <c r="HA151">
        <v>0</v>
      </c>
      <c r="HB151">
        <v>0</v>
      </c>
      <c r="HC151">
        <v>0</v>
      </c>
      <c r="HD151">
        <f>GM151</f>
        <v>473.4</v>
      </c>
      <c r="HI151">
        <f t="shared" si="128"/>
        <v>0</v>
      </c>
      <c r="HJ151">
        <f t="shared" si="129"/>
        <v>0</v>
      </c>
      <c r="IK151">
        <v>0</v>
      </c>
    </row>
    <row r="153" spans="1:206" ht="12.75">
      <c r="A153" s="3">
        <v>51</v>
      </c>
      <c r="B153" s="3">
        <f>B142</f>
        <v>1</v>
      </c>
      <c r="C153" s="3">
        <f>A142</f>
        <v>4</v>
      </c>
      <c r="D153" s="3">
        <f>ROW(A142)</f>
        <v>142</v>
      </c>
      <c r="E153" s="3"/>
      <c r="F153" s="3" t="str">
        <f>IF(F142&lt;&gt;"",F142,"")</f>
        <v>Новый раздел</v>
      </c>
      <c r="G153" s="3" t="str">
        <f>IF(G142&lt;&gt;"",G142,"")</f>
        <v>Разные работы</v>
      </c>
      <c r="H153" s="3">
        <v>0</v>
      </c>
      <c r="I153" s="3"/>
      <c r="J153" s="3"/>
      <c r="K153" s="3"/>
      <c r="L153" s="3"/>
      <c r="M153" s="3"/>
      <c r="N153" s="3"/>
      <c r="O153" s="3">
        <f aca="true" t="shared" si="130" ref="O153:T153">ROUND(AB153,2)</f>
        <v>292.63</v>
      </c>
      <c r="P153" s="3">
        <f t="shared" si="130"/>
        <v>201.56</v>
      </c>
      <c r="Q153" s="3">
        <f t="shared" si="130"/>
        <v>0</v>
      </c>
      <c r="R153" s="3">
        <f t="shared" si="130"/>
        <v>0</v>
      </c>
      <c r="S153" s="3">
        <f t="shared" si="130"/>
        <v>91.07</v>
      </c>
      <c r="T153" s="3">
        <f t="shared" si="130"/>
        <v>0</v>
      </c>
      <c r="U153" s="3">
        <f>AH153</f>
        <v>12.6587</v>
      </c>
      <c r="V153" s="3">
        <f>AI153</f>
        <v>0</v>
      </c>
      <c r="W153" s="3">
        <f>ROUND(AJ153,2)</f>
        <v>0</v>
      </c>
      <c r="X153" s="3">
        <f>ROUND(AK153,2)</f>
        <v>83.78</v>
      </c>
      <c r="Y153" s="3">
        <f>ROUND(AL153,2)</f>
        <v>40.07</v>
      </c>
      <c r="Z153" s="3"/>
      <c r="AA153" s="3"/>
      <c r="AB153" s="3">
        <f>ROUND(SUMIF(AA146:AA151,"=55457795",O146:O151),2)</f>
        <v>292.63</v>
      </c>
      <c r="AC153" s="3">
        <f>ROUND(SUMIF(AA146:AA151,"=55457795",P146:P151),2)</f>
        <v>201.56</v>
      </c>
      <c r="AD153" s="3">
        <f>ROUND(SUMIF(AA146:AA151,"=55457795",Q146:Q151),2)</f>
        <v>0</v>
      </c>
      <c r="AE153" s="3">
        <f>ROUND(SUMIF(AA146:AA151,"=55457795",R146:R151),2)</f>
        <v>0</v>
      </c>
      <c r="AF153" s="3">
        <f>ROUND(SUMIF(AA146:AA151,"=55457795",S146:S151),2)</f>
        <v>91.07</v>
      </c>
      <c r="AG153" s="3">
        <f>ROUND(SUMIF(AA146:AA151,"=55457795",T146:T151),2)</f>
        <v>0</v>
      </c>
      <c r="AH153" s="3">
        <f>SUMIF(AA146:AA151,"=55457795",U146:U151)</f>
        <v>12.6587</v>
      </c>
      <c r="AI153" s="3">
        <f>SUMIF(AA146:AA151,"=55457795",V146:V151)</f>
        <v>0</v>
      </c>
      <c r="AJ153" s="3">
        <f>ROUND(SUMIF(AA146:AA151,"=55457795",W146:W151),2)</f>
        <v>0</v>
      </c>
      <c r="AK153" s="3">
        <f>ROUND(SUMIF(AA146:AA151,"=55457795",X146:X151),2)</f>
        <v>83.78</v>
      </c>
      <c r="AL153" s="3">
        <f>ROUND(SUMIF(AA146:AA151,"=55457795",Y146:Y151),2)</f>
        <v>40.07</v>
      </c>
      <c r="AM153" s="3"/>
      <c r="AN153" s="3"/>
      <c r="AO153" s="3">
        <f aca="true" t="shared" si="131" ref="AO153:BD153">ROUND(BX153,2)</f>
        <v>0</v>
      </c>
      <c r="AP153" s="3">
        <f t="shared" si="131"/>
        <v>0</v>
      </c>
      <c r="AQ153" s="3">
        <f t="shared" si="131"/>
        <v>0</v>
      </c>
      <c r="AR153" s="3">
        <f t="shared" si="131"/>
        <v>1749.48</v>
      </c>
      <c r="AS153" s="3">
        <f t="shared" si="131"/>
        <v>1749.48</v>
      </c>
      <c r="AT153" s="3">
        <f t="shared" si="131"/>
        <v>0</v>
      </c>
      <c r="AU153" s="3">
        <f t="shared" si="131"/>
        <v>0</v>
      </c>
      <c r="AV153" s="3">
        <f t="shared" si="131"/>
        <v>201.56</v>
      </c>
      <c r="AW153" s="3">
        <f t="shared" si="131"/>
        <v>201.56</v>
      </c>
      <c r="AX153" s="3">
        <f t="shared" si="131"/>
        <v>0</v>
      </c>
      <c r="AY153" s="3">
        <f t="shared" si="131"/>
        <v>201.56</v>
      </c>
      <c r="AZ153" s="3">
        <f t="shared" si="131"/>
        <v>0</v>
      </c>
      <c r="BA153" s="3">
        <f t="shared" si="131"/>
        <v>0</v>
      </c>
      <c r="BB153" s="3">
        <f t="shared" si="131"/>
        <v>0</v>
      </c>
      <c r="BC153" s="3">
        <f t="shared" si="131"/>
        <v>0</v>
      </c>
      <c r="BD153" s="3">
        <f t="shared" si="131"/>
        <v>1333</v>
      </c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>
        <f>ROUND(SUMIF(AA146:AA151,"=55457795",FQ146:FQ151),2)</f>
        <v>0</v>
      </c>
      <c r="BY153" s="3">
        <f>ROUND(SUMIF(AA146:AA151,"=55457795",FR146:FR151),2)</f>
        <v>0</v>
      </c>
      <c r="BZ153" s="3">
        <f>ROUND(SUMIF(AA146:AA151,"=55457795",GL146:GL151),2)</f>
        <v>0</v>
      </c>
      <c r="CA153" s="3">
        <f>ROUND(SUMIF(AA146:AA151,"=55457795",GM146:GM151),2)</f>
        <v>1749.48</v>
      </c>
      <c r="CB153" s="3">
        <f>ROUND(SUMIF(AA146:AA151,"=55457795",GN146:GN151),2)</f>
        <v>1749.48</v>
      </c>
      <c r="CC153" s="3">
        <f>ROUND(SUMIF(AA146:AA151,"=55457795",GO146:GO151),2)</f>
        <v>0</v>
      </c>
      <c r="CD153" s="3">
        <f>ROUND(SUMIF(AA146:AA151,"=55457795",GP146:GP151),2)</f>
        <v>0</v>
      </c>
      <c r="CE153" s="3">
        <f>AC153-BX153</f>
        <v>201.56</v>
      </c>
      <c r="CF153" s="3">
        <f>AC153-BY153</f>
        <v>201.56</v>
      </c>
      <c r="CG153" s="3">
        <f>BX153-BZ153</f>
        <v>0</v>
      </c>
      <c r="CH153" s="3">
        <f>AC153-BX153-BY153+BZ153</f>
        <v>201.56</v>
      </c>
      <c r="CI153" s="3">
        <f>BY153-BZ153</f>
        <v>0</v>
      </c>
      <c r="CJ153" s="3">
        <f>ROUND(SUMIF(AA146:AA151,"=55457795",GX146:GX151),2)</f>
        <v>0</v>
      </c>
      <c r="CK153" s="3">
        <f>ROUND(SUMIF(AA146:AA151,"=55457795",GY146:GY151),2)</f>
        <v>0</v>
      </c>
      <c r="CL153" s="3">
        <f>ROUND(SUMIF(AA146:AA151,"=55457795",GZ146:GZ151),2)</f>
        <v>0</v>
      </c>
      <c r="CM153" s="3">
        <f>ROUND(SUMIF(AA146:AA151,"=55457795",HD146:HD151),2)</f>
        <v>1333</v>
      </c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4">
        <f aca="true" t="shared" si="132" ref="DG153:DL153">ROUND(DT153,2)</f>
        <v>292.63</v>
      </c>
      <c r="DH153" s="4">
        <f t="shared" si="132"/>
        <v>201.56</v>
      </c>
      <c r="DI153" s="4">
        <f t="shared" si="132"/>
        <v>0</v>
      </c>
      <c r="DJ153" s="4">
        <f t="shared" si="132"/>
        <v>0</v>
      </c>
      <c r="DK153" s="4">
        <f t="shared" si="132"/>
        <v>91.07</v>
      </c>
      <c r="DL153" s="4">
        <f t="shared" si="132"/>
        <v>0</v>
      </c>
      <c r="DM153" s="4">
        <f>DZ153</f>
        <v>12.6587</v>
      </c>
      <c r="DN153" s="4">
        <f>EA153</f>
        <v>0</v>
      </c>
      <c r="DO153" s="4">
        <f>ROUND(EB153,2)</f>
        <v>0</v>
      </c>
      <c r="DP153" s="4">
        <f>ROUND(EC153,2)</f>
        <v>83.78</v>
      </c>
      <c r="DQ153" s="4">
        <f>ROUND(ED153,2)</f>
        <v>40.07</v>
      </c>
      <c r="DR153" s="4"/>
      <c r="DS153" s="4"/>
      <c r="DT153" s="4">
        <f>ROUND(SUMIF(AA146:AA151,"=55457796",O146:O151),2)</f>
        <v>292.63</v>
      </c>
      <c r="DU153" s="4">
        <f>ROUND(SUMIF(AA146:AA151,"=55457796",P146:P151),2)</f>
        <v>201.56</v>
      </c>
      <c r="DV153" s="4">
        <f>ROUND(SUMIF(AA146:AA151,"=55457796",Q146:Q151),2)</f>
        <v>0</v>
      </c>
      <c r="DW153" s="4">
        <f>ROUND(SUMIF(AA146:AA151,"=55457796",R146:R151),2)</f>
        <v>0</v>
      </c>
      <c r="DX153" s="4">
        <f>ROUND(SUMIF(AA146:AA151,"=55457796",S146:S151),2)</f>
        <v>91.07</v>
      </c>
      <c r="DY153" s="4">
        <f>ROUND(SUMIF(AA146:AA151,"=55457796",T146:T151),2)</f>
        <v>0</v>
      </c>
      <c r="DZ153" s="4">
        <f>SUMIF(AA146:AA151,"=55457796",U146:U151)</f>
        <v>12.6587</v>
      </c>
      <c r="EA153" s="4">
        <f>SUMIF(AA146:AA151,"=55457796",V146:V151)</f>
        <v>0</v>
      </c>
      <c r="EB153" s="4">
        <f>ROUND(SUMIF(AA146:AA151,"=55457796",W146:W151),2)</f>
        <v>0</v>
      </c>
      <c r="EC153" s="4">
        <f>ROUND(SUMIF(AA146:AA151,"=55457796",X146:X151),2)</f>
        <v>83.78</v>
      </c>
      <c r="ED153" s="4">
        <f>ROUND(SUMIF(AA146:AA151,"=55457796",Y146:Y151),2)</f>
        <v>40.07</v>
      </c>
      <c r="EE153" s="4"/>
      <c r="EF153" s="4"/>
      <c r="EG153" s="4">
        <f aca="true" t="shared" si="133" ref="EG153:EV153">ROUND(FP153,2)</f>
        <v>0</v>
      </c>
      <c r="EH153" s="4">
        <f t="shared" si="133"/>
        <v>0</v>
      </c>
      <c r="EI153" s="4">
        <f t="shared" si="133"/>
        <v>0</v>
      </c>
      <c r="EJ153" s="4">
        <f t="shared" si="133"/>
        <v>1749.48</v>
      </c>
      <c r="EK153" s="4">
        <f t="shared" si="133"/>
        <v>1749.48</v>
      </c>
      <c r="EL153" s="4">
        <f t="shared" si="133"/>
        <v>0</v>
      </c>
      <c r="EM153" s="4">
        <f t="shared" si="133"/>
        <v>0</v>
      </c>
      <c r="EN153" s="4">
        <f t="shared" si="133"/>
        <v>201.56</v>
      </c>
      <c r="EO153" s="4">
        <f t="shared" si="133"/>
        <v>201.56</v>
      </c>
      <c r="EP153" s="4">
        <f t="shared" si="133"/>
        <v>0</v>
      </c>
      <c r="EQ153" s="4">
        <f t="shared" si="133"/>
        <v>201.56</v>
      </c>
      <c r="ER153" s="4">
        <f t="shared" si="133"/>
        <v>0</v>
      </c>
      <c r="ES153" s="4">
        <f t="shared" si="133"/>
        <v>0</v>
      </c>
      <c r="ET153" s="4">
        <f t="shared" si="133"/>
        <v>0</v>
      </c>
      <c r="EU153" s="4">
        <f t="shared" si="133"/>
        <v>0</v>
      </c>
      <c r="EV153" s="4">
        <f t="shared" si="133"/>
        <v>1333</v>
      </c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>
        <f>ROUND(SUMIF(AA146:AA151,"=55457796",FQ146:FQ151),2)</f>
        <v>0</v>
      </c>
      <c r="FQ153" s="4">
        <f>ROUND(SUMIF(AA146:AA151,"=55457796",FR146:FR151),2)</f>
        <v>0</v>
      </c>
      <c r="FR153" s="4">
        <f>ROUND(SUMIF(AA146:AA151,"=55457796",GL146:GL151),2)</f>
        <v>0</v>
      </c>
      <c r="FS153" s="4">
        <f>ROUND(SUMIF(AA146:AA151,"=55457796",GM146:GM151),2)</f>
        <v>1749.48</v>
      </c>
      <c r="FT153" s="4">
        <f>ROUND(SUMIF(AA146:AA151,"=55457796",GN146:GN151),2)</f>
        <v>1749.48</v>
      </c>
      <c r="FU153" s="4">
        <f>ROUND(SUMIF(AA146:AA151,"=55457796",GO146:GO151),2)</f>
        <v>0</v>
      </c>
      <c r="FV153" s="4">
        <f>ROUND(SUMIF(AA146:AA151,"=55457796",GP146:GP151),2)</f>
        <v>0</v>
      </c>
      <c r="FW153" s="4">
        <f>DU153-FP153</f>
        <v>201.56</v>
      </c>
      <c r="FX153" s="4">
        <f>DU153-FQ153</f>
        <v>201.56</v>
      </c>
      <c r="FY153" s="4">
        <f>FP153-FR153</f>
        <v>0</v>
      </c>
      <c r="FZ153" s="4">
        <f>DU153-FP153-FQ153+FR153</f>
        <v>201.56</v>
      </c>
      <c r="GA153" s="4">
        <f>FQ153-FR153</f>
        <v>0</v>
      </c>
      <c r="GB153" s="4">
        <f>ROUND(SUMIF(AA146:AA151,"=55457796",GX146:GX151),2)</f>
        <v>0</v>
      </c>
      <c r="GC153" s="4">
        <f>ROUND(SUMIF(AA146:AA151,"=55457796",GY146:GY151),2)</f>
        <v>0</v>
      </c>
      <c r="GD153" s="4">
        <f>ROUND(SUMIF(AA146:AA151,"=55457796",GZ146:GZ151),2)</f>
        <v>0</v>
      </c>
      <c r="GE153" s="4">
        <f>ROUND(SUMIF(AA146:AA151,"=55457796",HD146:HD151),2)</f>
        <v>1333</v>
      </c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201</v>
      </c>
      <c r="F155" s="5">
        <f>ROUND(Source!O153,O155)</f>
        <v>292.63</v>
      </c>
      <c r="G155" s="5" t="s">
        <v>52</v>
      </c>
      <c r="H155" s="5" t="s">
        <v>53</v>
      </c>
      <c r="I155" s="5"/>
      <c r="J155" s="5"/>
      <c r="K155" s="5">
        <v>201</v>
      </c>
      <c r="L155" s="5">
        <v>1</v>
      </c>
      <c r="M155" s="5">
        <v>3</v>
      </c>
      <c r="N155" s="5" t="s">
        <v>3</v>
      </c>
      <c r="O155" s="5">
        <v>2</v>
      </c>
      <c r="P155" s="5">
        <f>ROUND(Source!DG153,O155)</f>
        <v>292.63</v>
      </c>
      <c r="Q155" s="5"/>
      <c r="R155" s="5"/>
      <c r="S155" s="5"/>
      <c r="T155" s="5"/>
      <c r="U155" s="5"/>
      <c r="V155" s="5"/>
      <c r="W155" s="5">
        <v>1625.63</v>
      </c>
      <c r="X155" s="5">
        <v>1</v>
      </c>
      <c r="Y155" s="5">
        <v>1625.63</v>
      </c>
      <c r="Z155" s="5">
        <v>1625.63</v>
      </c>
      <c r="AA155" s="5">
        <v>1</v>
      </c>
      <c r="AB155" s="5">
        <v>21984.969999999998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202</v>
      </c>
      <c r="F156" s="5">
        <f>ROUND(Source!P153,O156)</f>
        <v>201.56</v>
      </c>
      <c r="G156" s="5" t="s">
        <v>54</v>
      </c>
      <c r="H156" s="5" t="s">
        <v>55</v>
      </c>
      <c r="I156" s="5"/>
      <c r="J156" s="5"/>
      <c r="K156" s="5">
        <v>202</v>
      </c>
      <c r="L156" s="5">
        <v>2</v>
      </c>
      <c r="M156" s="5">
        <v>3</v>
      </c>
      <c r="N156" s="5" t="s">
        <v>3</v>
      </c>
      <c r="O156" s="5">
        <v>2</v>
      </c>
      <c r="P156" s="5">
        <f>ROUND(Source!DH153,O156)</f>
        <v>201.56</v>
      </c>
      <c r="Q156" s="5"/>
      <c r="R156" s="5"/>
      <c r="S156" s="5"/>
      <c r="T156" s="5"/>
      <c r="U156" s="5"/>
      <c r="V156" s="5"/>
      <c r="W156" s="5">
        <v>201.56</v>
      </c>
      <c r="X156" s="5">
        <v>1</v>
      </c>
      <c r="Y156" s="5">
        <v>201.56</v>
      </c>
      <c r="Z156" s="5">
        <v>201.56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222</v>
      </c>
      <c r="F157" s="5">
        <f>ROUND(Source!AO153,O157)</f>
        <v>0</v>
      </c>
      <c r="G157" s="5" t="s">
        <v>56</v>
      </c>
      <c r="H157" s="5" t="s">
        <v>57</v>
      </c>
      <c r="I157" s="5"/>
      <c r="J157" s="5"/>
      <c r="K157" s="5">
        <v>222</v>
      </c>
      <c r="L157" s="5">
        <v>3</v>
      </c>
      <c r="M157" s="5">
        <v>3</v>
      </c>
      <c r="N157" s="5" t="s">
        <v>3</v>
      </c>
      <c r="O157" s="5">
        <v>2</v>
      </c>
      <c r="P157" s="5">
        <f>ROUND(Source!EG153,O157)</f>
        <v>0</v>
      </c>
      <c r="Q157" s="5"/>
      <c r="R157" s="5"/>
      <c r="S157" s="5"/>
      <c r="T157" s="5"/>
      <c r="U157" s="5"/>
      <c r="V157" s="5"/>
      <c r="W157" s="5">
        <v>0</v>
      </c>
      <c r="X157" s="5">
        <v>1</v>
      </c>
      <c r="Y157" s="5">
        <v>0</v>
      </c>
      <c r="Z157" s="5">
        <v>0</v>
      </c>
      <c r="AA157" s="5">
        <v>1</v>
      </c>
      <c r="AB157" s="5">
        <v>0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225</v>
      </c>
      <c r="F158" s="5">
        <f>ROUND(Source!AV153,O158)</f>
        <v>201.56</v>
      </c>
      <c r="G158" s="5" t="s">
        <v>58</v>
      </c>
      <c r="H158" s="5" t="s">
        <v>59</v>
      </c>
      <c r="I158" s="5"/>
      <c r="J158" s="5"/>
      <c r="K158" s="5">
        <v>225</v>
      </c>
      <c r="L158" s="5">
        <v>4</v>
      </c>
      <c r="M158" s="5">
        <v>3</v>
      </c>
      <c r="N158" s="5" t="s">
        <v>3</v>
      </c>
      <c r="O158" s="5">
        <v>2</v>
      </c>
      <c r="P158" s="5">
        <f>ROUND(Source!EN153,O158)</f>
        <v>201.56</v>
      </c>
      <c r="Q158" s="5"/>
      <c r="R158" s="5"/>
      <c r="S158" s="5"/>
      <c r="T158" s="5"/>
      <c r="U158" s="5"/>
      <c r="V158" s="5"/>
      <c r="W158" s="5">
        <v>201.56</v>
      </c>
      <c r="X158" s="5">
        <v>1</v>
      </c>
      <c r="Y158" s="5">
        <v>201.56</v>
      </c>
      <c r="Z158" s="5">
        <v>201.56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226</v>
      </c>
      <c r="F159" s="5">
        <f>ROUND(Source!AW153,O159)</f>
        <v>201.56</v>
      </c>
      <c r="G159" s="5" t="s">
        <v>60</v>
      </c>
      <c r="H159" s="5" t="s">
        <v>61</v>
      </c>
      <c r="I159" s="5"/>
      <c r="J159" s="5"/>
      <c r="K159" s="5">
        <v>226</v>
      </c>
      <c r="L159" s="5">
        <v>5</v>
      </c>
      <c r="M159" s="5">
        <v>3</v>
      </c>
      <c r="N159" s="5" t="s">
        <v>3</v>
      </c>
      <c r="O159" s="5">
        <v>2</v>
      </c>
      <c r="P159" s="5">
        <f>ROUND(Source!EO153,O159)</f>
        <v>201.56</v>
      </c>
      <c r="Q159" s="5"/>
      <c r="R159" s="5"/>
      <c r="S159" s="5"/>
      <c r="T159" s="5"/>
      <c r="U159" s="5"/>
      <c r="V159" s="5"/>
      <c r="W159" s="5">
        <v>201.56</v>
      </c>
      <c r="X159" s="5">
        <v>1</v>
      </c>
      <c r="Y159" s="5">
        <v>201.56</v>
      </c>
      <c r="Z159" s="5">
        <v>201.56</v>
      </c>
      <c r="AA159" s="5">
        <v>1</v>
      </c>
      <c r="AB159" s="5">
        <v>1374.64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227</v>
      </c>
      <c r="F160" s="5">
        <f>ROUND(Source!AX153,O160)</f>
        <v>0</v>
      </c>
      <c r="G160" s="5" t="s">
        <v>62</v>
      </c>
      <c r="H160" s="5" t="s">
        <v>63</v>
      </c>
      <c r="I160" s="5"/>
      <c r="J160" s="5"/>
      <c r="K160" s="5">
        <v>227</v>
      </c>
      <c r="L160" s="5">
        <v>6</v>
      </c>
      <c r="M160" s="5">
        <v>3</v>
      </c>
      <c r="N160" s="5" t="s">
        <v>3</v>
      </c>
      <c r="O160" s="5">
        <v>2</v>
      </c>
      <c r="P160" s="5">
        <f>ROUND(Source!EP153,O160)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228</v>
      </c>
      <c r="F161" s="5">
        <f>ROUND(Source!AY153,O161)</f>
        <v>201.56</v>
      </c>
      <c r="G161" s="5" t="s">
        <v>64</v>
      </c>
      <c r="H161" s="5" t="s">
        <v>65</v>
      </c>
      <c r="I161" s="5"/>
      <c r="J161" s="5"/>
      <c r="K161" s="5">
        <v>228</v>
      </c>
      <c r="L161" s="5">
        <v>7</v>
      </c>
      <c r="M161" s="5">
        <v>3</v>
      </c>
      <c r="N161" s="5" t="s">
        <v>3</v>
      </c>
      <c r="O161" s="5">
        <v>2</v>
      </c>
      <c r="P161" s="5">
        <f>ROUND(Source!EQ153,O161)</f>
        <v>201.56</v>
      </c>
      <c r="Q161" s="5"/>
      <c r="R161" s="5"/>
      <c r="S161" s="5"/>
      <c r="T161" s="5"/>
      <c r="U161" s="5"/>
      <c r="V161" s="5"/>
      <c r="W161" s="5">
        <v>201.56</v>
      </c>
      <c r="X161" s="5">
        <v>1</v>
      </c>
      <c r="Y161" s="5">
        <v>201.56</v>
      </c>
      <c r="Z161" s="5">
        <v>201.56</v>
      </c>
      <c r="AA161" s="5">
        <v>1</v>
      </c>
      <c r="AB161" s="5">
        <v>1374.64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216</v>
      </c>
      <c r="F162" s="5">
        <f>ROUND(Source!AP153,O162)</f>
        <v>0</v>
      </c>
      <c r="G162" s="5" t="s">
        <v>66</v>
      </c>
      <c r="H162" s="5" t="s">
        <v>67</v>
      </c>
      <c r="I162" s="5"/>
      <c r="J162" s="5"/>
      <c r="K162" s="5">
        <v>216</v>
      </c>
      <c r="L162" s="5">
        <v>8</v>
      </c>
      <c r="M162" s="5">
        <v>3</v>
      </c>
      <c r="N162" s="5" t="s">
        <v>3</v>
      </c>
      <c r="O162" s="5">
        <v>2</v>
      </c>
      <c r="P162" s="5">
        <f>ROUND(Source!EH153,O162)</f>
        <v>0</v>
      </c>
      <c r="Q162" s="5"/>
      <c r="R162" s="5"/>
      <c r="S162" s="5"/>
      <c r="T162" s="5"/>
      <c r="U162" s="5"/>
      <c r="V162" s="5"/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223</v>
      </c>
      <c r="F163" s="5">
        <f>ROUND(Source!AQ153,O163)</f>
        <v>0</v>
      </c>
      <c r="G163" s="5" t="s">
        <v>68</v>
      </c>
      <c r="H163" s="5" t="s">
        <v>69</v>
      </c>
      <c r="I163" s="5"/>
      <c r="J163" s="5"/>
      <c r="K163" s="5">
        <v>223</v>
      </c>
      <c r="L163" s="5">
        <v>9</v>
      </c>
      <c r="M163" s="5">
        <v>3</v>
      </c>
      <c r="N163" s="5" t="s">
        <v>3</v>
      </c>
      <c r="O163" s="5">
        <v>2</v>
      </c>
      <c r="P163" s="5">
        <f>ROUND(Source!EI153,O163)</f>
        <v>0</v>
      </c>
      <c r="Q163" s="5"/>
      <c r="R163" s="5"/>
      <c r="S163" s="5"/>
      <c r="T163" s="5"/>
      <c r="U163" s="5"/>
      <c r="V163" s="5"/>
      <c r="W163" s="5">
        <v>0</v>
      </c>
      <c r="X163" s="5">
        <v>1</v>
      </c>
      <c r="Y163" s="5">
        <v>0</v>
      </c>
      <c r="Z163" s="5">
        <v>0</v>
      </c>
      <c r="AA163" s="5">
        <v>1</v>
      </c>
      <c r="AB163" s="5">
        <v>0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229</v>
      </c>
      <c r="F164" s="5">
        <f>ROUND(Source!AZ153,O164)</f>
        <v>0</v>
      </c>
      <c r="G164" s="5" t="s">
        <v>70</v>
      </c>
      <c r="H164" s="5" t="s">
        <v>71</v>
      </c>
      <c r="I164" s="5"/>
      <c r="J164" s="5"/>
      <c r="K164" s="5">
        <v>229</v>
      </c>
      <c r="L164" s="5">
        <v>10</v>
      </c>
      <c r="M164" s="5">
        <v>3</v>
      </c>
      <c r="N164" s="5" t="s">
        <v>3</v>
      </c>
      <c r="O164" s="5">
        <v>2</v>
      </c>
      <c r="P164" s="5">
        <f>ROUND(Source!ER153,O164)</f>
        <v>0</v>
      </c>
      <c r="Q164" s="5"/>
      <c r="R164" s="5"/>
      <c r="S164" s="5"/>
      <c r="T164" s="5"/>
      <c r="U164" s="5"/>
      <c r="V164" s="5"/>
      <c r="W164" s="5">
        <v>0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203</v>
      </c>
      <c r="F165" s="5">
        <f>ROUND(Source!Q153,O165)</f>
        <v>0</v>
      </c>
      <c r="G165" s="5" t="s">
        <v>72</v>
      </c>
      <c r="H165" s="5" t="s">
        <v>73</v>
      </c>
      <c r="I165" s="5"/>
      <c r="J165" s="5"/>
      <c r="K165" s="5">
        <v>203</v>
      </c>
      <c r="L165" s="5">
        <v>11</v>
      </c>
      <c r="M165" s="5">
        <v>3</v>
      </c>
      <c r="N165" s="5" t="s">
        <v>3</v>
      </c>
      <c r="O165" s="5">
        <v>2</v>
      </c>
      <c r="P165" s="5">
        <f>ROUND(Source!DI153,O165)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231</v>
      </c>
      <c r="F166" s="5">
        <f>ROUND(Source!BB153,O166)</f>
        <v>0</v>
      </c>
      <c r="G166" s="5" t="s">
        <v>74</v>
      </c>
      <c r="H166" s="5" t="s">
        <v>75</v>
      </c>
      <c r="I166" s="5"/>
      <c r="J166" s="5"/>
      <c r="K166" s="5">
        <v>231</v>
      </c>
      <c r="L166" s="5">
        <v>12</v>
      </c>
      <c r="M166" s="5">
        <v>3</v>
      </c>
      <c r="N166" s="5" t="s">
        <v>3</v>
      </c>
      <c r="O166" s="5">
        <v>2</v>
      </c>
      <c r="P166" s="5">
        <f>ROUND(Source!ET153,O166)</f>
        <v>0</v>
      </c>
      <c r="Q166" s="5"/>
      <c r="R166" s="5"/>
      <c r="S166" s="5"/>
      <c r="T166" s="5"/>
      <c r="U166" s="5"/>
      <c r="V166" s="5"/>
      <c r="W166" s="5">
        <v>0</v>
      </c>
      <c r="X166" s="5">
        <v>1</v>
      </c>
      <c r="Y166" s="5">
        <v>0</v>
      </c>
      <c r="Z166" s="5">
        <v>0</v>
      </c>
      <c r="AA166" s="5">
        <v>1</v>
      </c>
      <c r="AB166" s="5">
        <v>0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204</v>
      </c>
      <c r="F167" s="5">
        <f>ROUND(Source!R153,O167)</f>
        <v>0</v>
      </c>
      <c r="G167" s="5" t="s">
        <v>76</v>
      </c>
      <c r="H167" s="5" t="s">
        <v>77</v>
      </c>
      <c r="I167" s="5"/>
      <c r="J167" s="5"/>
      <c r="K167" s="5">
        <v>204</v>
      </c>
      <c r="L167" s="5">
        <v>13</v>
      </c>
      <c r="M167" s="5">
        <v>3</v>
      </c>
      <c r="N167" s="5" t="s">
        <v>3</v>
      </c>
      <c r="O167" s="5">
        <v>2</v>
      </c>
      <c r="P167" s="5">
        <f>ROUND(Source!DJ153,O167)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205</v>
      </c>
      <c r="F168" s="5">
        <f>ROUND(Source!S153,O168)</f>
        <v>91.07</v>
      </c>
      <c r="G168" s="5" t="s">
        <v>78</v>
      </c>
      <c r="H168" s="5" t="s">
        <v>79</v>
      </c>
      <c r="I168" s="5"/>
      <c r="J168" s="5"/>
      <c r="K168" s="5">
        <v>205</v>
      </c>
      <c r="L168" s="5">
        <v>14</v>
      </c>
      <c r="M168" s="5">
        <v>3</v>
      </c>
      <c r="N168" s="5" t="s">
        <v>3</v>
      </c>
      <c r="O168" s="5">
        <v>2</v>
      </c>
      <c r="P168" s="5">
        <f>ROUND(Source!DK153,O168)</f>
        <v>91.07</v>
      </c>
      <c r="Q168" s="5"/>
      <c r="R168" s="5"/>
      <c r="S168" s="5"/>
      <c r="T168" s="5"/>
      <c r="U168" s="5"/>
      <c r="V168" s="5"/>
      <c r="W168" s="5">
        <v>91.07</v>
      </c>
      <c r="X168" s="5">
        <v>1</v>
      </c>
      <c r="Y168" s="5">
        <v>91.07</v>
      </c>
      <c r="Z168" s="5">
        <v>91.07</v>
      </c>
      <c r="AA168" s="5">
        <v>1</v>
      </c>
      <c r="AB168" s="5">
        <v>3321.32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232</v>
      </c>
      <c r="F169" s="5">
        <f>ROUND(Source!BC153,O169)</f>
        <v>0</v>
      </c>
      <c r="G169" s="5" t="s">
        <v>80</v>
      </c>
      <c r="H169" s="5" t="s">
        <v>81</v>
      </c>
      <c r="I169" s="5"/>
      <c r="J169" s="5"/>
      <c r="K169" s="5">
        <v>232</v>
      </c>
      <c r="L169" s="5">
        <v>15</v>
      </c>
      <c r="M169" s="5">
        <v>3</v>
      </c>
      <c r="N169" s="5" t="s">
        <v>3</v>
      </c>
      <c r="O169" s="5">
        <v>2</v>
      </c>
      <c r="P169" s="5">
        <f>ROUND(Source!EU153,O169)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214</v>
      </c>
      <c r="F170" s="5">
        <f>ROUND(Source!AS153,O170)</f>
        <v>1749.48</v>
      </c>
      <c r="G170" s="5" t="s">
        <v>82</v>
      </c>
      <c r="H170" s="5" t="s">
        <v>83</v>
      </c>
      <c r="I170" s="5"/>
      <c r="J170" s="5"/>
      <c r="K170" s="5">
        <v>214</v>
      </c>
      <c r="L170" s="5">
        <v>16</v>
      </c>
      <c r="M170" s="5">
        <v>3</v>
      </c>
      <c r="N170" s="5" t="s">
        <v>3</v>
      </c>
      <c r="O170" s="5">
        <v>2</v>
      </c>
      <c r="P170" s="5">
        <f>ROUND(Source!EK153,O170)</f>
        <v>1749.48</v>
      </c>
      <c r="Q170" s="5"/>
      <c r="R170" s="5"/>
      <c r="S170" s="5"/>
      <c r="T170" s="5"/>
      <c r="U170" s="5"/>
      <c r="V170" s="5"/>
      <c r="W170" s="5">
        <v>1749.48</v>
      </c>
      <c r="X170" s="5">
        <v>1</v>
      </c>
      <c r="Y170" s="5">
        <v>1749.48</v>
      </c>
      <c r="Z170" s="5">
        <v>1749.48</v>
      </c>
      <c r="AA170" s="5">
        <v>1</v>
      </c>
      <c r="AB170" s="5">
        <v>26501.96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215</v>
      </c>
      <c r="F171" s="5">
        <f>ROUND(Source!AT153,O171)</f>
        <v>0</v>
      </c>
      <c r="G171" s="5" t="s">
        <v>84</v>
      </c>
      <c r="H171" s="5" t="s">
        <v>85</v>
      </c>
      <c r="I171" s="5"/>
      <c r="J171" s="5"/>
      <c r="K171" s="5">
        <v>215</v>
      </c>
      <c r="L171" s="5">
        <v>17</v>
      </c>
      <c r="M171" s="5">
        <v>3</v>
      </c>
      <c r="N171" s="5" t="s">
        <v>3</v>
      </c>
      <c r="O171" s="5">
        <v>2</v>
      </c>
      <c r="P171" s="5">
        <f>ROUND(Source!EL153,O171)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217</v>
      </c>
      <c r="F172" s="5">
        <f>ROUND(Source!AU153,O172)</f>
        <v>0</v>
      </c>
      <c r="G172" s="5" t="s">
        <v>86</v>
      </c>
      <c r="H172" s="5" t="s">
        <v>87</v>
      </c>
      <c r="I172" s="5"/>
      <c r="J172" s="5"/>
      <c r="K172" s="5">
        <v>217</v>
      </c>
      <c r="L172" s="5">
        <v>18</v>
      </c>
      <c r="M172" s="5">
        <v>3</v>
      </c>
      <c r="N172" s="5" t="s">
        <v>3</v>
      </c>
      <c r="O172" s="5">
        <v>2</v>
      </c>
      <c r="P172" s="5">
        <f>ROUND(Source!EM153,O172)</f>
        <v>0</v>
      </c>
      <c r="Q172" s="5"/>
      <c r="R172" s="5"/>
      <c r="S172" s="5"/>
      <c r="T172" s="5"/>
      <c r="U172" s="5"/>
      <c r="V172" s="5"/>
      <c r="W172" s="5">
        <v>0</v>
      </c>
      <c r="X172" s="5">
        <v>1</v>
      </c>
      <c r="Y172" s="5">
        <v>0</v>
      </c>
      <c r="Z172" s="5">
        <v>0</v>
      </c>
      <c r="AA172" s="5">
        <v>1</v>
      </c>
      <c r="AB172" s="5">
        <v>0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230</v>
      </c>
      <c r="F173" s="5">
        <f>ROUND(Source!BA153,O173)</f>
        <v>0</v>
      </c>
      <c r="G173" s="5" t="s">
        <v>88</v>
      </c>
      <c r="H173" s="5" t="s">
        <v>89</v>
      </c>
      <c r="I173" s="5"/>
      <c r="J173" s="5"/>
      <c r="K173" s="5">
        <v>230</v>
      </c>
      <c r="L173" s="5">
        <v>19</v>
      </c>
      <c r="M173" s="5">
        <v>3</v>
      </c>
      <c r="N173" s="5" t="s">
        <v>3</v>
      </c>
      <c r="O173" s="5">
        <v>2</v>
      </c>
      <c r="P173" s="5">
        <f>ROUND(Source!ES153,O173)</f>
        <v>0</v>
      </c>
      <c r="Q173" s="5"/>
      <c r="R173" s="5"/>
      <c r="S173" s="5"/>
      <c r="T173" s="5"/>
      <c r="U173" s="5"/>
      <c r="V173" s="5"/>
      <c r="W173" s="5">
        <v>0</v>
      </c>
      <c r="X173" s="5">
        <v>1</v>
      </c>
      <c r="Y173" s="5">
        <v>0</v>
      </c>
      <c r="Z173" s="5">
        <v>0</v>
      </c>
      <c r="AA173" s="5">
        <v>1</v>
      </c>
      <c r="AB173" s="5">
        <v>0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206</v>
      </c>
      <c r="F174" s="5">
        <f>ROUND(Source!T153,O174)</f>
        <v>0</v>
      </c>
      <c r="G174" s="5" t="s">
        <v>90</v>
      </c>
      <c r="H174" s="5" t="s">
        <v>91</v>
      </c>
      <c r="I174" s="5"/>
      <c r="J174" s="5"/>
      <c r="K174" s="5">
        <v>206</v>
      </c>
      <c r="L174" s="5">
        <v>20</v>
      </c>
      <c r="M174" s="5">
        <v>3</v>
      </c>
      <c r="N174" s="5" t="s">
        <v>3</v>
      </c>
      <c r="O174" s="5">
        <v>2</v>
      </c>
      <c r="P174" s="5">
        <f>ROUND(Source!DL153,O174)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207</v>
      </c>
      <c r="F175" s="5">
        <f>Source!U153</f>
        <v>12.6587</v>
      </c>
      <c r="G175" s="5" t="s">
        <v>92</v>
      </c>
      <c r="H175" s="5" t="s">
        <v>93</v>
      </c>
      <c r="I175" s="5"/>
      <c r="J175" s="5"/>
      <c r="K175" s="5">
        <v>207</v>
      </c>
      <c r="L175" s="5">
        <v>21</v>
      </c>
      <c r="M175" s="5">
        <v>3</v>
      </c>
      <c r="N175" s="5" t="s">
        <v>3</v>
      </c>
      <c r="O175" s="5">
        <v>-1</v>
      </c>
      <c r="P175" s="5">
        <f>Source!DM153</f>
        <v>12.6587</v>
      </c>
      <c r="Q175" s="5"/>
      <c r="R175" s="5"/>
      <c r="S175" s="5"/>
      <c r="T175" s="5"/>
      <c r="U175" s="5"/>
      <c r="V175" s="5"/>
      <c r="W175" s="5">
        <v>12.6587</v>
      </c>
      <c r="X175" s="5">
        <v>1</v>
      </c>
      <c r="Y175" s="5">
        <v>12.6587</v>
      </c>
      <c r="Z175" s="5">
        <v>12.6587</v>
      </c>
      <c r="AA175" s="5">
        <v>1</v>
      </c>
      <c r="AB175" s="5">
        <v>12.6587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208</v>
      </c>
      <c r="F176" s="5">
        <f>Source!V153</f>
        <v>0</v>
      </c>
      <c r="G176" s="5" t="s">
        <v>94</v>
      </c>
      <c r="H176" s="5" t="s">
        <v>95</v>
      </c>
      <c r="I176" s="5"/>
      <c r="J176" s="5"/>
      <c r="K176" s="5">
        <v>208</v>
      </c>
      <c r="L176" s="5">
        <v>22</v>
      </c>
      <c r="M176" s="5">
        <v>3</v>
      </c>
      <c r="N176" s="5" t="s">
        <v>3</v>
      </c>
      <c r="O176" s="5">
        <v>-1</v>
      </c>
      <c r="P176" s="5">
        <f>Source!DN153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209</v>
      </c>
      <c r="F177" s="5">
        <f>ROUND(Source!W153,O177)</f>
        <v>0</v>
      </c>
      <c r="G177" s="5" t="s">
        <v>96</v>
      </c>
      <c r="H177" s="5" t="s">
        <v>97</v>
      </c>
      <c r="I177" s="5"/>
      <c r="J177" s="5"/>
      <c r="K177" s="5">
        <v>209</v>
      </c>
      <c r="L177" s="5">
        <v>23</v>
      </c>
      <c r="M177" s="5">
        <v>3</v>
      </c>
      <c r="N177" s="5" t="s">
        <v>3</v>
      </c>
      <c r="O177" s="5">
        <v>2</v>
      </c>
      <c r="P177" s="5">
        <f>ROUND(Source!DO153,O177)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233</v>
      </c>
      <c r="F178" s="5">
        <f>ROUND(Source!BD153,O178)</f>
        <v>1333</v>
      </c>
      <c r="G178" s="5" t="s">
        <v>98</v>
      </c>
      <c r="H178" s="5" t="s">
        <v>99</v>
      </c>
      <c r="I178" s="5"/>
      <c r="J178" s="5"/>
      <c r="K178" s="5">
        <v>233</v>
      </c>
      <c r="L178" s="5">
        <v>24</v>
      </c>
      <c r="M178" s="5">
        <v>3</v>
      </c>
      <c r="N178" s="5" t="s">
        <v>3</v>
      </c>
      <c r="O178" s="5">
        <v>2</v>
      </c>
      <c r="P178" s="5">
        <f>ROUND(Source!EV153,O178)</f>
        <v>1333</v>
      </c>
      <c r="Q178" s="5"/>
      <c r="R178" s="5"/>
      <c r="S178" s="5"/>
      <c r="T178" s="5"/>
      <c r="U178" s="5"/>
      <c r="V178" s="5"/>
      <c r="W178" s="5">
        <v>1333</v>
      </c>
      <c r="X178" s="5">
        <v>1</v>
      </c>
      <c r="Y178" s="5">
        <v>1333</v>
      </c>
      <c r="Z178" s="5">
        <v>1333</v>
      </c>
      <c r="AA178" s="5">
        <v>1</v>
      </c>
      <c r="AB178" s="5">
        <v>17289.01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210</v>
      </c>
      <c r="F179" s="5">
        <f>ROUND(Source!X153,O179)</f>
        <v>83.78</v>
      </c>
      <c r="G179" s="5" t="s">
        <v>100</v>
      </c>
      <c r="H179" s="5" t="s">
        <v>101</v>
      </c>
      <c r="I179" s="5"/>
      <c r="J179" s="5"/>
      <c r="K179" s="5">
        <v>210</v>
      </c>
      <c r="L179" s="5">
        <v>25</v>
      </c>
      <c r="M179" s="5">
        <v>3</v>
      </c>
      <c r="N179" s="5" t="s">
        <v>3</v>
      </c>
      <c r="O179" s="5">
        <v>2</v>
      </c>
      <c r="P179" s="5">
        <f>ROUND(Source!DP153,O179)</f>
        <v>83.78</v>
      </c>
      <c r="Q179" s="5"/>
      <c r="R179" s="5"/>
      <c r="S179" s="5"/>
      <c r="T179" s="5"/>
      <c r="U179" s="5"/>
      <c r="V179" s="5"/>
      <c r="W179" s="5">
        <v>83.78</v>
      </c>
      <c r="X179" s="5">
        <v>1</v>
      </c>
      <c r="Y179" s="5">
        <v>83.78</v>
      </c>
      <c r="Z179" s="5">
        <v>83.78</v>
      </c>
      <c r="AA179" s="5">
        <v>1</v>
      </c>
      <c r="AB179" s="5">
        <v>3055.61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211</v>
      </c>
      <c r="F180" s="5">
        <f>ROUND(Source!Y153,O180)</f>
        <v>40.07</v>
      </c>
      <c r="G180" s="5" t="s">
        <v>102</v>
      </c>
      <c r="H180" s="5" t="s">
        <v>103</v>
      </c>
      <c r="I180" s="5"/>
      <c r="J180" s="5"/>
      <c r="K180" s="5">
        <v>211</v>
      </c>
      <c r="L180" s="5">
        <v>26</v>
      </c>
      <c r="M180" s="5">
        <v>3</v>
      </c>
      <c r="N180" s="5" t="s">
        <v>3</v>
      </c>
      <c r="O180" s="5">
        <v>2</v>
      </c>
      <c r="P180" s="5">
        <f>ROUND(Source!DQ153,O180)</f>
        <v>40.07</v>
      </c>
      <c r="Q180" s="5"/>
      <c r="R180" s="5"/>
      <c r="S180" s="5"/>
      <c r="T180" s="5"/>
      <c r="U180" s="5"/>
      <c r="V180" s="5"/>
      <c r="W180" s="5">
        <v>40.07</v>
      </c>
      <c r="X180" s="5">
        <v>1</v>
      </c>
      <c r="Y180" s="5">
        <v>40.07</v>
      </c>
      <c r="Z180" s="5">
        <v>40.07</v>
      </c>
      <c r="AA180" s="5">
        <v>1</v>
      </c>
      <c r="AB180" s="5">
        <v>1461.38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224</v>
      </c>
      <c r="F181" s="5">
        <f>ROUND(Source!AR153,O181)</f>
        <v>1749.48</v>
      </c>
      <c r="G181" s="5" t="s">
        <v>104</v>
      </c>
      <c r="H181" s="5" t="s">
        <v>105</v>
      </c>
      <c r="I181" s="5"/>
      <c r="J181" s="5"/>
      <c r="K181" s="5">
        <v>224</v>
      </c>
      <c r="L181" s="5">
        <v>27</v>
      </c>
      <c r="M181" s="5">
        <v>3</v>
      </c>
      <c r="N181" s="5" t="s">
        <v>3</v>
      </c>
      <c r="O181" s="5">
        <v>2</v>
      </c>
      <c r="P181" s="5">
        <f>ROUND(Source!EJ153,O181)</f>
        <v>1749.48</v>
      </c>
      <c r="Q181" s="5"/>
      <c r="R181" s="5"/>
      <c r="S181" s="5"/>
      <c r="T181" s="5"/>
      <c r="U181" s="5"/>
      <c r="V181" s="5"/>
      <c r="W181" s="5">
        <v>1749.48</v>
      </c>
      <c r="X181" s="5">
        <v>1</v>
      </c>
      <c r="Y181" s="5">
        <v>1749.48</v>
      </c>
      <c r="Z181" s="5">
        <v>1749.48</v>
      </c>
      <c r="AA181" s="5">
        <v>1</v>
      </c>
      <c r="AB181" s="5">
        <v>26501.96</v>
      </c>
    </row>
    <row r="183" spans="1:206" ht="12.75">
      <c r="A183" s="3">
        <v>51</v>
      </c>
      <c r="B183" s="3">
        <f>B20</f>
        <v>1</v>
      </c>
      <c r="C183" s="3">
        <f>A20</f>
        <v>3</v>
      </c>
      <c r="D183" s="3">
        <f>ROW(A20)</f>
        <v>20</v>
      </c>
      <c r="E183" s="3"/>
      <c r="F183" s="3">
        <f>IF(F20&lt;&gt;"",F20,"")</f>
      </c>
      <c r="G183" s="3">
        <f>IF(G20&lt;&gt;"",G20,"")</f>
      </c>
      <c r="H183" s="3">
        <v>0</v>
      </c>
      <c r="I183" s="3"/>
      <c r="J183" s="3"/>
      <c r="K183" s="3"/>
      <c r="L183" s="3"/>
      <c r="M183" s="3"/>
      <c r="N183" s="3"/>
      <c r="O183" s="3">
        <f aca="true" t="shared" si="134" ref="O183:T183">ROUND(O37+O112+O153+AB183,2)</f>
        <v>94367.92</v>
      </c>
      <c r="P183" s="3">
        <f t="shared" si="134"/>
        <v>86138.55</v>
      </c>
      <c r="Q183" s="3">
        <f t="shared" si="134"/>
        <v>2054.53</v>
      </c>
      <c r="R183" s="3">
        <f t="shared" si="134"/>
        <v>233.6</v>
      </c>
      <c r="S183" s="3">
        <f t="shared" si="134"/>
        <v>6174.84</v>
      </c>
      <c r="T183" s="3">
        <f t="shared" si="134"/>
        <v>0</v>
      </c>
      <c r="U183" s="3">
        <f>U37+U112+U153+AH183</f>
        <v>717.04626</v>
      </c>
      <c r="V183" s="3">
        <f>V37+V112+V153+AI183</f>
        <v>19.107669799999996</v>
      </c>
      <c r="W183" s="3">
        <f>ROUND(W37+W112+W153+AJ183,2)</f>
        <v>0</v>
      </c>
      <c r="X183" s="3">
        <f>ROUND(X37+X112+X153+AK183,2)</f>
        <v>6305.18</v>
      </c>
      <c r="Y183" s="3">
        <f>ROUND(Y37+Y112+Y153+AL183,2)</f>
        <v>3283.49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>
        <f aca="true" t="shared" si="135" ref="AO183:BD183">ROUND(AO37+AO112+AO153+BX183,2)</f>
        <v>0</v>
      </c>
      <c r="AP183" s="3">
        <f t="shared" si="135"/>
        <v>0</v>
      </c>
      <c r="AQ183" s="3">
        <f t="shared" si="135"/>
        <v>0</v>
      </c>
      <c r="AR183" s="3">
        <f t="shared" si="135"/>
        <v>105289.59</v>
      </c>
      <c r="AS183" s="3">
        <f t="shared" si="135"/>
        <v>105289.59</v>
      </c>
      <c r="AT183" s="3">
        <f t="shared" si="135"/>
        <v>0</v>
      </c>
      <c r="AU183" s="3">
        <f t="shared" si="135"/>
        <v>0</v>
      </c>
      <c r="AV183" s="3">
        <f t="shared" si="135"/>
        <v>86138.55</v>
      </c>
      <c r="AW183" s="3">
        <f t="shared" si="135"/>
        <v>86138.55</v>
      </c>
      <c r="AX183" s="3">
        <f t="shared" si="135"/>
        <v>0</v>
      </c>
      <c r="AY183" s="3">
        <f t="shared" si="135"/>
        <v>86138.55</v>
      </c>
      <c r="AZ183" s="3">
        <f t="shared" si="135"/>
        <v>0</v>
      </c>
      <c r="BA183" s="3">
        <f t="shared" si="135"/>
        <v>0</v>
      </c>
      <c r="BB183" s="3">
        <f t="shared" si="135"/>
        <v>0</v>
      </c>
      <c r="BC183" s="3">
        <f t="shared" si="135"/>
        <v>0</v>
      </c>
      <c r="BD183" s="3">
        <f t="shared" si="135"/>
        <v>1333</v>
      </c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4">
        <f aca="true" t="shared" si="136" ref="DG183:DL183">ROUND(DG37+DG112+DG153+DT183,2)</f>
        <v>94367.92</v>
      </c>
      <c r="DH183" s="4">
        <f t="shared" si="136"/>
        <v>86138.55</v>
      </c>
      <c r="DI183" s="4">
        <f t="shared" si="136"/>
        <v>2054.53</v>
      </c>
      <c r="DJ183" s="4">
        <f t="shared" si="136"/>
        <v>233.6</v>
      </c>
      <c r="DK183" s="4">
        <f t="shared" si="136"/>
        <v>6174.84</v>
      </c>
      <c r="DL183" s="4">
        <f t="shared" si="136"/>
        <v>0</v>
      </c>
      <c r="DM183" s="4">
        <f>DM37+DM112+DM153+DZ183</f>
        <v>717.04626</v>
      </c>
      <c r="DN183" s="4">
        <f>DN37+DN112+DN153+EA183</f>
        <v>19.107669799999996</v>
      </c>
      <c r="DO183" s="4">
        <f>ROUND(DO37+DO112+DO153+EB183,2)</f>
        <v>0</v>
      </c>
      <c r="DP183" s="4">
        <f>ROUND(DP37+DP112+DP153+EC183,2)</f>
        <v>6305.18</v>
      </c>
      <c r="DQ183" s="4">
        <f>ROUND(DQ37+DQ112+DQ153+ED183,2)</f>
        <v>3283.49</v>
      </c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>
        <f aca="true" t="shared" si="137" ref="EG183:EV183">ROUND(EG37+EG112+EG153+FP183,2)</f>
        <v>0</v>
      </c>
      <c r="EH183" s="4">
        <f t="shared" si="137"/>
        <v>0</v>
      </c>
      <c r="EI183" s="4">
        <f t="shared" si="137"/>
        <v>0</v>
      </c>
      <c r="EJ183" s="4">
        <f t="shared" si="137"/>
        <v>105289.59</v>
      </c>
      <c r="EK183" s="4">
        <f t="shared" si="137"/>
        <v>105289.59</v>
      </c>
      <c r="EL183" s="4">
        <f t="shared" si="137"/>
        <v>0</v>
      </c>
      <c r="EM183" s="4">
        <f t="shared" si="137"/>
        <v>0</v>
      </c>
      <c r="EN183" s="4">
        <f t="shared" si="137"/>
        <v>86138.55</v>
      </c>
      <c r="EO183" s="4">
        <f t="shared" si="137"/>
        <v>86138.55</v>
      </c>
      <c r="EP183" s="4">
        <f t="shared" si="137"/>
        <v>0</v>
      </c>
      <c r="EQ183" s="4">
        <f t="shared" si="137"/>
        <v>86138.55</v>
      </c>
      <c r="ER183" s="4">
        <f t="shared" si="137"/>
        <v>0</v>
      </c>
      <c r="ES183" s="4">
        <f t="shared" si="137"/>
        <v>0</v>
      </c>
      <c r="ET183" s="4">
        <f t="shared" si="137"/>
        <v>0</v>
      </c>
      <c r="EU183" s="4">
        <f t="shared" si="137"/>
        <v>0</v>
      </c>
      <c r="EV183" s="4">
        <f t="shared" si="137"/>
        <v>1333</v>
      </c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>
        <v>0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201</v>
      </c>
      <c r="F185" s="5">
        <f>ROUND(Source!O183,O185)</f>
        <v>94367.92</v>
      </c>
      <c r="G185" s="5" t="s">
        <v>52</v>
      </c>
      <c r="H185" s="5" t="s">
        <v>53</v>
      </c>
      <c r="I185" s="5"/>
      <c r="J185" s="5"/>
      <c r="K185" s="5">
        <v>201</v>
      </c>
      <c r="L185" s="5">
        <v>1</v>
      </c>
      <c r="M185" s="5">
        <v>3</v>
      </c>
      <c r="N185" s="5" t="s">
        <v>3</v>
      </c>
      <c r="O185" s="5">
        <v>2</v>
      </c>
      <c r="P185" s="5">
        <f>ROUND(Source!DG183,O185)</f>
        <v>94367.92</v>
      </c>
      <c r="Q185" s="5"/>
      <c r="R185" s="5"/>
      <c r="S185" s="5"/>
      <c r="T185" s="5"/>
      <c r="U185" s="5"/>
      <c r="V185" s="5"/>
      <c r="W185" s="5">
        <v>95700.92</v>
      </c>
      <c r="X185" s="5">
        <v>1</v>
      </c>
      <c r="Y185" s="5">
        <v>95700.92</v>
      </c>
      <c r="Z185" s="5">
        <v>95700.92</v>
      </c>
      <c r="AA185" s="5">
        <v>1</v>
      </c>
      <c r="AB185" s="5">
        <v>856597.6000000001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202</v>
      </c>
      <c r="F186" s="5">
        <f>ROUND(Source!P183,O186)</f>
        <v>86138.55</v>
      </c>
      <c r="G186" s="5" t="s">
        <v>54</v>
      </c>
      <c r="H186" s="5" t="s">
        <v>55</v>
      </c>
      <c r="I186" s="5"/>
      <c r="J186" s="5"/>
      <c r="K186" s="5">
        <v>202</v>
      </c>
      <c r="L186" s="5">
        <v>2</v>
      </c>
      <c r="M186" s="5">
        <v>3</v>
      </c>
      <c r="N186" s="5" t="s">
        <v>3</v>
      </c>
      <c r="O186" s="5">
        <v>2</v>
      </c>
      <c r="P186" s="5">
        <f>ROUND(Source!DH183,O186)</f>
        <v>86138.55</v>
      </c>
      <c r="Q186" s="5"/>
      <c r="R186" s="5"/>
      <c r="S186" s="5"/>
      <c r="T186" s="5"/>
      <c r="U186" s="5"/>
      <c r="V186" s="5"/>
      <c r="W186" s="5">
        <v>86138.55</v>
      </c>
      <c r="X186" s="5">
        <v>1</v>
      </c>
      <c r="Y186" s="5">
        <v>86138.55</v>
      </c>
      <c r="Z186" s="5">
        <v>86138.55</v>
      </c>
      <c r="AA186" s="5">
        <v>1</v>
      </c>
      <c r="AB186" s="5">
        <v>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222</v>
      </c>
      <c r="F187" s="5">
        <f>ROUND(Source!AO183,O187)</f>
        <v>0</v>
      </c>
      <c r="G187" s="5" t="s">
        <v>56</v>
      </c>
      <c r="H187" s="5" t="s">
        <v>57</v>
      </c>
      <c r="I187" s="5"/>
      <c r="J187" s="5"/>
      <c r="K187" s="5">
        <v>222</v>
      </c>
      <c r="L187" s="5">
        <v>3</v>
      </c>
      <c r="M187" s="5">
        <v>3</v>
      </c>
      <c r="N187" s="5" t="s">
        <v>3</v>
      </c>
      <c r="O187" s="5">
        <v>2</v>
      </c>
      <c r="P187" s="5">
        <f>ROUND(Source!EG183,O187)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225</v>
      </c>
      <c r="F188" s="5">
        <f>ROUND(Source!AV183,O188)</f>
        <v>86138.55</v>
      </c>
      <c r="G188" s="5" t="s">
        <v>58</v>
      </c>
      <c r="H188" s="5" t="s">
        <v>59</v>
      </c>
      <c r="I188" s="5"/>
      <c r="J188" s="5"/>
      <c r="K188" s="5">
        <v>225</v>
      </c>
      <c r="L188" s="5">
        <v>4</v>
      </c>
      <c r="M188" s="5">
        <v>3</v>
      </c>
      <c r="N188" s="5" t="s">
        <v>3</v>
      </c>
      <c r="O188" s="5">
        <v>2</v>
      </c>
      <c r="P188" s="5">
        <f>ROUND(Source!EN183,O188)</f>
        <v>86138.55</v>
      </c>
      <c r="Q188" s="5"/>
      <c r="R188" s="5"/>
      <c r="S188" s="5"/>
      <c r="T188" s="5"/>
      <c r="U188" s="5"/>
      <c r="V188" s="5"/>
      <c r="W188" s="5">
        <v>86138.55</v>
      </c>
      <c r="X188" s="5">
        <v>1</v>
      </c>
      <c r="Y188" s="5">
        <v>86138.55</v>
      </c>
      <c r="Z188" s="5">
        <v>86138.55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226</v>
      </c>
      <c r="F189" s="5">
        <f>ROUND(Source!AW183,O189)</f>
        <v>86138.55</v>
      </c>
      <c r="G189" s="5" t="s">
        <v>60</v>
      </c>
      <c r="H189" s="5" t="s">
        <v>61</v>
      </c>
      <c r="I189" s="5"/>
      <c r="J189" s="5"/>
      <c r="K189" s="5">
        <v>226</v>
      </c>
      <c r="L189" s="5">
        <v>5</v>
      </c>
      <c r="M189" s="5">
        <v>3</v>
      </c>
      <c r="N189" s="5" t="s">
        <v>3</v>
      </c>
      <c r="O189" s="5">
        <v>2</v>
      </c>
      <c r="P189" s="5">
        <f>ROUND(Source!EO183,O189)</f>
        <v>86138.55</v>
      </c>
      <c r="Q189" s="5"/>
      <c r="R189" s="5"/>
      <c r="S189" s="5"/>
      <c r="T189" s="5"/>
      <c r="U189" s="5"/>
      <c r="V189" s="5"/>
      <c r="W189" s="5">
        <v>86138.55</v>
      </c>
      <c r="X189" s="5">
        <v>1</v>
      </c>
      <c r="Y189" s="5">
        <v>86138.55</v>
      </c>
      <c r="Z189" s="5">
        <v>86138.55</v>
      </c>
      <c r="AA189" s="5">
        <v>1</v>
      </c>
      <c r="AB189" s="5">
        <v>587464.91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227</v>
      </c>
      <c r="F190" s="5">
        <f>ROUND(Source!AX183,O190)</f>
        <v>0</v>
      </c>
      <c r="G190" s="5" t="s">
        <v>62</v>
      </c>
      <c r="H190" s="5" t="s">
        <v>63</v>
      </c>
      <c r="I190" s="5"/>
      <c r="J190" s="5"/>
      <c r="K190" s="5">
        <v>227</v>
      </c>
      <c r="L190" s="5">
        <v>6</v>
      </c>
      <c r="M190" s="5">
        <v>3</v>
      </c>
      <c r="N190" s="5" t="s">
        <v>3</v>
      </c>
      <c r="O190" s="5">
        <v>2</v>
      </c>
      <c r="P190" s="5">
        <f>ROUND(Source!EP183,O190)</f>
        <v>0</v>
      </c>
      <c r="Q190" s="5"/>
      <c r="R190" s="5"/>
      <c r="S190" s="5"/>
      <c r="T190" s="5"/>
      <c r="U190" s="5"/>
      <c r="V190" s="5"/>
      <c r="W190" s="5">
        <v>0</v>
      </c>
      <c r="X190" s="5">
        <v>1</v>
      </c>
      <c r="Y190" s="5">
        <v>0</v>
      </c>
      <c r="Z190" s="5">
        <v>0</v>
      </c>
      <c r="AA190" s="5">
        <v>1</v>
      </c>
      <c r="AB190" s="5">
        <v>0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228</v>
      </c>
      <c r="F191" s="5">
        <f>ROUND(Source!AY183,O191)</f>
        <v>86138.55</v>
      </c>
      <c r="G191" s="5" t="s">
        <v>64</v>
      </c>
      <c r="H191" s="5" t="s">
        <v>65</v>
      </c>
      <c r="I191" s="5"/>
      <c r="J191" s="5"/>
      <c r="K191" s="5">
        <v>228</v>
      </c>
      <c r="L191" s="5">
        <v>7</v>
      </c>
      <c r="M191" s="5">
        <v>3</v>
      </c>
      <c r="N191" s="5" t="s">
        <v>3</v>
      </c>
      <c r="O191" s="5">
        <v>2</v>
      </c>
      <c r="P191" s="5">
        <f>ROUND(Source!EQ183,O191)</f>
        <v>86138.55</v>
      </c>
      <c r="Q191" s="5"/>
      <c r="R191" s="5"/>
      <c r="S191" s="5"/>
      <c r="T191" s="5"/>
      <c r="U191" s="5"/>
      <c r="V191" s="5"/>
      <c r="W191" s="5">
        <v>86138.55</v>
      </c>
      <c r="X191" s="5">
        <v>1</v>
      </c>
      <c r="Y191" s="5">
        <v>86138.55</v>
      </c>
      <c r="Z191" s="5">
        <v>86138.55</v>
      </c>
      <c r="AA191" s="5">
        <v>1</v>
      </c>
      <c r="AB191" s="5">
        <v>587464.91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216</v>
      </c>
      <c r="F192" s="5">
        <f>ROUND(Source!AP183,O192)</f>
        <v>0</v>
      </c>
      <c r="G192" s="5" t="s">
        <v>66</v>
      </c>
      <c r="H192" s="5" t="s">
        <v>67</v>
      </c>
      <c r="I192" s="5"/>
      <c r="J192" s="5"/>
      <c r="K192" s="5">
        <v>216</v>
      </c>
      <c r="L192" s="5">
        <v>8</v>
      </c>
      <c r="M192" s="5">
        <v>3</v>
      </c>
      <c r="N192" s="5" t="s">
        <v>3</v>
      </c>
      <c r="O192" s="5">
        <v>2</v>
      </c>
      <c r="P192" s="5">
        <f>ROUND(Source!EH183,O192)</f>
        <v>0</v>
      </c>
      <c r="Q192" s="5"/>
      <c r="R192" s="5"/>
      <c r="S192" s="5"/>
      <c r="T192" s="5"/>
      <c r="U192" s="5"/>
      <c r="V192" s="5"/>
      <c r="W192" s="5">
        <v>0</v>
      </c>
      <c r="X192" s="5">
        <v>1</v>
      </c>
      <c r="Y192" s="5">
        <v>0</v>
      </c>
      <c r="Z192" s="5">
        <v>0</v>
      </c>
      <c r="AA192" s="5">
        <v>1</v>
      </c>
      <c r="AB192" s="5">
        <v>0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223</v>
      </c>
      <c r="F193" s="5">
        <f>ROUND(Source!AQ183,O193)</f>
        <v>0</v>
      </c>
      <c r="G193" s="5" t="s">
        <v>68</v>
      </c>
      <c r="H193" s="5" t="s">
        <v>69</v>
      </c>
      <c r="I193" s="5"/>
      <c r="J193" s="5"/>
      <c r="K193" s="5">
        <v>223</v>
      </c>
      <c r="L193" s="5">
        <v>9</v>
      </c>
      <c r="M193" s="5">
        <v>3</v>
      </c>
      <c r="N193" s="5" t="s">
        <v>3</v>
      </c>
      <c r="O193" s="5">
        <v>2</v>
      </c>
      <c r="P193" s="5">
        <f>ROUND(Source!EI183,O193)</f>
        <v>0</v>
      </c>
      <c r="Q193" s="5"/>
      <c r="R193" s="5"/>
      <c r="S193" s="5"/>
      <c r="T193" s="5"/>
      <c r="U193" s="5"/>
      <c r="V193" s="5"/>
      <c r="W193" s="5">
        <v>0</v>
      </c>
      <c r="X193" s="5">
        <v>1</v>
      </c>
      <c r="Y193" s="5">
        <v>0</v>
      </c>
      <c r="Z193" s="5">
        <v>0</v>
      </c>
      <c r="AA193" s="5">
        <v>1</v>
      </c>
      <c r="AB193" s="5">
        <v>0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229</v>
      </c>
      <c r="F194" s="5">
        <f>ROUND(Source!AZ183,O194)</f>
        <v>0</v>
      </c>
      <c r="G194" s="5" t="s">
        <v>70</v>
      </c>
      <c r="H194" s="5" t="s">
        <v>71</v>
      </c>
      <c r="I194" s="5"/>
      <c r="J194" s="5"/>
      <c r="K194" s="5">
        <v>229</v>
      </c>
      <c r="L194" s="5">
        <v>10</v>
      </c>
      <c r="M194" s="5">
        <v>3</v>
      </c>
      <c r="N194" s="5" t="s">
        <v>3</v>
      </c>
      <c r="O194" s="5">
        <v>2</v>
      </c>
      <c r="P194" s="5">
        <f>ROUND(Source!ER183,O194)</f>
        <v>0</v>
      </c>
      <c r="Q194" s="5"/>
      <c r="R194" s="5"/>
      <c r="S194" s="5"/>
      <c r="T194" s="5"/>
      <c r="U194" s="5"/>
      <c r="V194" s="5"/>
      <c r="W194" s="5">
        <v>0</v>
      </c>
      <c r="X194" s="5">
        <v>1</v>
      </c>
      <c r="Y194" s="5">
        <v>0</v>
      </c>
      <c r="Z194" s="5">
        <v>0</v>
      </c>
      <c r="AA194" s="5">
        <v>1</v>
      </c>
      <c r="AB194" s="5">
        <v>0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203</v>
      </c>
      <c r="F195" s="5">
        <f>ROUND(Source!Q183,O195)</f>
        <v>2054.53</v>
      </c>
      <c r="G195" s="5" t="s">
        <v>72</v>
      </c>
      <c r="H195" s="5" t="s">
        <v>73</v>
      </c>
      <c r="I195" s="5"/>
      <c r="J195" s="5"/>
      <c r="K195" s="5">
        <v>203</v>
      </c>
      <c r="L195" s="5">
        <v>11</v>
      </c>
      <c r="M195" s="5">
        <v>3</v>
      </c>
      <c r="N195" s="5" t="s">
        <v>3</v>
      </c>
      <c r="O195" s="5">
        <v>2</v>
      </c>
      <c r="P195" s="5">
        <f>ROUND(Source!DI183,O195)</f>
        <v>2054.53</v>
      </c>
      <c r="Q195" s="5"/>
      <c r="R195" s="5"/>
      <c r="S195" s="5"/>
      <c r="T195" s="5"/>
      <c r="U195" s="5"/>
      <c r="V195" s="5"/>
      <c r="W195" s="5">
        <v>2054.5299999999997</v>
      </c>
      <c r="X195" s="5">
        <v>1</v>
      </c>
      <c r="Y195" s="5">
        <v>2054.5299999999997</v>
      </c>
      <c r="Z195" s="5">
        <v>2054.5299999999997</v>
      </c>
      <c r="AA195" s="5">
        <v>1</v>
      </c>
      <c r="AB195" s="5">
        <v>26647.25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231</v>
      </c>
      <c r="F196" s="5">
        <f>ROUND(Source!BB183,O196)</f>
        <v>0</v>
      </c>
      <c r="G196" s="5" t="s">
        <v>74</v>
      </c>
      <c r="H196" s="5" t="s">
        <v>75</v>
      </c>
      <c r="I196" s="5"/>
      <c r="J196" s="5"/>
      <c r="K196" s="5">
        <v>231</v>
      </c>
      <c r="L196" s="5">
        <v>12</v>
      </c>
      <c r="M196" s="5">
        <v>3</v>
      </c>
      <c r="N196" s="5" t="s">
        <v>3</v>
      </c>
      <c r="O196" s="5">
        <v>2</v>
      </c>
      <c r="P196" s="5">
        <f>ROUND(Source!ET183,O196)</f>
        <v>0</v>
      </c>
      <c r="Q196" s="5"/>
      <c r="R196" s="5"/>
      <c r="S196" s="5"/>
      <c r="T196" s="5"/>
      <c r="U196" s="5"/>
      <c r="V196" s="5"/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204</v>
      </c>
      <c r="F197" s="5">
        <f>ROUND(Source!R183,O197)</f>
        <v>233.6</v>
      </c>
      <c r="G197" s="5" t="s">
        <v>76</v>
      </c>
      <c r="H197" s="5" t="s">
        <v>77</v>
      </c>
      <c r="I197" s="5"/>
      <c r="J197" s="5"/>
      <c r="K197" s="5">
        <v>204</v>
      </c>
      <c r="L197" s="5">
        <v>13</v>
      </c>
      <c r="M197" s="5">
        <v>3</v>
      </c>
      <c r="N197" s="5" t="s">
        <v>3</v>
      </c>
      <c r="O197" s="5">
        <v>2</v>
      </c>
      <c r="P197" s="5">
        <f>ROUND(Source!DJ183,O197)</f>
        <v>233.6</v>
      </c>
      <c r="Q197" s="5"/>
      <c r="R197" s="5"/>
      <c r="S197" s="5"/>
      <c r="T197" s="5"/>
      <c r="U197" s="5"/>
      <c r="V197" s="5"/>
      <c r="W197" s="5">
        <v>233.6</v>
      </c>
      <c r="X197" s="5">
        <v>1</v>
      </c>
      <c r="Y197" s="5">
        <v>233.6</v>
      </c>
      <c r="Z197" s="5">
        <v>233.6</v>
      </c>
      <c r="AA197" s="5">
        <v>1</v>
      </c>
      <c r="AB197" s="5">
        <v>8519.39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205</v>
      </c>
      <c r="F198" s="5">
        <f>ROUND(Source!S183,O198)</f>
        <v>6174.84</v>
      </c>
      <c r="G198" s="5" t="s">
        <v>78</v>
      </c>
      <c r="H198" s="5" t="s">
        <v>79</v>
      </c>
      <c r="I198" s="5"/>
      <c r="J198" s="5"/>
      <c r="K198" s="5">
        <v>205</v>
      </c>
      <c r="L198" s="5">
        <v>14</v>
      </c>
      <c r="M198" s="5">
        <v>3</v>
      </c>
      <c r="N198" s="5" t="s">
        <v>3</v>
      </c>
      <c r="O198" s="5">
        <v>2</v>
      </c>
      <c r="P198" s="5">
        <f>ROUND(Source!DK183,O198)</f>
        <v>6174.84</v>
      </c>
      <c r="Q198" s="5"/>
      <c r="R198" s="5"/>
      <c r="S198" s="5"/>
      <c r="T198" s="5"/>
      <c r="U198" s="5"/>
      <c r="V198" s="5"/>
      <c r="W198" s="5">
        <v>6174.84</v>
      </c>
      <c r="X198" s="5">
        <v>1</v>
      </c>
      <c r="Y198" s="5">
        <v>6174.84</v>
      </c>
      <c r="Z198" s="5">
        <v>6174.84</v>
      </c>
      <c r="AA198" s="5">
        <v>1</v>
      </c>
      <c r="AB198" s="5">
        <v>225196.43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232</v>
      </c>
      <c r="F199" s="5">
        <f>ROUND(Source!BC183,O199)</f>
        <v>0</v>
      </c>
      <c r="G199" s="5" t="s">
        <v>80</v>
      </c>
      <c r="H199" s="5" t="s">
        <v>81</v>
      </c>
      <c r="I199" s="5"/>
      <c r="J199" s="5"/>
      <c r="K199" s="5">
        <v>232</v>
      </c>
      <c r="L199" s="5">
        <v>15</v>
      </c>
      <c r="M199" s="5">
        <v>3</v>
      </c>
      <c r="N199" s="5" t="s">
        <v>3</v>
      </c>
      <c r="O199" s="5">
        <v>2</v>
      </c>
      <c r="P199" s="5">
        <f>ROUND(Source!EU183,O199)</f>
        <v>0</v>
      </c>
      <c r="Q199" s="5"/>
      <c r="R199" s="5"/>
      <c r="S199" s="5"/>
      <c r="T199" s="5"/>
      <c r="U199" s="5"/>
      <c r="V199" s="5"/>
      <c r="W199" s="5">
        <v>0</v>
      </c>
      <c r="X199" s="5">
        <v>1</v>
      </c>
      <c r="Y199" s="5">
        <v>0</v>
      </c>
      <c r="Z199" s="5">
        <v>0</v>
      </c>
      <c r="AA199" s="5">
        <v>1</v>
      </c>
      <c r="AB199" s="5">
        <v>0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214</v>
      </c>
      <c r="F200" s="5">
        <f>ROUND(Source!AS183,O200)</f>
        <v>105289.59</v>
      </c>
      <c r="G200" s="5" t="s">
        <v>82</v>
      </c>
      <c r="H200" s="5" t="s">
        <v>83</v>
      </c>
      <c r="I200" s="5"/>
      <c r="J200" s="5"/>
      <c r="K200" s="5">
        <v>214</v>
      </c>
      <c r="L200" s="5">
        <v>16</v>
      </c>
      <c r="M200" s="5">
        <v>3</v>
      </c>
      <c r="N200" s="5" t="s">
        <v>3</v>
      </c>
      <c r="O200" s="5">
        <v>2</v>
      </c>
      <c r="P200" s="5">
        <f>ROUND(Source!EK183,O200)</f>
        <v>105289.59</v>
      </c>
      <c r="Q200" s="5"/>
      <c r="R200" s="5"/>
      <c r="S200" s="5"/>
      <c r="T200" s="5"/>
      <c r="U200" s="5"/>
      <c r="V200" s="5"/>
      <c r="W200" s="5">
        <v>105289.59</v>
      </c>
      <c r="X200" s="5">
        <v>1</v>
      </c>
      <c r="Y200" s="5">
        <v>105289.59</v>
      </c>
      <c r="Z200" s="5">
        <v>105289.59</v>
      </c>
      <c r="AA200" s="5">
        <v>1</v>
      </c>
      <c r="AB200" s="5">
        <v>1206296.3800000001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215</v>
      </c>
      <c r="F201" s="5">
        <f>ROUND(Source!AT183,O201)</f>
        <v>0</v>
      </c>
      <c r="G201" s="5" t="s">
        <v>84</v>
      </c>
      <c r="H201" s="5" t="s">
        <v>85</v>
      </c>
      <c r="I201" s="5"/>
      <c r="J201" s="5"/>
      <c r="K201" s="5">
        <v>215</v>
      </c>
      <c r="L201" s="5">
        <v>17</v>
      </c>
      <c r="M201" s="5">
        <v>3</v>
      </c>
      <c r="N201" s="5" t="s">
        <v>3</v>
      </c>
      <c r="O201" s="5">
        <v>2</v>
      </c>
      <c r="P201" s="5">
        <f>ROUND(Source!EL183,O201)</f>
        <v>0</v>
      </c>
      <c r="Q201" s="5"/>
      <c r="R201" s="5"/>
      <c r="S201" s="5"/>
      <c r="T201" s="5"/>
      <c r="U201" s="5"/>
      <c r="V201" s="5"/>
      <c r="W201" s="5">
        <v>0</v>
      </c>
      <c r="X201" s="5">
        <v>1</v>
      </c>
      <c r="Y201" s="5">
        <v>0</v>
      </c>
      <c r="Z201" s="5">
        <v>0</v>
      </c>
      <c r="AA201" s="5">
        <v>1</v>
      </c>
      <c r="AB201" s="5">
        <v>0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217</v>
      </c>
      <c r="F202" s="5">
        <f>ROUND(Source!AU183,O202)</f>
        <v>0</v>
      </c>
      <c r="G202" s="5" t="s">
        <v>86</v>
      </c>
      <c r="H202" s="5" t="s">
        <v>87</v>
      </c>
      <c r="I202" s="5"/>
      <c r="J202" s="5"/>
      <c r="K202" s="5">
        <v>217</v>
      </c>
      <c r="L202" s="5">
        <v>18</v>
      </c>
      <c r="M202" s="5">
        <v>3</v>
      </c>
      <c r="N202" s="5" t="s">
        <v>3</v>
      </c>
      <c r="O202" s="5">
        <v>2</v>
      </c>
      <c r="P202" s="5">
        <f>ROUND(Source!EM183,O202)</f>
        <v>0</v>
      </c>
      <c r="Q202" s="5"/>
      <c r="R202" s="5"/>
      <c r="S202" s="5"/>
      <c r="T202" s="5"/>
      <c r="U202" s="5"/>
      <c r="V202" s="5"/>
      <c r="W202" s="5">
        <v>0</v>
      </c>
      <c r="X202" s="5">
        <v>1</v>
      </c>
      <c r="Y202" s="5">
        <v>0</v>
      </c>
      <c r="Z202" s="5">
        <v>0</v>
      </c>
      <c r="AA202" s="5">
        <v>1</v>
      </c>
      <c r="AB202" s="5">
        <v>0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230</v>
      </c>
      <c r="F203" s="5">
        <f>ROUND(Source!BA183,O203)</f>
        <v>0</v>
      </c>
      <c r="G203" s="5" t="s">
        <v>88</v>
      </c>
      <c r="H203" s="5" t="s">
        <v>89</v>
      </c>
      <c r="I203" s="5"/>
      <c r="J203" s="5"/>
      <c r="K203" s="5">
        <v>230</v>
      </c>
      <c r="L203" s="5">
        <v>19</v>
      </c>
      <c r="M203" s="5">
        <v>3</v>
      </c>
      <c r="N203" s="5" t="s">
        <v>3</v>
      </c>
      <c r="O203" s="5">
        <v>2</v>
      </c>
      <c r="P203" s="5">
        <f>ROUND(Source!ES183,O203)</f>
        <v>0</v>
      </c>
      <c r="Q203" s="5"/>
      <c r="R203" s="5"/>
      <c r="S203" s="5"/>
      <c r="T203" s="5"/>
      <c r="U203" s="5"/>
      <c r="V203" s="5"/>
      <c r="W203" s="5">
        <v>0</v>
      </c>
      <c r="X203" s="5">
        <v>1</v>
      </c>
      <c r="Y203" s="5">
        <v>0</v>
      </c>
      <c r="Z203" s="5">
        <v>0</v>
      </c>
      <c r="AA203" s="5">
        <v>1</v>
      </c>
      <c r="AB203" s="5">
        <v>0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206</v>
      </c>
      <c r="F204" s="5">
        <f>ROUND(Source!T183,O204)</f>
        <v>0</v>
      </c>
      <c r="G204" s="5" t="s">
        <v>90</v>
      </c>
      <c r="H204" s="5" t="s">
        <v>91</v>
      </c>
      <c r="I204" s="5"/>
      <c r="J204" s="5"/>
      <c r="K204" s="5">
        <v>206</v>
      </c>
      <c r="L204" s="5">
        <v>20</v>
      </c>
      <c r="M204" s="5">
        <v>3</v>
      </c>
      <c r="N204" s="5" t="s">
        <v>3</v>
      </c>
      <c r="O204" s="5">
        <v>2</v>
      </c>
      <c r="P204" s="5">
        <f>ROUND(Source!DL183,O204)</f>
        <v>0</v>
      </c>
      <c r="Q204" s="5"/>
      <c r="R204" s="5"/>
      <c r="S204" s="5"/>
      <c r="T204" s="5"/>
      <c r="U204" s="5"/>
      <c r="V204" s="5"/>
      <c r="W204" s="5">
        <v>0</v>
      </c>
      <c r="X204" s="5">
        <v>1</v>
      </c>
      <c r="Y204" s="5">
        <v>0</v>
      </c>
      <c r="Z204" s="5">
        <v>0</v>
      </c>
      <c r="AA204" s="5">
        <v>1</v>
      </c>
      <c r="AB204" s="5">
        <v>0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207</v>
      </c>
      <c r="F205" s="5">
        <f>Source!U183</f>
        <v>717.04626</v>
      </c>
      <c r="G205" s="5" t="s">
        <v>92</v>
      </c>
      <c r="H205" s="5" t="s">
        <v>93</v>
      </c>
      <c r="I205" s="5"/>
      <c r="J205" s="5"/>
      <c r="K205" s="5">
        <v>207</v>
      </c>
      <c r="L205" s="5">
        <v>21</v>
      </c>
      <c r="M205" s="5">
        <v>3</v>
      </c>
      <c r="N205" s="5" t="s">
        <v>3</v>
      </c>
      <c r="O205" s="5">
        <v>-1</v>
      </c>
      <c r="P205" s="5">
        <f>Source!DM183</f>
        <v>717.04626</v>
      </c>
      <c r="Q205" s="5"/>
      <c r="R205" s="5"/>
      <c r="S205" s="5"/>
      <c r="T205" s="5"/>
      <c r="U205" s="5"/>
      <c r="V205" s="5"/>
      <c r="W205" s="5">
        <v>717.04626</v>
      </c>
      <c r="X205" s="5">
        <v>1</v>
      </c>
      <c r="Y205" s="5">
        <v>717.04626</v>
      </c>
      <c r="Z205" s="5">
        <v>717.04626</v>
      </c>
      <c r="AA205" s="5">
        <v>1</v>
      </c>
      <c r="AB205" s="5">
        <v>717.04626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208</v>
      </c>
      <c r="F206" s="5">
        <f>Source!V183</f>
        <v>19.107669799999996</v>
      </c>
      <c r="G206" s="5" t="s">
        <v>94</v>
      </c>
      <c r="H206" s="5" t="s">
        <v>95</v>
      </c>
      <c r="I206" s="5"/>
      <c r="J206" s="5"/>
      <c r="K206" s="5">
        <v>208</v>
      </c>
      <c r="L206" s="5">
        <v>22</v>
      </c>
      <c r="M206" s="5">
        <v>3</v>
      </c>
      <c r="N206" s="5" t="s">
        <v>3</v>
      </c>
      <c r="O206" s="5">
        <v>-1</v>
      </c>
      <c r="P206" s="5">
        <f>Source!DN183</f>
        <v>19.107669799999996</v>
      </c>
      <c r="Q206" s="5"/>
      <c r="R206" s="5"/>
      <c r="S206" s="5"/>
      <c r="T206" s="5"/>
      <c r="U206" s="5"/>
      <c r="V206" s="5"/>
      <c r="W206" s="5">
        <v>19.1076698</v>
      </c>
      <c r="X206" s="5">
        <v>1</v>
      </c>
      <c r="Y206" s="5">
        <v>19.1076698</v>
      </c>
      <c r="Z206" s="5">
        <v>19.1076698</v>
      </c>
      <c r="AA206" s="5">
        <v>1</v>
      </c>
      <c r="AB206" s="5">
        <v>19.1076698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209</v>
      </c>
      <c r="F207" s="5">
        <f>ROUND(Source!W183,O207)</f>
        <v>0</v>
      </c>
      <c r="G207" s="5" t="s">
        <v>96</v>
      </c>
      <c r="H207" s="5" t="s">
        <v>97</v>
      </c>
      <c r="I207" s="5"/>
      <c r="J207" s="5"/>
      <c r="K207" s="5">
        <v>209</v>
      </c>
      <c r="L207" s="5">
        <v>23</v>
      </c>
      <c r="M207" s="5">
        <v>3</v>
      </c>
      <c r="N207" s="5" t="s">
        <v>3</v>
      </c>
      <c r="O207" s="5">
        <v>2</v>
      </c>
      <c r="P207" s="5">
        <f>ROUND(Source!DO183,O207)</f>
        <v>0</v>
      </c>
      <c r="Q207" s="5"/>
      <c r="R207" s="5"/>
      <c r="S207" s="5"/>
      <c r="T207" s="5"/>
      <c r="U207" s="5"/>
      <c r="V207" s="5"/>
      <c r="W207" s="5">
        <v>0</v>
      </c>
      <c r="X207" s="5">
        <v>1</v>
      </c>
      <c r="Y207" s="5">
        <v>0</v>
      </c>
      <c r="Z207" s="5">
        <v>0</v>
      </c>
      <c r="AA207" s="5">
        <v>1</v>
      </c>
      <c r="AB207" s="5">
        <v>0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233</v>
      </c>
      <c r="F208" s="5">
        <f>ROUND(Source!BD183,O208)</f>
        <v>1333</v>
      </c>
      <c r="G208" s="5" t="s">
        <v>98</v>
      </c>
      <c r="H208" s="5" t="s">
        <v>99</v>
      </c>
      <c r="I208" s="5"/>
      <c r="J208" s="5"/>
      <c r="K208" s="5">
        <v>233</v>
      </c>
      <c r="L208" s="5">
        <v>24</v>
      </c>
      <c r="M208" s="5">
        <v>3</v>
      </c>
      <c r="N208" s="5" t="s">
        <v>3</v>
      </c>
      <c r="O208" s="5">
        <v>2</v>
      </c>
      <c r="P208" s="5">
        <f>ROUND(Source!EV183,O208)</f>
        <v>1333</v>
      </c>
      <c r="Q208" s="5"/>
      <c r="R208" s="5"/>
      <c r="S208" s="5"/>
      <c r="T208" s="5"/>
      <c r="U208" s="5"/>
      <c r="V208" s="5"/>
      <c r="W208" s="5">
        <v>1333</v>
      </c>
      <c r="X208" s="5">
        <v>1</v>
      </c>
      <c r="Y208" s="5">
        <v>1333</v>
      </c>
      <c r="Z208" s="5">
        <v>1333</v>
      </c>
      <c r="AA208" s="5">
        <v>1</v>
      </c>
      <c r="AB208" s="5">
        <v>17289.01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210</v>
      </c>
      <c r="F209" s="5">
        <f>ROUND(Source!X183,O209)</f>
        <v>6305.18</v>
      </c>
      <c r="G209" s="5" t="s">
        <v>100</v>
      </c>
      <c r="H209" s="5" t="s">
        <v>101</v>
      </c>
      <c r="I209" s="5"/>
      <c r="J209" s="5"/>
      <c r="K209" s="5">
        <v>210</v>
      </c>
      <c r="L209" s="5">
        <v>25</v>
      </c>
      <c r="M209" s="5">
        <v>3</v>
      </c>
      <c r="N209" s="5" t="s">
        <v>3</v>
      </c>
      <c r="O209" s="5">
        <v>2</v>
      </c>
      <c r="P209" s="5">
        <f>ROUND(Source!DP183,O209)</f>
        <v>6305.18</v>
      </c>
      <c r="Q209" s="5"/>
      <c r="R209" s="5"/>
      <c r="S209" s="5"/>
      <c r="T209" s="5"/>
      <c r="U209" s="5"/>
      <c r="V209" s="5"/>
      <c r="W209" s="5">
        <v>6305.18</v>
      </c>
      <c r="X209" s="5">
        <v>1</v>
      </c>
      <c r="Y209" s="5">
        <v>6305.18</v>
      </c>
      <c r="Z209" s="5">
        <v>6305.18</v>
      </c>
      <c r="AA209" s="5">
        <v>1</v>
      </c>
      <c r="AB209" s="5">
        <v>229950.14999999997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211</v>
      </c>
      <c r="F210" s="5">
        <f>ROUND(Source!Y183,O210)</f>
        <v>3283.49</v>
      </c>
      <c r="G210" s="5" t="s">
        <v>102</v>
      </c>
      <c r="H210" s="5" t="s">
        <v>103</v>
      </c>
      <c r="I210" s="5"/>
      <c r="J210" s="5"/>
      <c r="K210" s="5">
        <v>211</v>
      </c>
      <c r="L210" s="5">
        <v>26</v>
      </c>
      <c r="M210" s="5">
        <v>3</v>
      </c>
      <c r="N210" s="5" t="s">
        <v>3</v>
      </c>
      <c r="O210" s="5">
        <v>2</v>
      </c>
      <c r="P210" s="5">
        <f>ROUND(Source!DQ183,O210)</f>
        <v>3283.49</v>
      </c>
      <c r="Q210" s="5"/>
      <c r="R210" s="5"/>
      <c r="S210" s="5"/>
      <c r="T210" s="5"/>
      <c r="U210" s="5"/>
      <c r="V210" s="5"/>
      <c r="W210" s="5">
        <v>3283.49</v>
      </c>
      <c r="X210" s="5">
        <v>1</v>
      </c>
      <c r="Y210" s="5">
        <v>3283.49</v>
      </c>
      <c r="Z210" s="5">
        <v>3283.49</v>
      </c>
      <c r="AA210" s="5">
        <v>1</v>
      </c>
      <c r="AB210" s="5">
        <v>119748.63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213</v>
      </c>
      <c r="F211" s="5">
        <f>ROUND(Source!AR183,O211)</f>
        <v>105289.59</v>
      </c>
      <c r="G211" s="5" t="s">
        <v>104</v>
      </c>
      <c r="H211" s="5" t="s">
        <v>105</v>
      </c>
      <c r="I211" s="5"/>
      <c r="J211" s="5"/>
      <c r="K211" s="5">
        <v>224</v>
      </c>
      <c r="L211" s="5">
        <v>27</v>
      </c>
      <c r="M211" s="5">
        <v>3</v>
      </c>
      <c r="N211" s="5" t="s">
        <v>3</v>
      </c>
      <c r="O211" s="5">
        <v>2</v>
      </c>
      <c r="P211" s="5">
        <f>ROUND(Source!EJ183,O211)</f>
        <v>105289.59</v>
      </c>
      <c r="Q211" s="5"/>
      <c r="R211" s="5"/>
      <c r="S211" s="5"/>
      <c r="T211" s="5"/>
      <c r="U211" s="5"/>
      <c r="V211" s="5"/>
      <c r="W211" s="5">
        <v>105289.59000000001</v>
      </c>
      <c r="X211" s="5">
        <v>1</v>
      </c>
      <c r="Y211" s="5">
        <v>105289.59000000001</v>
      </c>
      <c r="Z211" s="5">
        <v>105289.59000000001</v>
      </c>
      <c r="AA211" s="5">
        <v>1</v>
      </c>
      <c r="AB211" s="5">
        <v>1206296.38</v>
      </c>
    </row>
    <row r="212" spans="1:28" ht="12.75">
      <c r="A212" s="5">
        <v>50</v>
      </c>
      <c r="B212" s="5">
        <v>1</v>
      </c>
      <c r="C212" s="5">
        <v>0</v>
      </c>
      <c r="D212" s="5">
        <v>2</v>
      </c>
      <c r="E212" s="5">
        <v>0</v>
      </c>
      <c r="F212" s="5">
        <f>ROUND(F211*0.2,O212)</f>
        <v>21058</v>
      </c>
      <c r="G212" s="5" t="s">
        <v>219</v>
      </c>
      <c r="H212" s="5" t="s">
        <v>220</v>
      </c>
      <c r="I212" s="5"/>
      <c r="J212" s="5"/>
      <c r="K212" s="5">
        <v>212</v>
      </c>
      <c r="L212" s="5">
        <v>28</v>
      </c>
      <c r="M212" s="5">
        <v>0</v>
      </c>
      <c r="N212" s="5" t="s">
        <v>3</v>
      </c>
      <c r="O212" s="5">
        <v>0</v>
      </c>
      <c r="P212" s="5">
        <f>ROUND(P211*0.2,O212)</f>
        <v>21058</v>
      </c>
      <c r="Q212" s="5"/>
      <c r="R212" s="5"/>
      <c r="S212" s="5"/>
      <c r="T212" s="5"/>
      <c r="U212" s="5"/>
      <c r="V212" s="5"/>
      <c r="W212" s="5">
        <v>21057.92</v>
      </c>
      <c r="X212" s="5">
        <v>1</v>
      </c>
      <c r="Y212" s="5">
        <v>21057.92</v>
      </c>
      <c r="Z212" s="5">
        <v>21057.92</v>
      </c>
      <c r="AA212" s="5">
        <v>1</v>
      </c>
      <c r="AB212" s="5">
        <v>241259.28</v>
      </c>
    </row>
    <row r="213" spans="1:28" ht="12.75">
      <c r="A213" s="5">
        <v>50</v>
      </c>
      <c r="B213" s="5">
        <v>1</v>
      </c>
      <c r="C213" s="5">
        <v>0</v>
      </c>
      <c r="D213" s="5">
        <v>2</v>
      </c>
      <c r="E213" s="5">
        <v>224</v>
      </c>
      <c r="F213" s="5">
        <f>ROUND(F211*1.2,O213)</f>
        <v>126348</v>
      </c>
      <c r="G213" s="5" t="s">
        <v>221</v>
      </c>
      <c r="H213" s="5" t="s">
        <v>222</v>
      </c>
      <c r="I213" s="5"/>
      <c r="J213" s="5"/>
      <c r="K213" s="5">
        <v>212</v>
      </c>
      <c r="L213" s="5">
        <v>29</v>
      </c>
      <c r="M213" s="5">
        <v>0</v>
      </c>
      <c r="N213" s="5" t="s">
        <v>3</v>
      </c>
      <c r="O213" s="5">
        <v>0</v>
      </c>
      <c r="P213" s="5">
        <f>ROUND(P211*1.2,O213)</f>
        <v>126348</v>
      </c>
      <c r="Q213" s="5"/>
      <c r="R213" s="5"/>
      <c r="S213" s="5"/>
      <c r="T213" s="5"/>
      <c r="U213" s="5"/>
      <c r="V213" s="5"/>
      <c r="W213" s="5">
        <v>126347.51</v>
      </c>
      <c r="X213" s="5">
        <v>1</v>
      </c>
      <c r="Y213" s="5">
        <v>126347.51</v>
      </c>
      <c r="Z213" s="5">
        <v>126347.51</v>
      </c>
      <c r="AA213" s="5">
        <v>1</v>
      </c>
      <c r="AB213" s="5">
        <v>1447555.66</v>
      </c>
    </row>
    <row r="215" spans="1:206" ht="12.75">
      <c r="A215" s="3">
        <v>51</v>
      </c>
      <c r="B215" s="3">
        <f>B12</f>
        <v>275</v>
      </c>
      <c r="C215" s="3">
        <f>A12</f>
        <v>1</v>
      </c>
      <c r="D215" s="3">
        <f>ROW(A12)</f>
        <v>12</v>
      </c>
      <c r="E215" s="3"/>
      <c r="F215" s="3">
        <f>IF(F12&lt;&gt;"",F12,"")</f>
      </c>
      <c r="G215" s="3" t="str">
        <f>IF(G12&lt;&gt;"",G12,"")</f>
        <v>Выполнение работ по текущему ремонту кровли строения 1 ИПУ РАН</v>
      </c>
      <c r="H215" s="3">
        <v>0</v>
      </c>
      <c r="I215" s="3"/>
      <c r="J215" s="3"/>
      <c r="K215" s="3"/>
      <c r="L215" s="3"/>
      <c r="M215" s="3"/>
      <c r="N215" s="3"/>
      <c r="O215" s="3">
        <f aca="true" t="shared" si="138" ref="O215:T215">ROUND(O183,2)</f>
        <v>94367.92</v>
      </c>
      <c r="P215" s="3">
        <f t="shared" si="138"/>
        <v>86138.55</v>
      </c>
      <c r="Q215" s="3">
        <f t="shared" si="138"/>
        <v>2054.53</v>
      </c>
      <c r="R215" s="3">
        <f t="shared" si="138"/>
        <v>233.6</v>
      </c>
      <c r="S215" s="3">
        <f t="shared" si="138"/>
        <v>6174.84</v>
      </c>
      <c r="T215" s="3">
        <f t="shared" si="138"/>
        <v>0</v>
      </c>
      <c r="U215" s="3">
        <f>U183</f>
        <v>717.04626</v>
      </c>
      <c r="V215" s="3">
        <f>V183</f>
        <v>19.107669799999996</v>
      </c>
      <c r="W215" s="3">
        <f>ROUND(W183,2)</f>
        <v>0</v>
      </c>
      <c r="X215" s="3">
        <f>ROUND(X183,2)</f>
        <v>6305.18</v>
      </c>
      <c r="Y215" s="3">
        <f>ROUND(Y183,2)</f>
        <v>3283.49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>
        <f aca="true" t="shared" si="139" ref="AO215:BD215">ROUND(AO183,2)</f>
        <v>0</v>
      </c>
      <c r="AP215" s="3">
        <f t="shared" si="139"/>
        <v>0</v>
      </c>
      <c r="AQ215" s="3">
        <f t="shared" si="139"/>
        <v>0</v>
      </c>
      <c r="AR215" s="3">
        <f t="shared" si="139"/>
        <v>105289.59</v>
      </c>
      <c r="AS215" s="3">
        <f t="shared" si="139"/>
        <v>105289.59</v>
      </c>
      <c r="AT215" s="3">
        <f t="shared" si="139"/>
        <v>0</v>
      </c>
      <c r="AU215" s="3">
        <f t="shared" si="139"/>
        <v>0</v>
      </c>
      <c r="AV215" s="3">
        <f t="shared" si="139"/>
        <v>86138.55</v>
      </c>
      <c r="AW215" s="3">
        <f t="shared" si="139"/>
        <v>86138.55</v>
      </c>
      <c r="AX215" s="3">
        <f t="shared" si="139"/>
        <v>0</v>
      </c>
      <c r="AY215" s="3">
        <f t="shared" si="139"/>
        <v>86138.55</v>
      </c>
      <c r="AZ215" s="3">
        <f t="shared" si="139"/>
        <v>0</v>
      </c>
      <c r="BA215" s="3">
        <f t="shared" si="139"/>
        <v>0</v>
      </c>
      <c r="BB215" s="3">
        <f t="shared" si="139"/>
        <v>0</v>
      </c>
      <c r="BC215" s="3">
        <f t="shared" si="139"/>
        <v>0</v>
      </c>
      <c r="BD215" s="3">
        <f t="shared" si="139"/>
        <v>1333</v>
      </c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4">
        <f aca="true" t="shared" si="140" ref="DG215:DL215">ROUND(DG183,2)</f>
        <v>94367.92</v>
      </c>
      <c r="DH215" s="4">
        <f t="shared" si="140"/>
        <v>86138.55</v>
      </c>
      <c r="DI215" s="4">
        <f t="shared" si="140"/>
        <v>2054.53</v>
      </c>
      <c r="DJ215" s="4">
        <f t="shared" si="140"/>
        <v>233.6</v>
      </c>
      <c r="DK215" s="4">
        <f t="shared" si="140"/>
        <v>6174.84</v>
      </c>
      <c r="DL215" s="4">
        <f t="shared" si="140"/>
        <v>0</v>
      </c>
      <c r="DM215" s="4">
        <f>DM183</f>
        <v>717.04626</v>
      </c>
      <c r="DN215" s="4">
        <f>DN183</f>
        <v>19.107669799999996</v>
      </c>
      <c r="DO215" s="4">
        <f>ROUND(DO183,2)</f>
        <v>0</v>
      </c>
      <c r="DP215" s="4">
        <f>ROUND(DP183,2)</f>
        <v>6305.18</v>
      </c>
      <c r="DQ215" s="4">
        <f>ROUND(DQ183,2)</f>
        <v>3283.49</v>
      </c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>
        <f aca="true" t="shared" si="141" ref="EG215:EV215">ROUND(EG183,2)</f>
        <v>0</v>
      </c>
      <c r="EH215" s="4">
        <f t="shared" si="141"/>
        <v>0</v>
      </c>
      <c r="EI215" s="4">
        <f t="shared" si="141"/>
        <v>0</v>
      </c>
      <c r="EJ215" s="4">
        <f t="shared" si="141"/>
        <v>105289.59</v>
      </c>
      <c r="EK215" s="4">
        <f t="shared" si="141"/>
        <v>105289.59</v>
      </c>
      <c r="EL215" s="4">
        <f t="shared" si="141"/>
        <v>0</v>
      </c>
      <c r="EM215" s="4">
        <f t="shared" si="141"/>
        <v>0</v>
      </c>
      <c r="EN215" s="4">
        <f t="shared" si="141"/>
        <v>86138.55</v>
      </c>
      <c r="EO215" s="4">
        <f t="shared" si="141"/>
        <v>86138.55</v>
      </c>
      <c r="EP215" s="4">
        <f t="shared" si="141"/>
        <v>0</v>
      </c>
      <c r="EQ215" s="4">
        <f t="shared" si="141"/>
        <v>86138.55</v>
      </c>
      <c r="ER215" s="4">
        <f t="shared" si="141"/>
        <v>0</v>
      </c>
      <c r="ES215" s="4">
        <f t="shared" si="141"/>
        <v>0</v>
      </c>
      <c r="ET215" s="4">
        <f t="shared" si="141"/>
        <v>0</v>
      </c>
      <c r="EU215" s="4">
        <f t="shared" si="141"/>
        <v>0</v>
      </c>
      <c r="EV215" s="4">
        <f t="shared" si="141"/>
        <v>1333</v>
      </c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>
        <v>0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201</v>
      </c>
      <c r="F217" s="5">
        <f>ROUND(Source!O215,O217)</f>
        <v>94367.92</v>
      </c>
      <c r="G217" s="5" t="s">
        <v>52</v>
      </c>
      <c r="H217" s="5" t="s">
        <v>53</v>
      </c>
      <c r="I217" s="5"/>
      <c r="J217" s="5"/>
      <c r="K217" s="5">
        <v>201</v>
      </c>
      <c r="L217" s="5">
        <v>1</v>
      </c>
      <c r="M217" s="5">
        <v>3</v>
      </c>
      <c r="N217" s="5" t="s">
        <v>3</v>
      </c>
      <c r="O217" s="5">
        <v>2</v>
      </c>
      <c r="P217" s="5">
        <f>ROUND(Source!DG215,O217)</f>
        <v>94367.92</v>
      </c>
      <c r="Q217" s="5"/>
      <c r="R217" s="5"/>
      <c r="S217" s="5"/>
      <c r="T217" s="5"/>
      <c r="U217" s="5"/>
      <c r="V217" s="5"/>
      <c r="W217" s="5">
        <v>95700.92</v>
      </c>
      <c r="X217" s="5">
        <v>1</v>
      </c>
      <c r="Y217" s="5">
        <v>95700.92</v>
      </c>
      <c r="Z217" s="5">
        <v>95700.92</v>
      </c>
      <c r="AA217" s="5">
        <v>1</v>
      </c>
      <c r="AB217" s="5">
        <v>856597.6000000001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202</v>
      </c>
      <c r="F218" s="5">
        <f>ROUND(Source!P215,O218)</f>
        <v>86138.55</v>
      </c>
      <c r="G218" s="5" t="s">
        <v>54</v>
      </c>
      <c r="H218" s="5" t="s">
        <v>55</v>
      </c>
      <c r="I218" s="5"/>
      <c r="J218" s="5"/>
      <c r="K218" s="5">
        <v>202</v>
      </c>
      <c r="L218" s="5">
        <v>2</v>
      </c>
      <c r="M218" s="5">
        <v>3</v>
      </c>
      <c r="N218" s="5" t="s">
        <v>3</v>
      </c>
      <c r="O218" s="5">
        <v>2</v>
      </c>
      <c r="P218" s="5">
        <f>ROUND(Source!DH215,O218)</f>
        <v>86138.55</v>
      </c>
      <c r="Q218" s="5"/>
      <c r="R218" s="5"/>
      <c r="S218" s="5"/>
      <c r="T218" s="5"/>
      <c r="U218" s="5"/>
      <c r="V218" s="5"/>
      <c r="W218" s="5">
        <v>86138.55</v>
      </c>
      <c r="X218" s="5">
        <v>1</v>
      </c>
      <c r="Y218" s="5">
        <v>86138.55</v>
      </c>
      <c r="Z218" s="5">
        <v>86138.55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222</v>
      </c>
      <c r="F219" s="5">
        <f>ROUND(Source!AO215,O219)</f>
        <v>0</v>
      </c>
      <c r="G219" s="5" t="s">
        <v>56</v>
      </c>
      <c r="H219" s="5" t="s">
        <v>57</v>
      </c>
      <c r="I219" s="5"/>
      <c r="J219" s="5"/>
      <c r="K219" s="5">
        <v>222</v>
      </c>
      <c r="L219" s="5">
        <v>3</v>
      </c>
      <c r="M219" s="5">
        <v>3</v>
      </c>
      <c r="N219" s="5" t="s">
        <v>3</v>
      </c>
      <c r="O219" s="5">
        <v>2</v>
      </c>
      <c r="P219" s="5">
        <f>ROUND(Source!EG215,O219)</f>
        <v>0</v>
      </c>
      <c r="Q219" s="5"/>
      <c r="R219" s="5"/>
      <c r="S219" s="5"/>
      <c r="T219" s="5"/>
      <c r="U219" s="5"/>
      <c r="V219" s="5"/>
      <c r="W219" s="5">
        <v>0</v>
      </c>
      <c r="X219" s="5">
        <v>1</v>
      </c>
      <c r="Y219" s="5">
        <v>0</v>
      </c>
      <c r="Z219" s="5">
        <v>0</v>
      </c>
      <c r="AA219" s="5">
        <v>1</v>
      </c>
      <c r="AB219" s="5">
        <v>0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225</v>
      </c>
      <c r="F220" s="5">
        <f>ROUND(Source!AV215,O220)</f>
        <v>86138.55</v>
      </c>
      <c r="G220" s="5" t="s">
        <v>58</v>
      </c>
      <c r="H220" s="5" t="s">
        <v>59</v>
      </c>
      <c r="I220" s="5"/>
      <c r="J220" s="5"/>
      <c r="K220" s="5">
        <v>225</v>
      </c>
      <c r="L220" s="5">
        <v>4</v>
      </c>
      <c r="M220" s="5">
        <v>3</v>
      </c>
      <c r="N220" s="5" t="s">
        <v>3</v>
      </c>
      <c r="O220" s="5">
        <v>2</v>
      </c>
      <c r="P220" s="5">
        <f>ROUND(Source!EN215,O220)</f>
        <v>86138.55</v>
      </c>
      <c r="Q220" s="5"/>
      <c r="R220" s="5"/>
      <c r="S220" s="5"/>
      <c r="T220" s="5"/>
      <c r="U220" s="5"/>
      <c r="V220" s="5"/>
      <c r="W220" s="5">
        <v>86138.55</v>
      </c>
      <c r="X220" s="5">
        <v>1</v>
      </c>
      <c r="Y220" s="5">
        <v>86138.55</v>
      </c>
      <c r="Z220" s="5">
        <v>86138.55</v>
      </c>
      <c r="AA220" s="5">
        <v>1</v>
      </c>
      <c r="AB220" s="5">
        <v>0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226</v>
      </c>
      <c r="F221" s="5">
        <f>ROUND(Source!AW215,O221)</f>
        <v>86138.55</v>
      </c>
      <c r="G221" s="5" t="s">
        <v>60</v>
      </c>
      <c r="H221" s="5" t="s">
        <v>61</v>
      </c>
      <c r="I221" s="5"/>
      <c r="J221" s="5"/>
      <c r="K221" s="5">
        <v>226</v>
      </c>
      <c r="L221" s="5">
        <v>5</v>
      </c>
      <c r="M221" s="5">
        <v>3</v>
      </c>
      <c r="N221" s="5" t="s">
        <v>3</v>
      </c>
      <c r="O221" s="5">
        <v>2</v>
      </c>
      <c r="P221" s="5">
        <f>ROUND(Source!EO215,O221)</f>
        <v>86138.55</v>
      </c>
      <c r="Q221" s="5"/>
      <c r="R221" s="5"/>
      <c r="S221" s="5"/>
      <c r="T221" s="5"/>
      <c r="U221" s="5"/>
      <c r="V221" s="5"/>
      <c r="W221" s="5">
        <v>86138.55</v>
      </c>
      <c r="X221" s="5">
        <v>1</v>
      </c>
      <c r="Y221" s="5">
        <v>86138.55</v>
      </c>
      <c r="Z221" s="5">
        <v>86138.55</v>
      </c>
      <c r="AA221" s="5">
        <v>1</v>
      </c>
      <c r="AB221" s="5">
        <v>587464.91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227</v>
      </c>
      <c r="F222" s="5">
        <f>ROUND(Source!AX215,O222)</f>
        <v>0</v>
      </c>
      <c r="G222" s="5" t="s">
        <v>62</v>
      </c>
      <c r="H222" s="5" t="s">
        <v>63</v>
      </c>
      <c r="I222" s="5"/>
      <c r="J222" s="5"/>
      <c r="K222" s="5">
        <v>227</v>
      </c>
      <c r="L222" s="5">
        <v>6</v>
      </c>
      <c r="M222" s="5">
        <v>3</v>
      </c>
      <c r="N222" s="5" t="s">
        <v>3</v>
      </c>
      <c r="O222" s="5">
        <v>2</v>
      </c>
      <c r="P222" s="5">
        <f>ROUND(Source!EP215,O222)</f>
        <v>0</v>
      </c>
      <c r="Q222" s="5"/>
      <c r="R222" s="5"/>
      <c r="S222" s="5"/>
      <c r="T222" s="5"/>
      <c r="U222" s="5"/>
      <c r="V222" s="5"/>
      <c r="W222" s="5">
        <v>0</v>
      </c>
      <c r="X222" s="5">
        <v>1</v>
      </c>
      <c r="Y222" s="5">
        <v>0</v>
      </c>
      <c r="Z222" s="5">
        <v>0</v>
      </c>
      <c r="AA222" s="5">
        <v>1</v>
      </c>
      <c r="AB222" s="5">
        <v>0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228</v>
      </c>
      <c r="F223" s="5">
        <f>ROUND(Source!AY215,O223)</f>
        <v>86138.55</v>
      </c>
      <c r="G223" s="5" t="s">
        <v>64</v>
      </c>
      <c r="H223" s="5" t="s">
        <v>65</v>
      </c>
      <c r="I223" s="5"/>
      <c r="J223" s="5"/>
      <c r="K223" s="5">
        <v>228</v>
      </c>
      <c r="L223" s="5">
        <v>7</v>
      </c>
      <c r="M223" s="5">
        <v>3</v>
      </c>
      <c r="N223" s="5" t="s">
        <v>3</v>
      </c>
      <c r="O223" s="5">
        <v>2</v>
      </c>
      <c r="P223" s="5">
        <f>ROUND(Source!EQ215,O223)</f>
        <v>86138.55</v>
      </c>
      <c r="Q223" s="5"/>
      <c r="R223" s="5"/>
      <c r="S223" s="5"/>
      <c r="T223" s="5"/>
      <c r="U223" s="5"/>
      <c r="V223" s="5"/>
      <c r="W223" s="5">
        <v>86138.55</v>
      </c>
      <c r="X223" s="5">
        <v>1</v>
      </c>
      <c r="Y223" s="5">
        <v>86138.55</v>
      </c>
      <c r="Z223" s="5">
        <v>86138.55</v>
      </c>
      <c r="AA223" s="5">
        <v>1</v>
      </c>
      <c r="AB223" s="5">
        <v>587464.91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216</v>
      </c>
      <c r="F224" s="5">
        <f>ROUND(Source!AP215,O224)</f>
        <v>0</v>
      </c>
      <c r="G224" s="5" t="s">
        <v>66</v>
      </c>
      <c r="H224" s="5" t="s">
        <v>67</v>
      </c>
      <c r="I224" s="5"/>
      <c r="J224" s="5"/>
      <c r="K224" s="5">
        <v>216</v>
      </c>
      <c r="L224" s="5">
        <v>8</v>
      </c>
      <c r="M224" s="5">
        <v>3</v>
      </c>
      <c r="N224" s="5" t="s">
        <v>3</v>
      </c>
      <c r="O224" s="5">
        <v>2</v>
      </c>
      <c r="P224" s="5">
        <f>ROUND(Source!EH215,O224)</f>
        <v>0</v>
      </c>
      <c r="Q224" s="5"/>
      <c r="R224" s="5"/>
      <c r="S224" s="5"/>
      <c r="T224" s="5"/>
      <c r="U224" s="5"/>
      <c r="V224" s="5"/>
      <c r="W224" s="5">
        <v>0</v>
      </c>
      <c r="X224" s="5">
        <v>1</v>
      </c>
      <c r="Y224" s="5">
        <v>0</v>
      </c>
      <c r="Z224" s="5">
        <v>0</v>
      </c>
      <c r="AA224" s="5">
        <v>1</v>
      </c>
      <c r="AB224" s="5">
        <v>0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223</v>
      </c>
      <c r="F225" s="5">
        <f>ROUND(Source!AQ215,O225)</f>
        <v>0</v>
      </c>
      <c r="G225" s="5" t="s">
        <v>68</v>
      </c>
      <c r="H225" s="5" t="s">
        <v>69</v>
      </c>
      <c r="I225" s="5"/>
      <c r="J225" s="5"/>
      <c r="K225" s="5">
        <v>223</v>
      </c>
      <c r="L225" s="5">
        <v>9</v>
      </c>
      <c r="M225" s="5">
        <v>3</v>
      </c>
      <c r="N225" s="5" t="s">
        <v>3</v>
      </c>
      <c r="O225" s="5">
        <v>2</v>
      </c>
      <c r="P225" s="5">
        <f>ROUND(Source!EI215,O225)</f>
        <v>0</v>
      </c>
      <c r="Q225" s="5"/>
      <c r="R225" s="5"/>
      <c r="S225" s="5"/>
      <c r="T225" s="5"/>
      <c r="U225" s="5"/>
      <c r="V225" s="5"/>
      <c r="W225" s="5">
        <v>0</v>
      </c>
      <c r="X225" s="5">
        <v>1</v>
      </c>
      <c r="Y225" s="5">
        <v>0</v>
      </c>
      <c r="Z225" s="5">
        <v>0</v>
      </c>
      <c r="AA225" s="5">
        <v>1</v>
      </c>
      <c r="AB225" s="5">
        <v>0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229</v>
      </c>
      <c r="F226" s="5">
        <f>ROUND(Source!AZ215,O226)</f>
        <v>0</v>
      </c>
      <c r="G226" s="5" t="s">
        <v>70</v>
      </c>
      <c r="H226" s="5" t="s">
        <v>71</v>
      </c>
      <c r="I226" s="5"/>
      <c r="J226" s="5"/>
      <c r="K226" s="5">
        <v>229</v>
      </c>
      <c r="L226" s="5">
        <v>10</v>
      </c>
      <c r="M226" s="5">
        <v>3</v>
      </c>
      <c r="N226" s="5" t="s">
        <v>3</v>
      </c>
      <c r="O226" s="5">
        <v>2</v>
      </c>
      <c r="P226" s="5">
        <f>ROUND(Source!ER215,O226)</f>
        <v>0</v>
      </c>
      <c r="Q226" s="5"/>
      <c r="R226" s="5"/>
      <c r="S226" s="5"/>
      <c r="T226" s="5"/>
      <c r="U226" s="5"/>
      <c r="V226" s="5"/>
      <c r="W226" s="5">
        <v>0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203</v>
      </c>
      <c r="F227" s="5">
        <f>ROUND(Source!Q215,O227)</f>
        <v>2054.53</v>
      </c>
      <c r="G227" s="5" t="s">
        <v>72</v>
      </c>
      <c r="H227" s="5" t="s">
        <v>73</v>
      </c>
      <c r="I227" s="5"/>
      <c r="J227" s="5"/>
      <c r="K227" s="5">
        <v>203</v>
      </c>
      <c r="L227" s="5">
        <v>11</v>
      </c>
      <c r="M227" s="5">
        <v>3</v>
      </c>
      <c r="N227" s="5" t="s">
        <v>3</v>
      </c>
      <c r="O227" s="5">
        <v>2</v>
      </c>
      <c r="P227" s="5">
        <f>ROUND(Source!DI215,O227)</f>
        <v>2054.53</v>
      </c>
      <c r="Q227" s="5"/>
      <c r="R227" s="5"/>
      <c r="S227" s="5"/>
      <c r="T227" s="5"/>
      <c r="U227" s="5"/>
      <c r="V227" s="5"/>
      <c r="W227" s="5">
        <v>2054.5299999999997</v>
      </c>
      <c r="X227" s="5">
        <v>1</v>
      </c>
      <c r="Y227" s="5">
        <v>2054.5299999999997</v>
      </c>
      <c r="Z227" s="5">
        <v>2054.5299999999997</v>
      </c>
      <c r="AA227" s="5">
        <v>1</v>
      </c>
      <c r="AB227" s="5">
        <v>26647.25</v>
      </c>
    </row>
    <row r="228" spans="1:28" ht="12.75">
      <c r="A228" s="5">
        <v>50</v>
      </c>
      <c r="B228" s="5">
        <v>0</v>
      </c>
      <c r="C228" s="5">
        <v>0</v>
      </c>
      <c r="D228" s="5">
        <v>1</v>
      </c>
      <c r="E228" s="5">
        <v>231</v>
      </c>
      <c r="F228" s="5">
        <f>ROUND(Source!BB215,O228)</f>
        <v>0</v>
      </c>
      <c r="G228" s="5" t="s">
        <v>74</v>
      </c>
      <c r="H228" s="5" t="s">
        <v>75</v>
      </c>
      <c r="I228" s="5"/>
      <c r="J228" s="5"/>
      <c r="K228" s="5">
        <v>231</v>
      </c>
      <c r="L228" s="5">
        <v>12</v>
      </c>
      <c r="M228" s="5">
        <v>3</v>
      </c>
      <c r="N228" s="5" t="s">
        <v>3</v>
      </c>
      <c r="O228" s="5">
        <v>2</v>
      </c>
      <c r="P228" s="5">
        <f>ROUND(Source!ET215,O228)</f>
        <v>0</v>
      </c>
      <c r="Q228" s="5"/>
      <c r="R228" s="5"/>
      <c r="S228" s="5"/>
      <c r="T228" s="5"/>
      <c r="U228" s="5"/>
      <c r="V228" s="5"/>
      <c r="W228" s="5">
        <v>0</v>
      </c>
      <c r="X228" s="5">
        <v>1</v>
      </c>
      <c r="Y228" s="5">
        <v>0</v>
      </c>
      <c r="Z228" s="5">
        <v>0</v>
      </c>
      <c r="AA228" s="5">
        <v>1</v>
      </c>
      <c r="AB228" s="5">
        <v>0</v>
      </c>
    </row>
    <row r="229" spans="1:28" ht="12.75">
      <c r="A229" s="5">
        <v>50</v>
      </c>
      <c r="B229" s="5">
        <v>0</v>
      </c>
      <c r="C229" s="5">
        <v>0</v>
      </c>
      <c r="D229" s="5">
        <v>1</v>
      </c>
      <c r="E229" s="5">
        <v>204</v>
      </c>
      <c r="F229" s="5">
        <f>ROUND(Source!R215,O229)</f>
        <v>233.6</v>
      </c>
      <c r="G229" s="5" t="s">
        <v>76</v>
      </c>
      <c r="H229" s="5" t="s">
        <v>77</v>
      </c>
      <c r="I229" s="5"/>
      <c r="J229" s="5"/>
      <c r="K229" s="5">
        <v>204</v>
      </c>
      <c r="L229" s="5">
        <v>13</v>
      </c>
      <c r="M229" s="5">
        <v>3</v>
      </c>
      <c r="N229" s="5" t="s">
        <v>3</v>
      </c>
      <c r="O229" s="5">
        <v>2</v>
      </c>
      <c r="P229" s="5">
        <f>ROUND(Source!DJ215,O229)</f>
        <v>233.6</v>
      </c>
      <c r="Q229" s="5"/>
      <c r="R229" s="5"/>
      <c r="S229" s="5"/>
      <c r="T229" s="5"/>
      <c r="U229" s="5"/>
      <c r="V229" s="5"/>
      <c r="W229" s="5">
        <v>233.60000000000002</v>
      </c>
      <c r="X229" s="5">
        <v>1</v>
      </c>
      <c r="Y229" s="5">
        <v>233.60000000000002</v>
      </c>
      <c r="Z229" s="5">
        <v>233.60000000000002</v>
      </c>
      <c r="AA229" s="5">
        <v>1</v>
      </c>
      <c r="AB229" s="5">
        <v>8519.390000000001</v>
      </c>
    </row>
    <row r="230" spans="1:28" ht="12.75">
      <c r="A230" s="5">
        <v>50</v>
      </c>
      <c r="B230" s="5">
        <v>0</v>
      </c>
      <c r="C230" s="5">
        <v>0</v>
      </c>
      <c r="D230" s="5">
        <v>1</v>
      </c>
      <c r="E230" s="5">
        <v>205</v>
      </c>
      <c r="F230" s="5">
        <f>ROUND(Source!S215,O230)</f>
        <v>6174.84</v>
      </c>
      <c r="G230" s="5" t="s">
        <v>78</v>
      </c>
      <c r="H230" s="5" t="s">
        <v>79</v>
      </c>
      <c r="I230" s="5"/>
      <c r="J230" s="5"/>
      <c r="K230" s="5">
        <v>205</v>
      </c>
      <c r="L230" s="5">
        <v>14</v>
      </c>
      <c r="M230" s="5">
        <v>3</v>
      </c>
      <c r="N230" s="5" t="s">
        <v>3</v>
      </c>
      <c r="O230" s="5">
        <v>2</v>
      </c>
      <c r="P230" s="5">
        <f>ROUND(Source!DK215,O230)</f>
        <v>6174.84</v>
      </c>
      <c r="Q230" s="5"/>
      <c r="R230" s="5"/>
      <c r="S230" s="5"/>
      <c r="T230" s="5"/>
      <c r="U230" s="5"/>
      <c r="V230" s="5"/>
      <c r="W230" s="5">
        <v>6174.839999999999</v>
      </c>
      <c r="X230" s="5">
        <v>1</v>
      </c>
      <c r="Y230" s="5">
        <v>6174.839999999999</v>
      </c>
      <c r="Z230" s="5">
        <v>6174.839999999999</v>
      </c>
      <c r="AA230" s="5">
        <v>1</v>
      </c>
      <c r="AB230" s="5">
        <v>225196.43</v>
      </c>
    </row>
    <row r="231" spans="1:28" ht="12.75">
      <c r="A231" s="5">
        <v>50</v>
      </c>
      <c r="B231" s="5">
        <v>0</v>
      </c>
      <c r="C231" s="5">
        <v>0</v>
      </c>
      <c r="D231" s="5">
        <v>1</v>
      </c>
      <c r="E231" s="5">
        <v>232</v>
      </c>
      <c r="F231" s="5">
        <f>ROUND(Source!BC215,O231)</f>
        <v>0</v>
      </c>
      <c r="G231" s="5" t="s">
        <v>80</v>
      </c>
      <c r="H231" s="5" t="s">
        <v>81</v>
      </c>
      <c r="I231" s="5"/>
      <c r="J231" s="5"/>
      <c r="K231" s="5">
        <v>232</v>
      </c>
      <c r="L231" s="5">
        <v>15</v>
      </c>
      <c r="M231" s="5">
        <v>3</v>
      </c>
      <c r="N231" s="5" t="s">
        <v>3</v>
      </c>
      <c r="O231" s="5">
        <v>2</v>
      </c>
      <c r="P231" s="5">
        <f>ROUND(Source!EU215,O231)</f>
        <v>0</v>
      </c>
      <c r="Q231" s="5"/>
      <c r="R231" s="5"/>
      <c r="S231" s="5"/>
      <c r="T231" s="5"/>
      <c r="U231" s="5"/>
      <c r="V231" s="5"/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</row>
    <row r="232" spans="1:28" ht="12.75">
      <c r="A232" s="5">
        <v>50</v>
      </c>
      <c r="B232" s="5">
        <v>0</v>
      </c>
      <c r="C232" s="5">
        <v>0</v>
      </c>
      <c r="D232" s="5">
        <v>1</v>
      </c>
      <c r="E232" s="5">
        <v>214</v>
      </c>
      <c r="F232" s="5">
        <f>ROUND(Source!AS215,O232)</f>
        <v>105289.59</v>
      </c>
      <c r="G232" s="5" t="s">
        <v>82</v>
      </c>
      <c r="H232" s="5" t="s">
        <v>83</v>
      </c>
      <c r="I232" s="5"/>
      <c r="J232" s="5"/>
      <c r="K232" s="5">
        <v>214</v>
      </c>
      <c r="L232" s="5">
        <v>16</v>
      </c>
      <c r="M232" s="5">
        <v>3</v>
      </c>
      <c r="N232" s="5" t="s">
        <v>3</v>
      </c>
      <c r="O232" s="5">
        <v>2</v>
      </c>
      <c r="P232" s="5">
        <f>ROUND(Source!EK215,O232)</f>
        <v>105289.59</v>
      </c>
      <c r="Q232" s="5"/>
      <c r="R232" s="5"/>
      <c r="S232" s="5"/>
      <c r="T232" s="5"/>
      <c r="U232" s="5"/>
      <c r="V232" s="5"/>
      <c r="W232" s="5">
        <v>105289.59</v>
      </c>
      <c r="X232" s="5">
        <v>1</v>
      </c>
      <c r="Y232" s="5">
        <v>105289.59</v>
      </c>
      <c r="Z232" s="5">
        <v>105289.59</v>
      </c>
      <c r="AA232" s="5">
        <v>1</v>
      </c>
      <c r="AB232" s="5">
        <v>1206296.3800000001</v>
      </c>
    </row>
    <row r="233" spans="1:28" ht="12.75">
      <c r="A233" s="5">
        <v>50</v>
      </c>
      <c r="B233" s="5">
        <v>0</v>
      </c>
      <c r="C233" s="5">
        <v>0</v>
      </c>
      <c r="D233" s="5">
        <v>1</v>
      </c>
      <c r="E233" s="5">
        <v>215</v>
      </c>
      <c r="F233" s="5">
        <f>ROUND(Source!AT215,O233)</f>
        <v>0</v>
      </c>
      <c r="G233" s="5" t="s">
        <v>84</v>
      </c>
      <c r="H233" s="5" t="s">
        <v>85</v>
      </c>
      <c r="I233" s="5"/>
      <c r="J233" s="5"/>
      <c r="K233" s="5">
        <v>215</v>
      </c>
      <c r="L233" s="5">
        <v>17</v>
      </c>
      <c r="M233" s="5">
        <v>3</v>
      </c>
      <c r="N233" s="5" t="s">
        <v>3</v>
      </c>
      <c r="O233" s="5">
        <v>2</v>
      </c>
      <c r="P233" s="5">
        <f>ROUND(Source!EL215,O233)</f>
        <v>0</v>
      </c>
      <c r="Q233" s="5"/>
      <c r="R233" s="5"/>
      <c r="S233" s="5"/>
      <c r="T233" s="5"/>
      <c r="U233" s="5"/>
      <c r="V233" s="5"/>
      <c r="W233" s="5">
        <v>0</v>
      </c>
      <c r="X233" s="5">
        <v>1</v>
      </c>
      <c r="Y233" s="5">
        <v>0</v>
      </c>
      <c r="Z233" s="5">
        <v>0</v>
      </c>
      <c r="AA233" s="5">
        <v>1</v>
      </c>
      <c r="AB233" s="5">
        <v>0</v>
      </c>
    </row>
    <row r="234" spans="1:28" ht="12.75">
      <c r="A234" s="5">
        <v>50</v>
      </c>
      <c r="B234" s="5">
        <v>0</v>
      </c>
      <c r="C234" s="5">
        <v>0</v>
      </c>
      <c r="D234" s="5">
        <v>1</v>
      </c>
      <c r="E234" s="5">
        <v>217</v>
      </c>
      <c r="F234" s="5">
        <f>ROUND(Source!AU215,O234)</f>
        <v>0</v>
      </c>
      <c r="G234" s="5" t="s">
        <v>86</v>
      </c>
      <c r="H234" s="5" t="s">
        <v>87</v>
      </c>
      <c r="I234" s="5"/>
      <c r="J234" s="5"/>
      <c r="K234" s="5">
        <v>217</v>
      </c>
      <c r="L234" s="5">
        <v>18</v>
      </c>
      <c r="M234" s="5">
        <v>3</v>
      </c>
      <c r="N234" s="5" t="s">
        <v>3</v>
      </c>
      <c r="O234" s="5">
        <v>2</v>
      </c>
      <c r="P234" s="5">
        <f>ROUND(Source!EM215,O234)</f>
        <v>0</v>
      </c>
      <c r="Q234" s="5"/>
      <c r="R234" s="5"/>
      <c r="S234" s="5"/>
      <c r="T234" s="5"/>
      <c r="U234" s="5"/>
      <c r="V234" s="5"/>
      <c r="W234" s="5">
        <v>0</v>
      </c>
      <c r="X234" s="5">
        <v>1</v>
      </c>
      <c r="Y234" s="5">
        <v>0</v>
      </c>
      <c r="Z234" s="5">
        <v>0</v>
      </c>
      <c r="AA234" s="5">
        <v>1</v>
      </c>
      <c r="AB234" s="5">
        <v>0</v>
      </c>
    </row>
    <row r="235" spans="1:28" ht="12.75">
      <c r="A235" s="5">
        <v>50</v>
      </c>
      <c r="B235" s="5">
        <v>0</v>
      </c>
      <c r="C235" s="5">
        <v>0</v>
      </c>
      <c r="D235" s="5">
        <v>1</v>
      </c>
      <c r="E235" s="5">
        <v>230</v>
      </c>
      <c r="F235" s="5">
        <f>ROUND(Source!BA215,O235)</f>
        <v>0</v>
      </c>
      <c r="G235" s="5" t="s">
        <v>88</v>
      </c>
      <c r="H235" s="5" t="s">
        <v>89</v>
      </c>
      <c r="I235" s="5"/>
      <c r="J235" s="5"/>
      <c r="K235" s="5">
        <v>230</v>
      </c>
      <c r="L235" s="5">
        <v>19</v>
      </c>
      <c r="M235" s="5">
        <v>3</v>
      </c>
      <c r="N235" s="5" t="s">
        <v>3</v>
      </c>
      <c r="O235" s="5">
        <v>2</v>
      </c>
      <c r="P235" s="5">
        <f>ROUND(Source!ES215,O235)</f>
        <v>0</v>
      </c>
      <c r="Q235" s="5"/>
      <c r="R235" s="5"/>
      <c r="S235" s="5"/>
      <c r="T235" s="5"/>
      <c r="U235" s="5"/>
      <c r="V235" s="5"/>
      <c r="W235" s="5">
        <v>0</v>
      </c>
      <c r="X235" s="5">
        <v>1</v>
      </c>
      <c r="Y235" s="5">
        <v>0</v>
      </c>
      <c r="Z235" s="5">
        <v>0</v>
      </c>
      <c r="AA235" s="5">
        <v>1</v>
      </c>
      <c r="AB235" s="5">
        <v>0</v>
      </c>
    </row>
    <row r="236" spans="1:28" ht="12.75">
      <c r="A236" s="5">
        <v>50</v>
      </c>
      <c r="B236" s="5">
        <v>0</v>
      </c>
      <c r="C236" s="5">
        <v>0</v>
      </c>
      <c r="D236" s="5">
        <v>1</v>
      </c>
      <c r="E236" s="5">
        <v>206</v>
      </c>
      <c r="F236" s="5">
        <f>ROUND(Source!T215,O236)</f>
        <v>0</v>
      </c>
      <c r="G236" s="5" t="s">
        <v>90</v>
      </c>
      <c r="H236" s="5" t="s">
        <v>91</v>
      </c>
      <c r="I236" s="5"/>
      <c r="J236" s="5"/>
      <c r="K236" s="5">
        <v>206</v>
      </c>
      <c r="L236" s="5">
        <v>20</v>
      </c>
      <c r="M236" s="5">
        <v>3</v>
      </c>
      <c r="N236" s="5" t="s">
        <v>3</v>
      </c>
      <c r="O236" s="5">
        <v>2</v>
      </c>
      <c r="P236" s="5">
        <f>ROUND(Source!DL215,O236)</f>
        <v>0</v>
      </c>
      <c r="Q236" s="5"/>
      <c r="R236" s="5"/>
      <c r="S236" s="5"/>
      <c r="T236" s="5"/>
      <c r="U236" s="5"/>
      <c r="V236" s="5"/>
      <c r="W236" s="5">
        <v>0</v>
      </c>
      <c r="X236" s="5">
        <v>1</v>
      </c>
      <c r="Y236" s="5">
        <v>0</v>
      </c>
      <c r="Z236" s="5">
        <v>0</v>
      </c>
      <c r="AA236" s="5">
        <v>1</v>
      </c>
      <c r="AB236" s="5">
        <v>0</v>
      </c>
    </row>
    <row r="237" spans="1:28" ht="12.75">
      <c r="A237" s="5">
        <v>50</v>
      </c>
      <c r="B237" s="5">
        <v>0</v>
      </c>
      <c r="C237" s="5">
        <v>0</v>
      </c>
      <c r="D237" s="5">
        <v>1</v>
      </c>
      <c r="E237" s="5">
        <v>207</v>
      </c>
      <c r="F237" s="5">
        <f>Source!U215</f>
        <v>717.04626</v>
      </c>
      <c r="G237" s="5" t="s">
        <v>92</v>
      </c>
      <c r="H237" s="5" t="s">
        <v>93</v>
      </c>
      <c r="I237" s="5"/>
      <c r="J237" s="5"/>
      <c r="K237" s="5">
        <v>207</v>
      </c>
      <c r="L237" s="5">
        <v>21</v>
      </c>
      <c r="M237" s="5">
        <v>3</v>
      </c>
      <c r="N237" s="5" t="s">
        <v>3</v>
      </c>
      <c r="O237" s="5">
        <v>-1</v>
      </c>
      <c r="P237" s="5">
        <f>Source!DM215</f>
        <v>717.04626</v>
      </c>
      <c r="Q237" s="5"/>
      <c r="R237" s="5"/>
      <c r="S237" s="5"/>
      <c r="T237" s="5"/>
      <c r="U237" s="5"/>
      <c r="V237" s="5"/>
      <c r="W237" s="5">
        <v>717.04626</v>
      </c>
      <c r="X237" s="5">
        <v>1</v>
      </c>
      <c r="Y237" s="5">
        <v>717.04626</v>
      </c>
      <c r="Z237" s="5">
        <v>717.04626</v>
      </c>
      <c r="AA237" s="5">
        <v>1</v>
      </c>
      <c r="AB237" s="5">
        <v>717.04626</v>
      </c>
    </row>
    <row r="238" spans="1:28" ht="12.75">
      <c r="A238" s="5">
        <v>50</v>
      </c>
      <c r="B238" s="5">
        <v>0</v>
      </c>
      <c r="C238" s="5">
        <v>0</v>
      </c>
      <c r="D238" s="5">
        <v>1</v>
      </c>
      <c r="E238" s="5">
        <v>208</v>
      </c>
      <c r="F238" s="5">
        <f>Source!V215</f>
        <v>19.107669799999996</v>
      </c>
      <c r="G238" s="5" t="s">
        <v>94</v>
      </c>
      <c r="H238" s="5" t="s">
        <v>95</v>
      </c>
      <c r="I238" s="5"/>
      <c r="J238" s="5"/>
      <c r="K238" s="5">
        <v>208</v>
      </c>
      <c r="L238" s="5">
        <v>22</v>
      </c>
      <c r="M238" s="5">
        <v>3</v>
      </c>
      <c r="N238" s="5" t="s">
        <v>3</v>
      </c>
      <c r="O238" s="5">
        <v>-1</v>
      </c>
      <c r="P238" s="5">
        <f>Source!DN215</f>
        <v>19.107669799999996</v>
      </c>
      <c r="Q238" s="5"/>
      <c r="R238" s="5"/>
      <c r="S238" s="5"/>
      <c r="T238" s="5"/>
      <c r="U238" s="5"/>
      <c r="V238" s="5"/>
      <c r="W238" s="5">
        <v>19.1076698</v>
      </c>
      <c r="X238" s="5">
        <v>1</v>
      </c>
      <c r="Y238" s="5">
        <v>19.1076698</v>
      </c>
      <c r="Z238" s="5">
        <v>19.1076698</v>
      </c>
      <c r="AA238" s="5">
        <v>1</v>
      </c>
      <c r="AB238" s="5">
        <v>19.1076698</v>
      </c>
    </row>
    <row r="239" spans="1:28" ht="12.75">
      <c r="A239" s="5">
        <v>50</v>
      </c>
      <c r="B239" s="5">
        <v>0</v>
      </c>
      <c r="C239" s="5">
        <v>0</v>
      </c>
      <c r="D239" s="5">
        <v>1</v>
      </c>
      <c r="E239" s="5">
        <v>209</v>
      </c>
      <c r="F239" s="5">
        <f>ROUND(Source!W215,O239)</f>
        <v>0</v>
      </c>
      <c r="G239" s="5" t="s">
        <v>96</v>
      </c>
      <c r="H239" s="5" t="s">
        <v>97</v>
      </c>
      <c r="I239" s="5"/>
      <c r="J239" s="5"/>
      <c r="K239" s="5">
        <v>209</v>
      </c>
      <c r="L239" s="5">
        <v>23</v>
      </c>
      <c r="M239" s="5">
        <v>3</v>
      </c>
      <c r="N239" s="5" t="s">
        <v>3</v>
      </c>
      <c r="O239" s="5">
        <v>2</v>
      </c>
      <c r="P239" s="5">
        <f>ROUND(Source!DO215,O239)</f>
        <v>0</v>
      </c>
      <c r="Q239" s="5"/>
      <c r="R239" s="5"/>
      <c r="S239" s="5"/>
      <c r="T239" s="5"/>
      <c r="U239" s="5"/>
      <c r="V239" s="5"/>
      <c r="W239" s="5">
        <v>0</v>
      </c>
      <c r="X239" s="5">
        <v>1</v>
      </c>
      <c r="Y239" s="5">
        <v>0</v>
      </c>
      <c r="Z239" s="5">
        <v>0</v>
      </c>
      <c r="AA239" s="5">
        <v>1</v>
      </c>
      <c r="AB239" s="5">
        <v>0</v>
      </c>
    </row>
    <row r="240" spans="1:28" ht="12.75">
      <c r="A240" s="5">
        <v>50</v>
      </c>
      <c r="B240" s="5">
        <v>0</v>
      </c>
      <c r="C240" s="5">
        <v>0</v>
      </c>
      <c r="D240" s="5">
        <v>1</v>
      </c>
      <c r="E240" s="5">
        <v>233</v>
      </c>
      <c r="F240" s="5">
        <f>ROUND(Source!BD215,O240)</f>
        <v>1333</v>
      </c>
      <c r="G240" s="5" t="s">
        <v>98</v>
      </c>
      <c r="H240" s="5" t="s">
        <v>99</v>
      </c>
      <c r="I240" s="5"/>
      <c r="J240" s="5"/>
      <c r="K240" s="5">
        <v>233</v>
      </c>
      <c r="L240" s="5">
        <v>24</v>
      </c>
      <c r="M240" s="5">
        <v>3</v>
      </c>
      <c r="N240" s="5" t="s">
        <v>3</v>
      </c>
      <c r="O240" s="5">
        <v>2</v>
      </c>
      <c r="P240" s="5">
        <f>ROUND(Source!EV215,O240)</f>
        <v>1333</v>
      </c>
      <c r="Q240" s="5"/>
      <c r="R240" s="5"/>
      <c r="S240" s="5"/>
      <c r="T240" s="5"/>
      <c r="U240" s="5"/>
      <c r="V240" s="5"/>
      <c r="W240" s="5">
        <v>1333</v>
      </c>
      <c r="X240" s="5">
        <v>1</v>
      </c>
      <c r="Y240" s="5">
        <v>1333</v>
      </c>
      <c r="Z240" s="5">
        <v>1333</v>
      </c>
      <c r="AA240" s="5">
        <v>1</v>
      </c>
      <c r="AB240" s="5">
        <v>17289.01</v>
      </c>
    </row>
    <row r="241" spans="1:28" ht="12.75">
      <c r="A241" s="5">
        <v>50</v>
      </c>
      <c r="B241" s="5">
        <v>0</v>
      </c>
      <c r="C241" s="5">
        <v>0</v>
      </c>
      <c r="D241" s="5">
        <v>1</v>
      </c>
      <c r="E241" s="5">
        <v>210</v>
      </c>
      <c r="F241" s="5">
        <f>ROUND(Source!X215,O241)</f>
        <v>6305.18</v>
      </c>
      <c r="G241" s="5" t="s">
        <v>100</v>
      </c>
      <c r="H241" s="5" t="s">
        <v>101</v>
      </c>
      <c r="I241" s="5"/>
      <c r="J241" s="5"/>
      <c r="K241" s="5">
        <v>210</v>
      </c>
      <c r="L241" s="5">
        <v>25</v>
      </c>
      <c r="M241" s="5">
        <v>3</v>
      </c>
      <c r="N241" s="5" t="s">
        <v>3</v>
      </c>
      <c r="O241" s="5">
        <v>2</v>
      </c>
      <c r="P241" s="5">
        <f>ROUND(Source!DP215,O241)</f>
        <v>6305.18</v>
      </c>
      <c r="Q241" s="5"/>
      <c r="R241" s="5"/>
      <c r="S241" s="5"/>
      <c r="T241" s="5"/>
      <c r="U241" s="5"/>
      <c r="V241" s="5"/>
      <c r="W241" s="5">
        <v>6305.18</v>
      </c>
      <c r="X241" s="5">
        <v>1</v>
      </c>
      <c r="Y241" s="5">
        <v>6305.18</v>
      </c>
      <c r="Z241" s="5">
        <v>6305.18</v>
      </c>
      <c r="AA241" s="5">
        <v>1</v>
      </c>
      <c r="AB241" s="5">
        <v>229950.14999999997</v>
      </c>
    </row>
    <row r="242" spans="1:28" ht="12.75">
      <c r="A242" s="5">
        <v>50</v>
      </c>
      <c r="B242" s="5">
        <v>0</v>
      </c>
      <c r="C242" s="5">
        <v>0</v>
      </c>
      <c r="D242" s="5">
        <v>1</v>
      </c>
      <c r="E242" s="5">
        <v>211</v>
      </c>
      <c r="F242" s="5">
        <f>ROUND(Source!Y215,O242)</f>
        <v>3283.49</v>
      </c>
      <c r="G242" s="5" t="s">
        <v>102</v>
      </c>
      <c r="H242" s="5" t="s">
        <v>103</v>
      </c>
      <c r="I242" s="5"/>
      <c r="J242" s="5"/>
      <c r="K242" s="5">
        <v>211</v>
      </c>
      <c r="L242" s="5">
        <v>26</v>
      </c>
      <c r="M242" s="5">
        <v>3</v>
      </c>
      <c r="N242" s="5" t="s">
        <v>3</v>
      </c>
      <c r="O242" s="5">
        <v>2</v>
      </c>
      <c r="P242" s="5">
        <f>ROUND(Source!DQ215,O242)</f>
        <v>3283.49</v>
      </c>
      <c r="Q242" s="5"/>
      <c r="R242" s="5"/>
      <c r="S242" s="5"/>
      <c r="T242" s="5"/>
      <c r="U242" s="5"/>
      <c r="V242" s="5"/>
      <c r="W242" s="5">
        <v>3283.49</v>
      </c>
      <c r="X242" s="5">
        <v>1</v>
      </c>
      <c r="Y242" s="5">
        <v>3283.49</v>
      </c>
      <c r="Z242" s="5">
        <v>3283.49</v>
      </c>
      <c r="AA242" s="5">
        <v>1</v>
      </c>
      <c r="AB242" s="5">
        <v>119748.63000000002</v>
      </c>
    </row>
    <row r="243" spans="1:28" ht="12.75">
      <c r="A243" s="5">
        <v>50</v>
      </c>
      <c r="B243" s="5">
        <v>1</v>
      </c>
      <c r="C243" s="5">
        <v>0</v>
      </c>
      <c r="D243" s="5">
        <v>1</v>
      </c>
      <c r="E243" s="5">
        <v>0</v>
      </c>
      <c r="F243" s="5">
        <f>ROUND(Source!AR215,O243)</f>
        <v>105289.59</v>
      </c>
      <c r="G243" s="5" t="s">
        <v>104</v>
      </c>
      <c r="H243" s="5" t="s">
        <v>105</v>
      </c>
      <c r="I243" s="5"/>
      <c r="J243" s="5"/>
      <c r="K243" s="5">
        <v>224</v>
      </c>
      <c r="L243" s="5">
        <v>27</v>
      </c>
      <c r="M243" s="5">
        <v>0</v>
      </c>
      <c r="N243" s="5" t="s">
        <v>3</v>
      </c>
      <c r="O243" s="5">
        <v>2</v>
      </c>
      <c r="P243" s="5">
        <f>ROUND(Source!EJ215,O243)</f>
        <v>105289.59</v>
      </c>
      <c r="Q243" s="5"/>
      <c r="R243" s="5"/>
      <c r="S243" s="5"/>
      <c r="T243" s="5"/>
      <c r="U243" s="5"/>
      <c r="V243" s="5"/>
      <c r="W243" s="5">
        <v>105289.59000000001</v>
      </c>
      <c r="X243" s="5">
        <v>1</v>
      </c>
      <c r="Y243" s="5">
        <v>105289.59000000001</v>
      </c>
      <c r="Z243" s="5">
        <v>105289.59000000001</v>
      </c>
      <c r="AA243" s="5">
        <v>1</v>
      </c>
      <c r="AB243" s="5">
        <v>1206296.3800000001</v>
      </c>
    </row>
    <row r="244" spans="1:28" ht="12.75">
      <c r="A244" s="5">
        <v>50</v>
      </c>
      <c r="B244" s="5">
        <v>1</v>
      </c>
      <c r="C244" s="5">
        <v>0</v>
      </c>
      <c r="D244" s="5">
        <v>2</v>
      </c>
      <c r="E244" s="5">
        <v>0</v>
      </c>
      <c r="F244" s="5">
        <f>ROUND(F243*0.2,O244)</f>
        <v>21057.92</v>
      </c>
      <c r="G244" s="5" t="s">
        <v>219</v>
      </c>
      <c r="H244" s="5" t="s">
        <v>220</v>
      </c>
      <c r="I244" s="5"/>
      <c r="J244" s="5"/>
      <c r="K244" s="5">
        <v>212</v>
      </c>
      <c r="L244" s="5">
        <v>28</v>
      </c>
      <c r="M244" s="5">
        <v>0</v>
      </c>
      <c r="N244" s="5" t="s">
        <v>3</v>
      </c>
      <c r="O244" s="5">
        <v>2</v>
      </c>
      <c r="P244" s="5">
        <f>ROUND(P243*0.2,O244)</f>
        <v>21057.92</v>
      </c>
      <c r="Q244" s="5"/>
      <c r="R244" s="5"/>
      <c r="S244" s="5"/>
      <c r="T244" s="5"/>
      <c r="U244" s="5"/>
      <c r="V244" s="5"/>
      <c r="W244" s="5">
        <v>21057.92</v>
      </c>
      <c r="X244" s="5">
        <v>1</v>
      </c>
      <c r="Y244" s="5">
        <v>21057.92</v>
      </c>
      <c r="Z244" s="5">
        <v>21057.92</v>
      </c>
      <c r="AA244" s="5">
        <v>1</v>
      </c>
      <c r="AB244" s="5">
        <v>241259.28</v>
      </c>
    </row>
    <row r="245" spans="1:28" ht="12.75">
      <c r="A245" s="5">
        <v>50</v>
      </c>
      <c r="B245" s="5">
        <v>1</v>
      </c>
      <c r="C245" s="5">
        <v>0</v>
      </c>
      <c r="D245" s="5">
        <v>2</v>
      </c>
      <c r="E245" s="5">
        <v>224</v>
      </c>
      <c r="F245" s="5">
        <f>ROUND(F243+F244,O245)</f>
        <v>126347.51</v>
      </c>
      <c r="G245" s="5" t="s">
        <v>223</v>
      </c>
      <c r="H245" s="5" t="s">
        <v>222</v>
      </c>
      <c r="I245" s="5"/>
      <c r="J245" s="5"/>
      <c r="K245" s="5">
        <v>212</v>
      </c>
      <c r="L245" s="5">
        <v>29</v>
      </c>
      <c r="M245" s="5">
        <v>0</v>
      </c>
      <c r="N245" s="5" t="s">
        <v>3</v>
      </c>
      <c r="O245" s="5">
        <v>2</v>
      </c>
      <c r="P245" s="5">
        <f>ROUND(P243+P244,O245)</f>
        <v>126347.51</v>
      </c>
      <c r="Q245" s="5"/>
      <c r="R245" s="5"/>
      <c r="S245" s="5"/>
      <c r="T245" s="5"/>
      <c r="U245" s="5"/>
      <c r="V245" s="5"/>
      <c r="W245" s="5">
        <v>126347.51</v>
      </c>
      <c r="X245" s="5">
        <v>1</v>
      </c>
      <c r="Y245" s="5">
        <v>126347.51</v>
      </c>
      <c r="Z245" s="5">
        <v>126347.51</v>
      </c>
      <c r="AA245" s="5">
        <v>1</v>
      </c>
      <c r="AB245" s="5">
        <v>1447555.66</v>
      </c>
    </row>
    <row r="247" spans="1:8" ht="12.75">
      <c r="A247" s="6">
        <v>61</v>
      </c>
      <c r="B247" s="6"/>
      <c r="C247" s="6"/>
      <c r="D247" s="6"/>
      <c r="E247" s="6"/>
      <c r="F247" s="6">
        <v>3</v>
      </c>
      <c r="G247" s="6" t="s">
        <v>224</v>
      </c>
      <c r="H247" s="6" t="s">
        <v>225</v>
      </c>
    </row>
    <row r="248" spans="1:8" ht="12.75">
      <c r="A248" s="6">
        <v>61</v>
      </c>
      <c r="B248" s="6"/>
      <c r="C248" s="6"/>
      <c r="D248" s="6"/>
      <c r="E248" s="6"/>
      <c r="F248" s="6">
        <v>2</v>
      </c>
      <c r="G248" s="6" t="s">
        <v>226</v>
      </c>
      <c r="H248" s="6" t="s">
        <v>225</v>
      </c>
    </row>
    <row r="249" spans="1:8" ht="12.75">
      <c r="A249" s="6">
        <v>61</v>
      </c>
      <c r="B249" s="6"/>
      <c r="C249" s="6"/>
      <c r="D249" s="6"/>
      <c r="E249" s="6"/>
      <c r="F249" s="6">
        <v>1</v>
      </c>
      <c r="G249" s="6" t="s">
        <v>227</v>
      </c>
      <c r="H249" s="6" t="s">
        <v>225</v>
      </c>
    </row>
    <row r="252" spans="1:16" ht="12.75">
      <c r="A252">
        <v>70</v>
      </c>
      <c r="B252">
        <v>1</v>
      </c>
      <c r="D252">
        <v>1</v>
      </c>
      <c r="E252" t="s">
        <v>228</v>
      </c>
      <c r="F252" t="s">
        <v>229</v>
      </c>
      <c r="G252">
        <v>0</v>
      </c>
      <c r="H252">
        <v>0</v>
      </c>
      <c r="J252">
        <v>1</v>
      </c>
      <c r="K252">
        <v>0</v>
      </c>
      <c r="N252">
        <v>0</v>
      </c>
      <c r="O252">
        <v>0</v>
      </c>
      <c r="P252" t="s">
        <v>230</v>
      </c>
    </row>
    <row r="253" spans="1:16" ht="12.75">
      <c r="A253">
        <v>70</v>
      </c>
      <c r="B253">
        <v>1</v>
      </c>
      <c r="D253">
        <v>2</v>
      </c>
      <c r="E253" t="s">
        <v>231</v>
      </c>
      <c r="F253" t="s">
        <v>232</v>
      </c>
      <c r="G253">
        <v>1</v>
      </c>
      <c r="H253">
        <v>0</v>
      </c>
      <c r="J253">
        <v>1</v>
      </c>
      <c r="K253">
        <v>0</v>
      </c>
      <c r="N253">
        <v>0</v>
      </c>
      <c r="O253">
        <v>1</v>
      </c>
      <c r="P253" t="s">
        <v>233</v>
      </c>
    </row>
    <row r="254" spans="1:16" ht="12.75">
      <c r="A254">
        <v>70</v>
      </c>
      <c r="B254">
        <v>1</v>
      </c>
      <c r="D254">
        <v>3</v>
      </c>
      <c r="E254" t="s">
        <v>234</v>
      </c>
      <c r="F254" t="s">
        <v>235</v>
      </c>
      <c r="G254">
        <v>0</v>
      </c>
      <c r="H254">
        <v>0</v>
      </c>
      <c r="J254">
        <v>1</v>
      </c>
      <c r="K254">
        <v>0</v>
      </c>
      <c r="N254">
        <v>0</v>
      </c>
      <c r="O254">
        <v>0</v>
      </c>
      <c r="P254" t="s">
        <v>236</v>
      </c>
    </row>
    <row r="255" spans="1:16" ht="12.75">
      <c r="A255">
        <v>70</v>
      </c>
      <c r="B255">
        <v>1</v>
      </c>
      <c r="D255">
        <v>4</v>
      </c>
      <c r="E255" t="s">
        <v>237</v>
      </c>
      <c r="F255" t="s">
        <v>238</v>
      </c>
      <c r="G255">
        <v>1</v>
      </c>
      <c r="H255">
        <v>0</v>
      </c>
      <c r="J255">
        <v>2</v>
      </c>
      <c r="K255">
        <v>0</v>
      </c>
      <c r="N255">
        <v>0</v>
      </c>
      <c r="O255">
        <v>1</v>
      </c>
    </row>
    <row r="256" spans="1:16" ht="12.75">
      <c r="A256">
        <v>70</v>
      </c>
      <c r="B256">
        <v>1</v>
      </c>
      <c r="D256">
        <v>5</v>
      </c>
      <c r="E256" t="s">
        <v>239</v>
      </c>
      <c r="F256" t="s">
        <v>240</v>
      </c>
      <c r="G256">
        <v>0</v>
      </c>
      <c r="H256">
        <v>0</v>
      </c>
      <c r="J256">
        <v>2</v>
      </c>
      <c r="K256">
        <v>0</v>
      </c>
      <c r="N256">
        <v>0</v>
      </c>
      <c r="O256">
        <v>0</v>
      </c>
    </row>
    <row r="257" spans="1:16" ht="12.75">
      <c r="A257">
        <v>70</v>
      </c>
      <c r="B257">
        <v>1</v>
      </c>
      <c r="D257">
        <v>6</v>
      </c>
      <c r="E257" t="s">
        <v>241</v>
      </c>
      <c r="F257" t="s">
        <v>242</v>
      </c>
      <c r="G257">
        <v>0</v>
      </c>
      <c r="H257">
        <v>0</v>
      </c>
      <c r="J257">
        <v>2</v>
      </c>
      <c r="K257">
        <v>0</v>
      </c>
      <c r="N257">
        <v>0</v>
      </c>
      <c r="O257">
        <v>0</v>
      </c>
    </row>
    <row r="258" spans="1:16" ht="12.75">
      <c r="A258">
        <v>70</v>
      </c>
      <c r="B258">
        <v>1</v>
      </c>
      <c r="D258">
        <v>7</v>
      </c>
      <c r="E258" t="s">
        <v>243</v>
      </c>
      <c r="F258" t="s">
        <v>244</v>
      </c>
      <c r="G258">
        <v>0</v>
      </c>
      <c r="H258">
        <v>0</v>
      </c>
      <c r="I258" t="s">
        <v>245</v>
      </c>
      <c r="J258">
        <v>0</v>
      </c>
      <c r="K258">
        <v>0</v>
      </c>
      <c r="N258">
        <v>0</v>
      </c>
      <c r="O258">
        <v>0</v>
      </c>
      <c r="P258" t="s">
        <v>246</v>
      </c>
    </row>
    <row r="259" spans="1:16" ht="12.75">
      <c r="A259">
        <v>70</v>
      </c>
      <c r="B259">
        <v>1</v>
      </c>
      <c r="D259">
        <v>8</v>
      </c>
      <c r="E259" t="s">
        <v>247</v>
      </c>
      <c r="F259" t="s">
        <v>248</v>
      </c>
      <c r="G259">
        <v>0</v>
      </c>
      <c r="H259">
        <v>0</v>
      </c>
      <c r="I259" t="s">
        <v>249</v>
      </c>
      <c r="J259">
        <v>0</v>
      </c>
      <c r="K259">
        <v>0</v>
      </c>
      <c r="N259">
        <v>0</v>
      </c>
      <c r="O259">
        <v>0</v>
      </c>
      <c r="P259" t="s">
        <v>247</v>
      </c>
    </row>
    <row r="260" spans="1:16" ht="12.75">
      <c r="A260">
        <v>70</v>
      </c>
      <c r="B260">
        <v>1</v>
      </c>
      <c r="D260">
        <v>9</v>
      </c>
      <c r="E260" t="s">
        <v>250</v>
      </c>
      <c r="F260" t="s">
        <v>251</v>
      </c>
      <c r="G260">
        <v>0</v>
      </c>
      <c r="H260">
        <v>0</v>
      </c>
      <c r="I260" t="s">
        <v>252</v>
      </c>
      <c r="J260">
        <v>0</v>
      </c>
      <c r="K260">
        <v>0</v>
      </c>
      <c r="N260">
        <v>0</v>
      </c>
      <c r="O260">
        <v>0</v>
      </c>
      <c r="P260" t="s">
        <v>253</v>
      </c>
    </row>
    <row r="261" spans="1:16" ht="12.75">
      <c r="A261">
        <v>70</v>
      </c>
      <c r="B261">
        <v>1</v>
      </c>
      <c r="D261">
        <v>10</v>
      </c>
      <c r="E261" t="s">
        <v>254</v>
      </c>
      <c r="F261" t="s">
        <v>255</v>
      </c>
      <c r="G261">
        <v>0</v>
      </c>
      <c r="H261">
        <v>0</v>
      </c>
      <c r="I261" t="s">
        <v>256</v>
      </c>
      <c r="J261">
        <v>0</v>
      </c>
      <c r="K261">
        <v>0</v>
      </c>
      <c r="N261">
        <v>0</v>
      </c>
      <c r="O261">
        <v>0</v>
      </c>
      <c r="P261" t="s">
        <v>257</v>
      </c>
    </row>
    <row r="262" spans="1:16" ht="12.75">
      <c r="A262">
        <v>70</v>
      </c>
      <c r="B262">
        <v>1</v>
      </c>
      <c r="D262">
        <v>11</v>
      </c>
      <c r="E262" t="s">
        <v>258</v>
      </c>
      <c r="F262" t="s">
        <v>259</v>
      </c>
      <c r="G262">
        <v>0</v>
      </c>
      <c r="H262">
        <v>0</v>
      </c>
      <c r="I262" t="s">
        <v>260</v>
      </c>
      <c r="J262">
        <v>0</v>
      </c>
      <c r="K262">
        <v>0</v>
      </c>
      <c r="N262">
        <v>0</v>
      </c>
      <c r="O262">
        <v>0</v>
      </c>
      <c r="P262" t="s">
        <v>261</v>
      </c>
    </row>
    <row r="263" spans="1:16" ht="12.75">
      <c r="A263">
        <v>70</v>
      </c>
      <c r="B263">
        <v>1</v>
      </c>
      <c r="D263">
        <v>12</v>
      </c>
      <c r="E263" t="s">
        <v>262</v>
      </c>
      <c r="F263" t="s">
        <v>263</v>
      </c>
      <c r="G263">
        <v>0</v>
      </c>
      <c r="H263">
        <v>0</v>
      </c>
      <c r="J263">
        <v>0</v>
      </c>
      <c r="K263">
        <v>0</v>
      </c>
      <c r="N263">
        <v>0</v>
      </c>
      <c r="O263">
        <v>0</v>
      </c>
      <c r="P263" t="s">
        <v>264</v>
      </c>
    </row>
    <row r="264" spans="1:16" ht="12.75">
      <c r="A264">
        <v>70</v>
      </c>
      <c r="B264">
        <v>1</v>
      </c>
      <c r="D264">
        <v>13</v>
      </c>
      <c r="E264" t="s">
        <v>265</v>
      </c>
      <c r="F264" t="s">
        <v>266</v>
      </c>
      <c r="G264">
        <v>0</v>
      </c>
      <c r="H264">
        <v>0</v>
      </c>
      <c r="J264">
        <v>3</v>
      </c>
      <c r="K264">
        <v>0</v>
      </c>
      <c r="N264">
        <v>0</v>
      </c>
      <c r="O264">
        <v>0</v>
      </c>
    </row>
    <row r="265" spans="1:16" ht="12.75">
      <c r="A265">
        <v>70</v>
      </c>
      <c r="B265">
        <v>1</v>
      </c>
      <c r="D265">
        <v>14</v>
      </c>
      <c r="E265" t="s">
        <v>267</v>
      </c>
      <c r="F265" t="s">
        <v>268</v>
      </c>
      <c r="G265">
        <v>1</v>
      </c>
      <c r="H265">
        <v>0</v>
      </c>
      <c r="J265">
        <v>3</v>
      </c>
      <c r="K265">
        <v>0</v>
      </c>
      <c r="N265">
        <v>0</v>
      </c>
      <c r="O265">
        <v>1</v>
      </c>
    </row>
    <row r="266" spans="1:16" ht="12.75">
      <c r="A266">
        <v>70</v>
      </c>
      <c r="B266">
        <v>1</v>
      </c>
      <c r="D266">
        <v>1</v>
      </c>
      <c r="E266" t="s">
        <v>269</v>
      </c>
      <c r="F266" t="s">
        <v>270</v>
      </c>
      <c r="G266">
        <v>0.9</v>
      </c>
      <c r="H266">
        <v>1</v>
      </c>
      <c r="I266" t="s">
        <v>271</v>
      </c>
      <c r="J266">
        <v>0</v>
      </c>
      <c r="K266">
        <v>0</v>
      </c>
      <c r="N266">
        <v>0</v>
      </c>
      <c r="O266">
        <v>0.9</v>
      </c>
      <c r="P266" t="s">
        <v>272</v>
      </c>
    </row>
    <row r="267" spans="1:16" ht="12.75">
      <c r="A267">
        <v>70</v>
      </c>
      <c r="B267">
        <v>1</v>
      </c>
      <c r="D267">
        <v>2</v>
      </c>
      <c r="E267" t="s">
        <v>273</v>
      </c>
      <c r="F267" t="s">
        <v>274</v>
      </c>
      <c r="G267">
        <v>0.85</v>
      </c>
      <c r="H267">
        <v>1</v>
      </c>
      <c r="I267" t="s">
        <v>275</v>
      </c>
      <c r="J267">
        <v>0</v>
      </c>
      <c r="K267">
        <v>0</v>
      </c>
      <c r="N267">
        <v>0</v>
      </c>
      <c r="O267">
        <v>0.85</v>
      </c>
      <c r="P267" t="s">
        <v>276</v>
      </c>
    </row>
    <row r="268" spans="1:16" ht="12.75">
      <c r="A268">
        <v>70</v>
      </c>
      <c r="B268">
        <v>1</v>
      </c>
      <c r="D268">
        <v>3</v>
      </c>
      <c r="E268" t="s">
        <v>277</v>
      </c>
      <c r="F268" t="s">
        <v>278</v>
      </c>
      <c r="G268">
        <v>1.03</v>
      </c>
      <c r="H268">
        <v>0</v>
      </c>
      <c r="J268">
        <v>0</v>
      </c>
      <c r="K268">
        <v>0</v>
      </c>
      <c r="N268">
        <v>0</v>
      </c>
      <c r="O268">
        <v>1.03</v>
      </c>
      <c r="P268" t="s">
        <v>279</v>
      </c>
    </row>
    <row r="269" spans="1:16" ht="12.75">
      <c r="A269">
        <v>70</v>
      </c>
      <c r="B269">
        <v>1</v>
      </c>
      <c r="D269">
        <v>4</v>
      </c>
      <c r="E269" t="s">
        <v>280</v>
      </c>
      <c r="F269" t="s">
        <v>281</v>
      </c>
      <c r="G269">
        <v>1.15</v>
      </c>
      <c r="H269">
        <v>0</v>
      </c>
      <c r="J269">
        <v>0</v>
      </c>
      <c r="K269">
        <v>0</v>
      </c>
      <c r="N269">
        <v>0</v>
      </c>
      <c r="O269">
        <v>1.15</v>
      </c>
      <c r="P269" t="s">
        <v>282</v>
      </c>
    </row>
    <row r="270" spans="1:16" ht="12.75">
      <c r="A270">
        <v>70</v>
      </c>
      <c r="B270">
        <v>1</v>
      </c>
      <c r="D270">
        <v>5</v>
      </c>
      <c r="E270" t="s">
        <v>283</v>
      </c>
      <c r="F270" t="s">
        <v>284</v>
      </c>
      <c r="G270">
        <v>7</v>
      </c>
      <c r="H270">
        <v>0</v>
      </c>
      <c r="J270">
        <v>0</v>
      </c>
      <c r="K270">
        <v>0</v>
      </c>
      <c r="N270">
        <v>0</v>
      </c>
      <c r="O270">
        <v>7</v>
      </c>
    </row>
    <row r="271" spans="1:16" ht="12.75">
      <c r="A271">
        <v>70</v>
      </c>
      <c r="B271">
        <v>1</v>
      </c>
      <c r="D271">
        <v>6</v>
      </c>
      <c r="E271" t="s">
        <v>285</v>
      </c>
      <c r="G271">
        <v>2</v>
      </c>
      <c r="H271">
        <v>0</v>
      </c>
      <c r="J271">
        <v>0</v>
      </c>
      <c r="K271">
        <v>0</v>
      </c>
      <c r="N271">
        <v>0</v>
      </c>
      <c r="O271">
        <v>2</v>
      </c>
    </row>
    <row r="273" ht="12.75">
      <c r="A273">
        <v>-1</v>
      </c>
    </row>
    <row r="275" spans="1:15" ht="12.75">
      <c r="A275" s="4">
        <v>75</v>
      </c>
      <c r="B275" s="4" t="s">
        <v>286</v>
      </c>
      <c r="C275" s="4">
        <v>2000</v>
      </c>
      <c r="D275" s="4">
        <v>0</v>
      </c>
      <c r="E275" s="4">
        <v>1</v>
      </c>
      <c r="F275" s="4">
        <v>0</v>
      </c>
      <c r="G275" s="4">
        <v>0</v>
      </c>
      <c r="H275" s="4">
        <v>1</v>
      </c>
      <c r="I275" s="4">
        <v>0</v>
      </c>
      <c r="J275" s="4">
        <v>1</v>
      </c>
      <c r="K275" s="4">
        <v>0</v>
      </c>
      <c r="L275" s="4">
        <v>0</v>
      </c>
      <c r="M275" s="4">
        <v>0</v>
      </c>
      <c r="N275" s="4">
        <v>55457795</v>
      </c>
      <c r="O275" s="4">
        <v>1</v>
      </c>
    </row>
    <row r="276" spans="1:15" ht="12.75">
      <c r="A276" s="4">
        <v>75</v>
      </c>
      <c r="B276" s="4" t="s">
        <v>287</v>
      </c>
      <c r="C276" s="4">
        <v>2023</v>
      </c>
      <c r="D276" s="4">
        <v>1</v>
      </c>
      <c r="E276" s="4">
        <v>0</v>
      </c>
      <c r="F276" s="4"/>
      <c r="G276" s="4">
        <v>0</v>
      </c>
      <c r="H276" s="4">
        <v>1</v>
      </c>
      <c r="I276" s="4">
        <v>0</v>
      </c>
      <c r="J276" s="4">
        <v>1</v>
      </c>
      <c r="K276" s="4">
        <v>0</v>
      </c>
      <c r="L276" s="4">
        <v>0</v>
      </c>
      <c r="M276" s="4">
        <v>1</v>
      </c>
      <c r="N276" s="4">
        <v>55457796</v>
      </c>
      <c r="O276" s="4">
        <v>2</v>
      </c>
    </row>
    <row r="277" spans="1:40" ht="12.75">
      <c r="A277" s="7">
        <v>3</v>
      </c>
      <c r="B277" s="7" t="s">
        <v>288</v>
      </c>
      <c r="C277" s="7">
        <v>1</v>
      </c>
      <c r="D277" s="7">
        <v>6.82</v>
      </c>
      <c r="E277" s="7">
        <v>12.97</v>
      </c>
      <c r="F277" s="7">
        <v>36.47</v>
      </c>
      <c r="G277" s="7">
        <v>36.47</v>
      </c>
      <c r="H277" s="7">
        <v>1</v>
      </c>
      <c r="I277" s="7">
        <v>1</v>
      </c>
      <c r="J277" s="7">
        <v>2</v>
      </c>
      <c r="K277" s="7">
        <v>1</v>
      </c>
      <c r="L277" s="7">
        <v>12.97</v>
      </c>
      <c r="M277" s="7">
        <v>1</v>
      </c>
      <c r="N277" s="7">
        <v>6.82</v>
      </c>
      <c r="O277" s="7">
        <v>1</v>
      </c>
      <c r="P277" s="7">
        <v>1</v>
      </c>
      <c r="Q277" s="7">
        <v>1</v>
      </c>
      <c r="R277" s="7">
        <v>12.97</v>
      </c>
      <c r="S277" s="7" t="s">
        <v>31</v>
      </c>
      <c r="T277" s="7" t="s">
        <v>3</v>
      </c>
      <c r="U277" s="7" t="s">
        <v>3</v>
      </c>
      <c r="V277" s="7" t="s">
        <v>3</v>
      </c>
      <c r="W277" s="7" t="s">
        <v>3</v>
      </c>
      <c r="X277" s="7" t="s">
        <v>3</v>
      </c>
      <c r="Y277" s="7" t="s">
        <v>3</v>
      </c>
      <c r="Z277" s="7" t="s">
        <v>3</v>
      </c>
      <c r="AA277" s="7" t="s">
        <v>3</v>
      </c>
      <c r="AB277" s="7" t="s">
        <v>3</v>
      </c>
      <c r="AC277" s="7" t="s">
        <v>3</v>
      </c>
      <c r="AD277" s="7" t="s">
        <v>3</v>
      </c>
      <c r="AE277" s="7" t="s">
        <v>3</v>
      </c>
      <c r="AF277" s="7" t="s">
        <v>3</v>
      </c>
      <c r="AG277" s="7" t="s">
        <v>3</v>
      </c>
      <c r="AH277" s="7" t="s">
        <v>3</v>
      </c>
      <c r="AI277" s="7"/>
      <c r="AJ277" s="7"/>
      <c r="AK277" s="7"/>
      <c r="AL277" s="7"/>
      <c r="AM277" s="7"/>
      <c r="AN277" s="7">
        <v>55457797</v>
      </c>
    </row>
    <row r="281" spans="1:5" ht="12.75">
      <c r="A281">
        <v>65</v>
      </c>
      <c r="C281">
        <v>1</v>
      </c>
      <c r="D281">
        <v>0</v>
      </c>
      <c r="E281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289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4" spans="1:133" ht="12.75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ht="12.75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3</v>
      </c>
      <c r="AG12" s="1" t="s">
        <v>3</v>
      </c>
      <c r="AH12" s="1" t="s">
        <v>10</v>
      </c>
      <c r="AI12" s="1" t="s">
        <v>11</v>
      </c>
      <c r="AJ12" s="1" t="s">
        <v>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362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55457795</v>
      </c>
      <c r="E14" s="1">
        <v>55457796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v>105.29</v>
      </c>
      <c r="F16" s="9">
        <v>0</v>
      </c>
      <c r="G16" s="9">
        <v>0</v>
      </c>
      <c r="H16" s="9">
        <v>0</v>
      </c>
      <c r="I16" s="9">
        <v>105.29</v>
      </c>
      <c r="J16" s="9">
        <v>6.4</v>
      </c>
      <c r="T16" s="10">
        <v>1206.3</v>
      </c>
      <c r="U16" s="10">
        <v>0</v>
      </c>
      <c r="V16" s="10">
        <v>0</v>
      </c>
      <c r="W16" s="10">
        <v>0</v>
      </c>
      <c r="X16" s="10">
        <v>1206.3</v>
      </c>
      <c r="Y16" s="10">
        <v>233.72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95700.92</v>
      </c>
      <c r="AU16" s="9">
        <v>86138.55</v>
      </c>
      <c r="AV16" s="9">
        <v>0</v>
      </c>
      <c r="AW16" s="9">
        <v>0</v>
      </c>
      <c r="AX16" s="9">
        <v>0</v>
      </c>
      <c r="AY16" s="9">
        <v>2054.5299999999997</v>
      </c>
      <c r="AZ16" s="9">
        <v>233.6</v>
      </c>
      <c r="BA16" s="9">
        <v>6174.84</v>
      </c>
      <c r="BB16" s="9">
        <v>105289.59</v>
      </c>
      <c r="BC16" s="9">
        <v>0</v>
      </c>
      <c r="BD16" s="9">
        <v>0</v>
      </c>
      <c r="BE16" s="9">
        <v>0</v>
      </c>
      <c r="BF16" s="9">
        <v>717.04626</v>
      </c>
      <c r="BG16" s="9">
        <v>19.1076698</v>
      </c>
      <c r="BH16" s="9">
        <v>0</v>
      </c>
      <c r="BI16" s="9">
        <v>6305.18</v>
      </c>
      <c r="BJ16" s="9">
        <v>3283.49</v>
      </c>
      <c r="BK16" s="9">
        <v>126347.51</v>
      </c>
      <c r="BR16" s="10">
        <v>856597.6000000001</v>
      </c>
      <c r="BS16" s="10">
        <v>0</v>
      </c>
      <c r="BT16" s="10">
        <v>0</v>
      </c>
      <c r="BU16" s="10">
        <v>0</v>
      </c>
      <c r="BV16" s="10">
        <v>0</v>
      </c>
      <c r="BW16" s="10">
        <v>26647.25</v>
      </c>
      <c r="BX16" s="10">
        <v>8519.39</v>
      </c>
      <c r="BY16" s="10">
        <v>225196.43</v>
      </c>
      <c r="BZ16" s="10">
        <v>1206296.3800000001</v>
      </c>
      <c r="CA16" s="10">
        <v>0</v>
      </c>
      <c r="CB16" s="10">
        <v>0</v>
      </c>
      <c r="CC16" s="10">
        <v>0</v>
      </c>
      <c r="CD16" s="10">
        <v>717.04626</v>
      </c>
      <c r="CE16" s="10">
        <v>19.1076698</v>
      </c>
      <c r="CF16" s="10">
        <v>0</v>
      </c>
      <c r="CG16" s="10">
        <v>229950.14999999997</v>
      </c>
      <c r="CH16" s="10">
        <v>119748.63</v>
      </c>
      <c r="CI16" s="10">
        <v>1447555.66</v>
      </c>
    </row>
    <row r="18" spans="1:40" ht="12.75">
      <c r="A18">
        <v>51</v>
      </c>
      <c r="E18" s="6">
        <f>SUMIF(A16:A17,3,E16:E17)</f>
        <v>105.29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105.29</v>
      </c>
      <c r="J18" s="6">
        <f>SUMIF(A16:A17,3,J16:J17)</f>
        <v>6.4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1206.3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1206.3</v>
      </c>
      <c r="Y18" s="3">
        <f>SUMIF(A16:A17,3,Y16:Y17)</f>
        <v>233.72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95700.92</v>
      </c>
      <c r="G20" s="5" t="s">
        <v>52</v>
      </c>
      <c r="H20" s="5" t="s">
        <v>53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856597.6000000001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86138.55</v>
      </c>
      <c r="G21" s="5" t="s">
        <v>54</v>
      </c>
      <c r="H21" s="5" t="s">
        <v>55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0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56</v>
      </c>
      <c r="H22" s="5" t="s">
        <v>57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86138.55</v>
      </c>
      <c r="G23" s="5" t="s">
        <v>58</v>
      </c>
      <c r="H23" s="5" t="s">
        <v>59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0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86138.55</v>
      </c>
      <c r="G24" s="5" t="s">
        <v>60</v>
      </c>
      <c r="H24" s="5" t="s">
        <v>61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587464.91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62</v>
      </c>
      <c r="H25" s="5" t="s">
        <v>63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86138.55</v>
      </c>
      <c r="G26" s="5" t="s">
        <v>64</v>
      </c>
      <c r="H26" s="5" t="s">
        <v>65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587464.91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66</v>
      </c>
      <c r="H27" s="5" t="s">
        <v>67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68</v>
      </c>
      <c r="H28" s="5" t="s">
        <v>69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70</v>
      </c>
      <c r="H29" s="5" t="s">
        <v>71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2054.5299999999997</v>
      </c>
      <c r="G30" s="5" t="s">
        <v>72</v>
      </c>
      <c r="H30" s="5" t="s">
        <v>73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26647.25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74</v>
      </c>
      <c r="H31" s="5" t="s">
        <v>75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233.60000000000002</v>
      </c>
      <c r="G32" s="5" t="s">
        <v>76</v>
      </c>
      <c r="H32" s="5" t="s">
        <v>77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8519.390000000001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6174.839999999999</v>
      </c>
      <c r="G33" s="5" t="s">
        <v>78</v>
      </c>
      <c r="H33" s="5" t="s">
        <v>79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225196.43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80</v>
      </c>
      <c r="H34" s="5" t="s">
        <v>81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105289.59</v>
      </c>
      <c r="G35" s="5" t="s">
        <v>82</v>
      </c>
      <c r="H35" s="5" t="s">
        <v>83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1206296.3800000001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84</v>
      </c>
      <c r="H36" s="5" t="s">
        <v>85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86</v>
      </c>
      <c r="H37" s="5" t="s">
        <v>87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88</v>
      </c>
      <c r="H38" s="5" t="s">
        <v>89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90</v>
      </c>
      <c r="H39" s="5" t="s">
        <v>91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717.04626</v>
      </c>
      <c r="G40" s="5" t="s">
        <v>92</v>
      </c>
      <c r="H40" s="5" t="s">
        <v>93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717.04626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19.1076698</v>
      </c>
      <c r="G41" s="5" t="s">
        <v>94</v>
      </c>
      <c r="H41" s="5" t="s">
        <v>95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19.1076698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96</v>
      </c>
      <c r="H42" s="5" t="s">
        <v>97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1333</v>
      </c>
      <c r="G43" s="5" t="s">
        <v>98</v>
      </c>
      <c r="H43" s="5" t="s">
        <v>99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17289.01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6305.18</v>
      </c>
      <c r="G44" s="5" t="s">
        <v>100</v>
      </c>
      <c r="H44" s="5" t="s">
        <v>101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229950.14999999997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3283.49</v>
      </c>
      <c r="G45" s="5" t="s">
        <v>102</v>
      </c>
      <c r="H45" s="5" t="s">
        <v>103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119748.63000000002</v>
      </c>
    </row>
    <row r="46" spans="1:16" ht="12.75">
      <c r="A46" s="5">
        <v>50</v>
      </c>
      <c r="B46" s="5">
        <v>1</v>
      </c>
      <c r="C46" s="5">
        <v>0</v>
      </c>
      <c r="D46" s="5">
        <v>1</v>
      </c>
      <c r="E46" s="5">
        <v>0</v>
      </c>
      <c r="F46" s="5">
        <v>105289.59000000001</v>
      </c>
      <c r="G46" s="5" t="s">
        <v>104</v>
      </c>
      <c r="H46" s="5" t="s">
        <v>105</v>
      </c>
      <c r="I46" s="5"/>
      <c r="J46" s="5"/>
      <c r="K46" s="5">
        <v>224</v>
      </c>
      <c r="L46" s="5">
        <v>27</v>
      </c>
      <c r="M46" s="5">
        <v>0</v>
      </c>
      <c r="N46" s="5" t="s">
        <v>3</v>
      </c>
      <c r="O46" s="5">
        <v>2</v>
      </c>
      <c r="P46" s="5">
        <v>1206296.3800000001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21057.92</v>
      </c>
      <c r="G47" s="5" t="s">
        <v>219</v>
      </c>
      <c r="H47" s="5" t="s">
        <v>220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241259.28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224</v>
      </c>
      <c r="F48" s="5">
        <v>126347.51</v>
      </c>
      <c r="G48" s="5" t="s">
        <v>223</v>
      </c>
      <c r="H48" s="5" t="s">
        <v>222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1447555.66</v>
      </c>
    </row>
    <row r="50" ht="12.75">
      <c r="A50">
        <v>-1</v>
      </c>
    </row>
    <row r="53" spans="1:15" ht="12.75">
      <c r="A53" s="4">
        <v>75</v>
      </c>
      <c r="B53" s="4" t="s">
        <v>286</v>
      </c>
      <c r="C53" s="4">
        <v>2000</v>
      </c>
      <c r="D53" s="4">
        <v>0</v>
      </c>
      <c r="E53" s="4">
        <v>1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55457795</v>
      </c>
      <c r="O53" s="4">
        <v>1</v>
      </c>
    </row>
    <row r="54" spans="1:15" ht="12.75">
      <c r="A54" s="4">
        <v>75</v>
      </c>
      <c r="B54" s="4" t="s">
        <v>287</v>
      </c>
      <c r="C54" s="4">
        <v>2023</v>
      </c>
      <c r="D54" s="4">
        <v>1</v>
      </c>
      <c r="E54" s="4">
        <v>0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1</v>
      </c>
      <c r="N54" s="4">
        <v>55457796</v>
      </c>
      <c r="O54" s="4">
        <v>2</v>
      </c>
    </row>
    <row r="55" spans="1:40" ht="12.75">
      <c r="A55" s="7">
        <v>3</v>
      </c>
      <c r="B55" s="7" t="s">
        <v>288</v>
      </c>
      <c r="C55" s="7">
        <v>1</v>
      </c>
      <c r="D55" s="7">
        <v>6.82</v>
      </c>
      <c r="E55" s="7">
        <v>12.97</v>
      </c>
      <c r="F55" s="7">
        <v>36.47</v>
      </c>
      <c r="G55" s="7">
        <v>36.47</v>
      </c>
      <c r="H55" s="7">
        <v>1</v>
      </c>
      <c r="I55" s="7">
        <v>1</v>
      </c>
      <c r="J55" s="7">
        <v>2</v>
      </c>
      <c r="K55" s="7">
        <v>1</v>
      </c>
      <c r="L55" s="7">
        <v>12.97</v>
      </c>
      <c r="M55" s="7">
        <v>1</v>
      </c>
      <c r="N55" s="7">
        <v>6.82</v>
      </c>
      <c r="O55" s="7">
        <v>1</v>
      </c>
      <c r="P55" s="7">
        <v>1</v>
      </c>
      <c r="Q55" s="7">
        <v>1</v>
      </c>
      <c r="R55" s="7">
        <v>12.97</v>
      </c>
      <c r="S55" s="7" t="s">
        <v>31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3</v>
      </c>
      <c r="AB55" s="7" t="s">
        <v>3</v>
      </c>
      <c r="AC55" s="7" t="s">
        <v>3</v>
      </c>
      <c r="AD55" s="7" t="s">
        <v>3</v>
      </c>
      <c r="AE55" s="7" t="s">
        <v>3</v>
      </c>
      <c r="AF55" s="7" t="s">
        <v>3</v>
      </c>
      <c r="AG55" s="7" t="s">
        <v>3</v>
      </c>
      <c r="AH55" s="7" t="s">
        <v>3</v>
      </c>
      <c r="AI55" s="7"/>
      <c r="AJ55" s="7"/>
      <c r="AK55" s="7"/>
      <c r="AL55" s="7"/>
      <c r="AM55" s="7"/>
      <c r="AN55" s="7">
        <v>55457797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55457795</v>
      </c>
      <c r="C1">
        <v>55458034</v>
      </c>
      <c r="D1">
        <v>37822877</v>
      </c>
      <c r="E1">
        <v>1</v>
      </c>
      <c r="F1">
        <v>1</v>
      </c>
      <c r="G1">
        <v>1</v>
      </c>
      <c r="H1">
        <v>1</v>
      </c>
      <c r="I1" t="s">
        <v>290</v>
      </c>
      <c r="K1" t="s">
        <v>291</v>
      </c>
      <c r="L1">
        <v>1191</v>
      </c>
      <c r="N1">
        <v>1013</v>
      </c>
      <c r="O1" t="s">
        <v>292</v>
      </c>
      <c r="P1" t="s">
        <v>292</v>
      </c>
      <c r="Q1">
        <v>1</v>
      </c>
      <c r="W1">
        <v>0</v>
      </c>
      <c r="X1">
        <v>735429535</v>
      </c>
      <c r="Y1">
        <v>14.38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14.38</v>
      </c>
      <c r="AV1">
        <v>1</v>
      </c>
      <c r="AW1">
        <v>2</v>
      </c>
      <c r="AX1">
        <v>55458037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163.58688</v>
      </c>
      <c r="CY1">
        <f>AD1</f>
        <v>7.8</v>
      </c>
      <c r="CZ1">
        <f>AH1</f>
        <v>7.8</v>
      </c>
      <c r="DA1">
        <f>AL1</f>
        <v>1</v>
      </c>
      <c r="DB1">
        <f>ROUND(ROUND(AT1*CZ1,2),2)</f>
        <v>112.16</v>
      </c>
      <c r="DC1">
        <f>ROUND(ROUND(AT1*AG1,2),2)</f>
        <v>0</v>
      </c>
    </row>
    <row r="2" spans="1:107" ht="12.75">
      <c r="A2">
        <f>ROW(Source!A28)</f>
        <v>28</v>
      </c>
      <c r="B2">
        <v>55457795</v>
      </c>
      <c r="C2">
        <v>55458034</v>
      </c>
      <c r="D2">
        <v>44976395</v>
      </c>
      <c r="E2">
        <v>1</v>
      </c>
      <c r="F2">
        <v>1</v>
      </c>
      <c r="G2">
        <v>1</v>
      </c>
      <c r="H2">
        <v>2</v>
      </c>
      <c r="I2" t="s">
        <v>293</v>
      </c>
      <c r="J2" t="s">
        <v>294</v>
      </c>
      <c r="K2" t="s">
        <v>295</v>
      </c>
      <c r="L2">
        <v>1368</v>
      </c>
      <c r="N2">
        <v>1011</v>
      </c>
      <c r="O2" t="s">
        <v>296</v>
      </c>
      <c r="P2" t="s">
        <v>296</v>
      </c>
      <c r="Q2">
        <v>1</v>
      </c>
      <c r="W2">
        <v>0</v>
      </c>
      <c r="X2">
        <v>-1641382595</v>
      </c>
      <c r="Y2">
        <v>6.22</v>
      </c>
      <c r="AA2">
        <v>0</v>
      </c>
      <c r="AB2">
        <v>6.66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6.22</v>
      </c>
      <c r="AV2">
        <v>0</v>
      </c>
      <c r="AW2">
        <v>2</v>
      </c>
      <c r="AX2">
        <v>55458038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70.75872</v>
      </c>
      <c r="CY2">
        <f>AB2</f>
        <v>6.66</v>
      </c>
      <c r="CZ2">
        <f>AF2</f>
        <v>6.66</v>
      </c>
      <c r="DA2">
        <f>AJ2</f>
        <v>1</v>
      </c>
      <c r="DB2">
        <f>ROUND(ROUND(AT2*CZ2,2),2)</f>
        <v>41.43</v>
      </c>
      <c r="DC2">
        <f>ROUND(ROUND(AT2*AG2,2),2)</f>
        <v>0</v>
      </c>
    </row>
    <row r="3" spans="1:107" ht="12.75">
      <c r="A3">
        <f>ROW(Source!A29)</f>
        <v>29</v>
      </c>
      <c r="B3">
        <v>55457796</v>
      </c>
      <c r="C3">
        <v>55458034</v>
      </c>
      <c r="D3">
        <v>37822877</v>
      </c>
      <c r="E3">
        <v>1</v>
      </c>
      <c r="F3">
        <v>1</v>
      </c>
      <c r="G3">
        <v>1</v>
      </c>
      <c r="H3">
        <v>1</v>
      </c>
      <c r="I3" t="s">
        <v>290</v>
      </c>
      <c r="K3" t="s">
        <v>291</v>
      </c>
      <c r="L3">
        <v>1191</v>
      </c>
      <c r="N3">
        <v>1013</v>
      </c>
      <c r="O3" t="s">
        <v>292</v>
      </c>
      <c r="P3" t="s">
        <v>292</v>
      </c>
      <c r="Q3">
        <v>1</v>
      </c>
      <c r="W3">
        <v>0</v>
      </c>
      <c r="X3">
        <v>735429535</v>
      </c>
      <c r="Y3">
        <v>14.38</v>
      </c>
      <c r="AA3">
        <v>0</v>
      </c>
      <c r="AB3">
        <v>0</v>
      </c>
      <c r="AC3">
        <v>0</v>
      </c>
      <c r="AD3">
        <v>284.47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36.47</v>
      </c>
      <c r="AN3">
        <v>0</v>
      </c>
      <c r="AO3">
        <v>1</v>
      </c>
      <c r="AP3">
        <v>0</v>
      </c>
      <c r="AQ3">
        <v>0</v>
      </c>
      <c r="AR3">
        <v>0</v>
      </c>
      <c r="AT3">
        <v>14.38</v>
      </c>
      <c r="AV3">
        <v>1</v>
      </c>
      <c r="AW3">
        <v>2</v>
      </c>
      <c r="AX3">
        <v>55458037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163.58688</v>
      </c>
      <c r="CY3">
        <f>AD3</f>
        <v>284.47</v>
      </c>
      <c r="CZ3">
        <f>AH3</f>
        <v>7.8</v>
      </c>
      <c r="DA3">
        <f>AL3</f>
        <v>36.47</v>
      </c>
      <c r="DB3">
        <f>ROUND(ROUND(AT3*CZ3,2),2)</f>
        <v>112.16</v>
      </c>
      <c r="DC3">
        <f>ROUND(ROUND(AT3*AG3,2),2)</f>
        <v>0</v>
      </c>
    </row>
    <row r="4" spans="1:107" ht="12.75">
      <c r="A4">
        <f>ROW(Source!A29)</f>
        <v>29</v>
      </c>
      <c r="B4">
        <v>55457796</v>
      </c>
      <c r="C4">
        <v>55458034</v>
      </c>
      <c r="D4">
        <v>44976395</v>
      </c>
      <c r="E4">
        <v>1</v>
      </c>
      <c r="F4">
        <v>1</v>
      </c>
      <c r="G4">
        <v>1</v>
      </c>
      <c r="H4">
        <v>2</v>
      </c>
      <c r="I4" t="s">
        <v>293</v>
      </c>
      <c r="J4" t="s">
        <v>294</v>
      </c>
      <c r="K4" t="s">
        <v>295</v>
      </c>
      <c r="L4">
        <v>1368</v>
      </c>
      <c r="N4">
        <v>1011</v>
      </c>
      <c r="O4" t="s">
        <v>296</v>
      </c>
      <c r="P4" t="s">
        <v>296</v>
      </c>
      <c r="Q4">
        <v>1</v>
      </c>
      <c r="W4">
        <v>0</v>
      </c>
      <c r="X4">
        <v>-1641382595</v>
      </c>
      <c r="Y4">
        <v>6.22</v>
      </c>
      <c r="AA4">
        <v>0</v>
      </c>
      <c r="AB4">
        <v>86.38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12.97</v>
      </c>
      <c r="AK4">
        <v>36.47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6.22</v>
      </c>
      <c r="AV4">
        <v>0</v>
      </c>
      <c r="AW4">
        <v>2</v>
      </c>
      <c r="AX4">
        <v>55458038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70.75872</v>
      </c>
      <c r="CY4">
        <f>AB4</f>
        <v>86.38</v>
      </c>
      <c r="CZ4">
        <f>AF4</f>
        <v>6.66</v>
      </c>
      <c r="DA4">
        <f>AJ4</f>
        <v>12.97</v>
      </c>
      <c r="DB4">
        <f>ROUND(ROUND(AT4*CZ4,2),2)</f>
        <v>41.43</v>
      </c>
      <c r="DC4">
        <f>ROUND(ROUND(AT4*AG4,2),2)</f>
        <v>0</v>
      </c>
    </row>
    <row r="5" spans="1:107" ht="12.75">
      <c r="A5">
        <f>ROW(Source!A30)</f>
        <v>30</v>
      </c>
      <c r="B5">
        <v>55457795</v>
      </c>
      <c r="C5">
        <v>55466884</v>
      </c>
      <c r="D5">
        <v>53630041</v>
      </c>
      <c r="E5">
        <v>70</v>
      </c>
      <c r="F5">
        <v>1</v>
      </c>
      <c r="G5">
        <v>1</v>
      </c>
      <c r="H5">
        <v>1</v>
      </c>
      <c r="I5" t="s">
        <v>297</v>
      </c>
      <c r="K5" t="s">
        <v>298</v>
      </c>
      <c r="L5">
        <v>1191</v>
      </c>
      <c r="N5">
        <v>1013</v>
      </c>
      <c r="O5" t="s">
        <v>292</v>
      </c>
      <c r="P5" t="s">
        <v>292</v>
      </c>
      <c r="Q5">
        <v>1</v>
      </c>
      <c r="W5">
        <v>0</v>
      </c>
      <c r="X5">
        <v>-366857280</v>
      </c>
      <c r="Y5">
        <v>28.480000000000004</v>
      </c>
      <c r="AA5">
        <v>0</v>
      </c>
      <c r="AB5">
        <v>0</v>
      </c>
      <c r="AC5">
        <v>0</v>
      </c>
      <c r="AD5">
        <v>7.94</v>
      </c>
      <c r="AE5">
        <v>0</v>
      </c>
      <c r="AF5">
        <v>0</v>
      </c>
      <c r="AG5">
        <v>0</v>
      </c>
      <c r="AH5">
        <v>7.94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35.6</v>
      </c>
      <c r="AU5" t="s">
        <v>38</v>
      </c>
      <c r="AV5">
        <v>1</v>
      </c>
      <c r="AW5">
        <v>2</v>
      </c>
      <c r="AX5">
        <v>55466885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97.196544</v>
      </c>
      <c r="CY5">
        <f>AD5</f>
        <v>7.94</v>
      </c>
      <c r="CZ5">
        <f>AH5</f>
        <v>7.94</v>
      </c>
      <c r="DA5">
        <f>AL5</f>
        <v>1</v>
      </c>
      <c r="DB5">
        <f>ROUND((ROUND(AT5*CZ5,2)*ROUND(0.8,7)),2)</f>
        <v>226.13</v>
      </c>
      <c r="DC5">
        <f>ROUND((ROUND(AT5*AG5,2)*ROUND(0.8,7)),2)</f>
        <v>0</v>
      </c>
    </row>
    <row r="6" spans="1:107" ht="12.75">
      <c r="A6">
        <f>ROW(Source!A30)</f>
        <v>30</v>
      </c>
      <c r="B6">
        <v>55457795</v>
      </c>
      <c r="C6">
        <v>55466884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299</v>
      </c>
      <c r="K6" t="s">
        <v>300</v>
      </c>
      <c r="L6">
        <v>1191</v>
      </c>
      <c r="N6">
        <v>1013</v>
      </c>
      <c r="O6" t="s">
        <v>292</v>
      </c>
      <c r="P6" t="s">
        <v>292</v>
      </c>
      <c r="Q6">
        <v>1</v>
      </c>
      <c r="W6">
        <v>0</v>
      </c>
      <c r="X6">
        <v>-1417349443</v>
      </c>
      <c r="Y6">
        <v>1.016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1.27</v>
      </c>
      <c r="AU6" t="s">
        <v>38</v>
      </c>
      <c r="AV6">
        <v>2</v>
      </c>
      <c r="AW6">
        <v>2</v>
      </c>
      <c r="AX6">
        <v>55466886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3.4674047999999997</v>
      </c>
      <c r="CY6">
        <f>AD6</f>
        <v>0</v>
      </c>
      <c r="CZ6">
        <f>AH6</f>
        <v>0</v>
      </c>
      <c r="DA6">
        <f>AL6</f>
        <v>1</v>
      </c>
      <c r="DB6">
        <f>ROUND((ROUND(AT6*CZ6,2)*ROUND(0.8,7)),2)</f>
        <v>0</v>
      </c>
      <c r="DC6">
        <f>ROUND((ROUND(AT6*AG6,2)*ROUND(0.8,7)),2)</f>
        <v>0</v>
      </c>
    </row>
    <row r="7" spans="1:107" ht="12.75">
      <c r="A7">
        <f>ROW(Source!A30)</f>
        <v>30</v>
      </c>
      <c r="B7">
        <v>55457795</v>
      </c>
      <c r="C7">
        <v>55466884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301</v>
      </c>
      <c r="J7" t="s">
        <v>302</v>
      </c>
      <c r="K7" t="s">
        <v>303</v>
      </c>
      <c r="L7">
        <v>1367</v>
      </c>
      <c r="N7">
        <v>1011</v>
      </c>
      <c r="O7" t="s">
        <v>304</v>
      </c>
      <c r="P7" t="s">
        <v>304</v>
      </c>
      <c r="Q7">
        <v>1</v>
      </c>
      <c r="W7">
        <v>0</v>
      </c>
      <c r="X7">
        <v>1232162608</v>
      </c>
      <c r="Y7">
        <v>1.016</v>
      </c>
      <c r="AA7">
        <v>0</v>
      </c>
      <c r="AB7">
        <v>31.26</v>
      </c>
      <c r="AC7">
        <v>13.5</v>
      </c>
      <c r="AD7">
        <v>0</v>
      </c>
      <c r="AE7">
        <v>0</v>
      </c>
      <c r="AF7">
        <v>31.26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1.27</v>
      </c>
      <c r="AU7" t="s">
        <v>38</v>
      </c>
      <c r="AV7">
        <v>0</v>
      </c>
      <c r="AW7">
        <v>2</v>
      </c>
      <c r="AX7">
        <v>55466887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3.4674047999999997</v>
      </c>
      <c r="CY7">
        <f>AB7</f>
        <v>31.26</v>
      </c>
      <c r="CZ7">
        <f>AF7</f>
        <v>31.26</v>
      </c>
      <c r="DA7">
        <f>AJ7</f>
        <v>1</v>
      </c>
      <c r="DB7">
        <f>ROUND((ROUND(AT7*CZ7,2)*ROUND(0.8,7)),2)</f>
        <v>31.76</v>
      </c>
      <c r="DC7">
        <f>ROUND((ROUND(AT7*AG7,2)*ROUND(0.8,7)),2)</f>
        <v>13.72</v>
      </c>
    </row>
    <row r="8" spans="1:107" ht="12.75">
      <c r="A8">
        <f>ROW(Source!A30)</f>
        <v>30</v>
      </c>
      <c r="B8">
        <v>55457795</v>
      </c>
      <c r="C8">
        <v>55466884</v>
      </c>
      <c r="D8">
        <v>53792275</v>
      </c>
      <c r="E8">
        <v>1</v>
      </c>
      <c r="F8">
        <v>1</v>
      </c>
      <c r="G8">
        <v>1</v>
      </c>
      <c r="H8">
        <v>2</v>
      </c>
      <c r="I8" t="s">
        <v>305</v>
      </c>
      <c r="J8" t="s">
        <v>306</v>
      </c>
      <c r="K8" t="s">
        <v>307</v>
      </c>
      <c r="L8">
        <v>1367</v>
      </c>
      <c r="N8">
        <v>1011</v>
      </c>
      <c r="O8" t="s">
        <v>304</v>
      </c>
      <c r="P8" t="s">
        <v>304</v>
      </c>
      <c r="Q8">
        <v>1</v>
      </c>
      <c r="W8">
        <v>0</v>
      </c>
      <c r="X8">
        <v>-1322498708</v>
      </c>
      <c r="Y8">
        <v>6.256</v>
      </c>
      <c r="AA8">
        <v>0</v>
      </c>
      <c r="AB8">
        <v>0.5</v>
      </c>
      <c r="AC8">
        <v>0</v>
      </c>
      <c r="AD8">
        <v>0</v>
      </c>
      <c r="AE8">
        <v>0</v>
      </c>
      <c r="AF8">
        <v>0.5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7.82</v>
      </c>
      <c r="AU8" t="s">
        <v>38</v>
      </c>
      <c r="AV8">
        <v>0</v>
      </c>
      <c r="AW8">
        <v>2</v>
      </c>
      <c r="AX8">
        <v>55466888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21.3504768</v>
      </c>
      <c r="CY8">
        <f>AB8</f>
        <v>0.5</v>
      </c>
      <c r="CZ8">
        <f>AF8</f>
        <v>0.5</v>
      </c>
      <c r="DA8">
        <f>AJ8</f>
        <v>1</v>
      </c>
      <c r="DB8">
        <f>ROUND((ROUND(AT8*CZ8,2)*ROUND(0.8,7)),2)</f>
        <v>3.13</v>
      </c>
      <c r="DC8">
        <f>ROUND((ROUND(AT8*AG8,2)*ROUND(0.8,7)),2)</f>
        <v>0</v>
      </c>
    </row>
    <row r="9" spans="1:107" ht="12.75">
      <c r="A9">
        <f>ROW(Source!A30)</f>
        <v>30</v>
      </c>
      <c r="B9">
        <v>55457795</v>
      </c>
      <c r="C9">
        <v>55466884</v>
      </c>
      <c r="D9">
        <v>53642555</v>
      </c>
      <c r="E9">
        <v>1</v>
      </c>
      <c r="F9">
        <v>1</v>
      </c>
      <c r="G9">
        <v>1</v>
      </c>
      <c r="H9">
        <v>3</v>
      </c>
      <c r="I9" t="s">
        <v>49</v>
      </c>
      <c r="J9" t="s">
        <v>51</v>
      </c>
      <c r="K9" t="s">
        <v>50</v>
      </c>
      <c r="L9">
        <v>1339</v>
      </c>
      <c r="N9">
        <v>1007</v>
      </c>
      <c r="O9" t="s">
        <v>47</v>
      </c>
      <c r="P9" t="s">
        <v>47</v>
      </c>
      <c r="Q9">
        <v>1</v>
      </c>
      <c r="W9">
        <v>1</v>
      </c>
      <c r="X9">
        <v>-143474561</v>
      </c>
      <c r="Y9">
        <v>0</v>
      </c>
      <c r="AA9">
        <v>2.44</v>
      </c>
      <c r="AB9">
        <v>0</v>
      </c>
      <c r="AC9">
        <v>0</v>
      </c>
      <c r="AD9">
        <v>0</v>
      </c>
      <c r="AE9">
        <v>2.44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-3.5</v>
      </c>
      <c r="AU9" t="s">
        <v>37</v>
      </c>
      <c r="AV9">
        <v>0</v>
      </c>
      <c r="AW9">
        <v>2</v>
      </c>
      <c r="AX9">
        <v>55466889</v>
      </c>
      <c r="AY9">
        <v>1</v>
      </c>
      <c r="AZ9">
        <v>4096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0</v>
      </c>
      <c r="CY9">
        <f>AA9</f>
        <v>2.44</v>
      </c>
      <c r="CZ9">
        <f>AE9</f>
        <v>2.44</v>
      </c>
      <c r="DA9">
        <f>AI9</f>
        <v>1</v>
      </c>
      <c r="DB9">
        <f>ROUND((ROUND(AT9*CZ9,2)*ROUND(0,7)),2)</f>
        <v>0</v>
      </c>
      <c r="DC9">
        <f>ROUND((ROUND(AT9*AG9,2)*ROUND(0,7)),2)</f>
        <v>0</v>
      </c>
    </row>
    <row r="10" spans="1:107" ht="12.75">
      <c r="A10">
        <f>ROW(Source!A30)</f>
        <v>30</v>
      </c>
      <c r="B10">
        <v>55457795</v>
      </c>
      <c r="C10">
        <v>55466884</v>
      </c>
      <c r="D10">
        <v>53631145</v>
      </c>
      <c r="E10">
        <v>70</v>
      </c>
      <c r="F10">
        <v>1</v>
      </c>
      <c r="G10">
        <v>1</v>
      </c>
      <c r="H10">
        <v>3</v>
      </c>
      <c r="I10" t="s">
        <v>45</v>
      </c>
      <c r="K10" t="s">
        <v>46</v>
      </c>
      <c r="L10">
        <v>1339</v>
      </c>
      <c r="N10">
        <v>1007</v>
      </c>
      <c r="O10" t="s">
        <v>47</v>
      </c>
      <c r="P10" t="s">
        <v>47</v>
      </c>
      <c r="Q10">
        <v>1</v>
      </c>
      <c r="W10">
        <v>0</v>
      </c>
      <c r="X10">
        <v>-2113302258</v>
      </c>
      <c r="Y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1</v>
      </c>
      <c r="AQ10">
        <v>0</v>
      </c>
      <c r="AR10">
        <v>0</v>
      </c>
      <c r="AT10">
        <v>2.04</v>
      </c>
      <c r="AU10" t="s">
        <v>37</v>
      </c>
      <c r="AV10">
        <v>0</v>
      </c>
      <c r="AW10">
        <v>2</v>
      </c>
      <c r="AX10">
        <v>55466890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0</v>
      </c>
      <c r="CY10">
        <f>AA10</f>
        <v>0</v>
      </c>
      <c r="CZ10">
        <f>AE10</f>
        <v>0</v>
      </c>
      <c r="DA10">
        <f>AI10</f>
        <v>1</v>
      </c>
      <c r="DB10">
        <f>ROUND((ROUND(AT10*CZ10,2)*ROUND(0,7)),2)</f>
        <v>0</v>
      </c>
      <c r="DC10">
        <f>ROUND((ROUND(AT10*AG10,2)*ROUND(0,7)),2)</f>
        <v>0</v>
      </c>
    </row>
    <row r="11" spans="1:107" ht="12.75">
      <c r="A11">
        <f>ROW(Source!A31)</f>
        <v>31</v>
      </c>
      <c r="B11">
        <v>55457796</v>
      </c>
      <c r="C11">
        <v>55466884</v>
      </c>
      <c r="D11">
        <v>53630041</v>
      </c>
      <c r="E11">
        <v>70</v>
      </c>
      <c r="F11">
        <v>1</v>
      </c>
      <c r="G11">
        <v>1</v>
      </c>
      <c r="H11">
        <v>1</v>
      </c>
      <c r="I11" t="s">
        <v>297</v>
      </c>
      <c r="K11" t="s">
        <v>298</v>
      </c>
      <c r="L11">
        <v>1191</v>
      </c>
      <c r="N11">
        <v>1013</v>
      </c>
      <c r="O11" t="s">
        <v>292</v>
      </c>
      <c r="P11" t="s">
        <v>292</v>
      </c>
      <c r="Q11">
        <v>1</v>
      </c>
      <c r="W11">
        <v>0</v>
      </c>
      <c r="X11">
        <v>-366857280</v>
      </c>
      <c r="Y11">
        <v>28.480000000000004</v>
      </c>
      <c r="AA11">
        <v>0</v>
      </c>
      <c r="AB11">
        <v>0</v>
      </c>
      <c r="AC11">
        <v>0</v>
      </c>
      <c r="AD11">
        <v>289.57</v>
      </c>
      <c r="AE11">
        <v>0</v>
      </c>
      <c r="AF11">
        <v>0</v>
      </c>
      <c r="AG11">
        <v>0</v>
      </c>
      <c r="AH11">
        <v>7.94</v>
      </c>
      <c r="AI11">
        <v>1</v>
      </c>
      <c r="AJ11">
        <v>1</v>
      </c>
      <c r="AK11">
        <v>1</v>
      </c>
      <c r="AL11">
        <v>36.47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35.6</v>
      </c>
      <c r="AU11" t="s">
        <v>38</v>
      </c>
      <c r="AV11">
        <v>1</v>
      </c>
      <c r="AW11">
        <v>2</v>
      </c>
      <c r="AX11">
        <v>55466885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Y11*Source!I31</f>
        <v>97.196544</v>
      </c>
      <c r="CY11">
        <f>AD11</f>
        <v>289.57</v>
      </c>
      <c r="CZ11">
        <f>AH11</f>
        <v>7.94</v>
      </c>
      <c r="DA11">
        <f>AL11</f>
        <v>36.47</v>
      </c>
      <c r="DB11">
        <f>ROUND((ROUND(AT11*CZ11,2)*ROUND(0.8,7)),2)</f>
        <v>226.13</v>
      </c>
      <c r="DC11">
        <f>ROUND((ROUND(AT11*AG11,2)*ROUND(0.8,7)),2)</f>
        <v>0</v>
      </c>
    </row>
    <row r="12" spans="1:107" ht="12.75">
      <c r="A12">
        <f>ROW(Source!A31)</f>
        <v>31</v>
      </c>
      <c r="B12">
        <v>55457796</v>
      </c>
      <c r="C12">
        <v>55466884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299</v>
      </c>
      <c r="K12" t="s">
        <v>300</v>
      </c>
      <c r="L12">
        <v>1191</v>
      </c>
      <c r="N12">
        <v>1013</v>
      </c>
      <c r="O12" t="s">
        <v>292</v>
      </c>
      <c r="P12" t="s">
        <v>292</v>
      </c>
      <c r="Q12">
        <v>1</v>
      </c>
      <c r="W12">
        <v>0</v>
      </c>
      <c r="X12">
        <v>-1417349443</v>
      </c>
      <c r="Y12">
        <v>1.016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36.47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1.27</v>
      </c>
      <c r="AU12" t="s">
        <v>38</v>
      </c>
      <c r="AV12">
        <v>2</v>
      </c>
      <c r="AW12">
        <v>2</v>
      </c>
      <c r="AX12">
        <v>55466886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Y12*Source!I31</f>
        <v>3.4674047999999997</v>
      </c>
      <c r="CY12">
        <f>AD12</f>
        <v>0</v>
      </c>
      <c r="CZ12">
        <f>AH12</f>
        <v>0</v>
      </c>
      <c r="DA12">
        <f>AL12</f>
        <v>1</v>
      </c>
      <c r="DB12">
        <f>ROUND((ROUND(AT12*CZ12,2)*ROUND(0.8,7)),2)</f>
        <v>0</v>
      </c>
      <c r="DC12">
        <f>ROUND((ROUND(AT12*AG12,2)*ROUND(0.8,7)),2)</f>
        <v>0</v>
      </c>
    </row>
    <row r="13" spans="1:107" ht="12.75">
      <c r="A13">
        <f>ROW(Source!A31)</f>
        <v>31</v>
      </c>
      <c r="B13">
        <v>55457796</v>
      </c>
      <c r="C13">
        <v>55466884</v>
      </c>
      <c r="D13">
        <v>53792191</v>
      </c>
      <c r="E13">
        <v>1</v>
      </c>
      <c r="F13">
        <v>1</v>
      </c>
      <c r="G13">
        <v>1</v>
      </c>
      <c r="H13">
        <v>2</v>
      </c>
      <c r="I13" t="s">
        <v>301</v>
      </c>
      <c r="J13" t="s">
        <v>302</v>
      </c>
      <c r="K13" t="s">
        <v>303</v>
      </c>
      <c r="L13">
        <v>1367</v>
      </c>
      <c r="N13">
        <v>1011</v>
      </c>
      <c r="O13" t="s">
        <v>304</v>
      </c>
      <c r="P13" t="s">
        <v>304</v>
      </c>
      <c r="Q13">
        <v>1</v>
      </c>
      <c r="W13">
        <v>0</v>
      </c>
      <c r="X13">
        <v>1232162608</v>
      </c>
      <c r="Y13">
        <v>1.016</v>
      </c>
      <c r="AA13">
        <v>0</v>
      </c>
      <c r="AB13">
        <v>405.44</v>
      </c>
      <c r="AC13">
        <v>492.35</v>
      </c>
      <c r="AD13">
        <v>0</v>
      </c>
      <c r="AE13">
        <v>0</v>
      </c>
      <c r="AF13">
        <v>31.26</v>
      </c>
      <c r="AG13">
        <v>13.5</v>
      </c>
      <c r="AH13">
        <v>0</v>
      </c>
      <c r="AI13">
        <v>1</v>
      </c>
      <c r="AJ13">
        <v>12.97</v>
      </c>
      <c r="AK13">
        <v>36.47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1.27</v>
      </c>
      <c r="AU13" t="s">
        <v>38</v>
      </c>
      <c r="AV13">
        <v>0</v>
      </c>
      <c r="AW13">
        <v>2</v>
      </c>
      <c r="AX13">
        <v>55466887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Y13*Source!I31</f>
        <v>3.4674047999999997</v>
      </c>
      <c r="CY13">
        <f>AB13</f>
        <v>405.44</v>
      </c>
      <c r="CZ13">
        <f>AF13</f>
        <v>31.26</v>
      </c>
      <c r="DA13">
        <f>AJ13</f>
        <v>12.97</v>
      </c>
      <c r="DB13">
        <f>ROUND((ROUND(AT13*CZ13,2)*ROUND(0.8,7)),2)</f>
        <v>31.76</v>
      </c>
      <c r="DC13">
        <f>ROUND((ROUND(AT13*AG13,2)*ROUND(0.8,7)),2)</f>
        <v>13.72</v>
      </c>
    </row>
    <row r="14" spans="1:107" ht="12.75">
      <c r="A14">
        <f>ROW(Source!A31)</f>
        <v>31</v>
      </c>
      <c r="B14">
        <v>55457796</v>
      </c>
      <c r="C14">
        <v>55466884</v>
      </c>
      <c r="D14">
        <v>53792275</v>
      </c>
      <c r="E14">
        <v>1</v>
      </c>
      <c r="F14">
        <v>1</v>
      </c>
      <c r="G14">
        <v>1</v>
      </c>
      <c r="H14">
        <v>2</v>
      </c>
      <c r="I14" t="s">
        <v>305</v>
      </c>
      <c r="J14" t="s">
        <v>306</v>
      </c>
      <c r="K14" t="s">
        <v>307</v>
      </c>
      <c r="L14">
        <v>1367</v>
      </c>
      <c r="N14">
        <v>1011</v>
      </c>
      <c r="O14" t="s">
        <v>304</v>
      </c>
      <c r="P14" t="s">
        <v>304</v>
      </c>
      <c r="Q14">
        <v>1</v>
      </c>
      <c r="W14">
        <v>0</v>
      </c>
      <c r="X14">
        <v>-1322498708</v>
      </c>
      <c r="Y14">
        <v>6.256</v>
      </c>
      <c r="AA14">
        <v>0</v>
      </c>
      <c r="AB14">
        <v>6.49</v>
      </c>
      <c r="AC14">
        <v>0</v>
      </c>
      <c r="AD14">
        <v>0</v>
      </c>
      <c r="AE14">
        <v>0</v>
      </c>
      <c r="AF14">
        <v>0.5</v>
      </c>
      <c r="AG14">
        <v>0</v>
      </c>
      <c r="AH14">
        <v>0</v>
      </c>
      <c r="AI14">
        <v>1</v>
      </c>
      <c r="AJ14">
        <v>12.97</v>
      </c>
      <c r="AK14">
        <v>36.47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7.82</v>
      </c>
      <c r="AU14" t="s">
        <v>38</v>
      </c>
      <c r="AV14">
        <v>0</v>
      </c>
      <c r="AW14">
        <v>2</v>
      </c>
      <c r="AX14">
        <v>55466888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Y14*Source!I31</f>
        <v>21.3504768</v>
      </c>
      <c r="CY14">
        <f>AB14</f>
        <v>6.49</v>
      </c>
      <c r="CZ14">
        <f>AF14</f>
        <v>0.5</v>
      </c>
      <c r="DA14">
        <f>AJ14</f>
        <v>12.97</v>
      </c>
      <c r="DB14">
        <f>ROUND((ROUND(AT14*CZ14,2)*ROUND(0.8,7)),2)</f>
        <v>3.13</v>
      </c>
      <c r="DC14">
        <f>ROUND((ROUND(AT14*AG14,2)*ROUND(0.8,7)),2)</f>
        <v>0</v>
      </c>
    </row>
    <row r="15" spans="1:107" ht="12.75">
      <c r="A15">
        <f>ROW(Source!A31)</f>
        <v>31</v>
      </c>
      <c r="B15">
        <v>55457796</v>
      </c>
      <c r="C15">
        <v>55466884</v>
      </c>
      <c r="D15">
        <v>53642555</v>
      </c>
      <c r="E15">
        <v>1</v>
      </c>
      <c r="F15">
        <v>1</v>
      </c>
      <c r="G15">
        <v>1</v>
      </c>
      <c r="H15">
        <v>3</v>
      </c>
      <c r="I15" t="s">
        <v>49</v>
      </c>
      <c r="J15" t="s">
        <v>51</v>
      </c>
      <c r="K15" t="s">
        <v>50</v>
      </c>
      <c r="L15">
        <v>1339</v>
      </c>
      <c r="N15">
        <v>1007</v>
      </c>
      <c r="O15" t="s">
        <v>47</v>
      </c>
      <c r="P15" t="s">
        <v>47</v>
      </c>
      <c r="Q15">
        <v>1</v>
      </c>
      <c r="W15">
        <v>1</v>
      </c>
      <c r="X15">
        <v>-143474561</v>
      </c>
      <c r="Y15">
        <v>0</v>
      </c>
      <c r="AA15">
        <v>16.64</v>
      </c>
      <c r="AB15">
        <v>0</v>
      </c>
      <c r="AC15">
        <v>0</v>
      </c>
      <c r="AD15">
        <v>0</v>
      </c>
      <c r="AE15">
        <v>2.44</v>
      </c>
      <c r="AF15">
        <v>0</v>
      </c>
      <c r="AG15">
        <v>0</v>
      </c>
      <c r="AH15">
        <v>0</v>
      </c>
      <c r="AI15">
        <v>6.82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-3.5</v>
      </c>
      <c r="AU15" t="s">
        <v>37</v>
      </c>
      <c r="AV15">
        <v>0</v>
      </c>
      <c r="AW15">
        <v>2</v>
      </c>
      <c r="AX15">
        <v>55466889</v>
      </c>
      <c r="AY15">
        <v>1</v>
      </c>
      <c r="AZ15">
        <v>4096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Y15*Source!I31</f>
        <v>0</v>
      </c>
      <c r="CY15">
        <f>AA15</f>
        <v>16.64</v>
      </c>
      <c r="CZ15">
        <f>AE15</f>
        <v>2.44</v>
      </c>
      <c r="DA15">
        <f>AI15</f>
        <v>6.82</v>
      </c>
      <c r="DB15">
        <f>ROUND((ROUND(AT15*CZ15,2)*ROUND(0,7)),2)</f>
        <v>0</v>
      </c>
      <c r="DC15">
        <f>ROUND((ROUND(AT15*AG15,2)*ROUND(0,7)),2)</f>
        <v>0</v>
      </c>
    </row>
    <row r="16" spans="1:107" ht="12.75">
      <c r="A16">
        <f>ROW(Source!A31)</f>
        <v>31</v>
      </c>
      <c r="B16">
        <v>55457796</v>
      </c>
      <c r="C16">
        <v>55466884</v>
      </c>
      <c r="D16">
        <v>53631145</v>
      </c>
      <c r="E16">
        <v>70</v>
      </c>
      <c r="F16">
        <v>1</v>
      </c>
      <c r="G16">
        <v>1</v>
      </c>
      <c r="H16">
        <v>3</v>
      </c>
      <c r="I16" t="s">
        <v>45</v>
      </c>
      <c r="K16" t="s">
        <v>46</v>
      </c>
      <c r="L16">
        <v>1339</v>
      </c>
      <c r="N16">
        <v>1007</v>
      </c>
      <c r="O16" t="s">
        <v>47</v>
      </c>
      <c r="P16" t="s">
        <v>47</v>
      </c>
      <c r="Q16">
        <v>1</v>
      </c>
      <c r="W16">
        <v>0</v>
      </c>
      <c r="X16">
        <v>-2113302258</v>
      </c>
      <c r="Y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6.82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1</v>
      </c>
      <c r="AQ16">
        <v>0</v>
      </c>
      <c r="AR16">
        <v>0</v>
      </c>
      <c r="AT16">
        <v>2.04</v>
      </c>
      <c r="AU16" t="s">
        <v>37</v>
      </c>
      <c r="AV16">
        <v>0</v>
      </c>
      <c r="AW16">
        <v>2</v>
      </c>
      <c r="AX16">
        <v>55466890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0</v>
      </c>
      <c r="CY16">
        <f>AA16</f>
        <v>0</v>
      </c>
      <c r="CZ16">
        <f>AE16</f>
        <v>0</v>
      </c>
      <c r="DA16">
        <f>AI16</f>
        <v>6.82</v>
      </c>
      <c r="DB16">
        <f>ROUND((ROUND(AT16*CZ16,2)*ROUND(0,7)),2)</f>
        <v>0</v>
      </c>
      <c r="DC16">
        <f>ROUND((ROUND(AT16*AG16,2)*ROUND(0,7)),2)</f>
        <v>0</v>
      </c>
    </row>
    <row r="17" spans="1:107" ht="12.75">
      <c r="A17">
        <f>ROW(Source!A71)</f>
        <v>71</v>
      </c>
      <c r="B17">
        <v>55457795</v>
      </c>
      <c r="C17">
        <v>55458052</v>
      </c>
      <c r="D17">
        <v>49459389</v>
      </c>
      <c r="E17">
        <v>58</v>
      </c>
      <c r="F17">
        <v>1</v>
      </c>
      <c r="G17">
        <v>1</v>
      </c>
      <c r="H17">
        <v>1</v>
      </c>
      <c r="I17" t="s">
        <v>308</v>
      </c>
      <c r="K17" t="s">
        <v>309</v>
      </c>
      <c r="L17">
        <v>1191</v>
      </c>
      <c r="N17">
        <v>1013</v>
      </c>
      <c r="O17" t="s">
        <v>292</v>
      </c>
      <c r="P17" t="s">
        <v>292</v>
      </c>
      <c r="Q17">
        <v>1</v>
      </c>
      <c r="W17">
        <v>0</v>
      </c>
      <c r="X17">
        <v>1010519658</v>
      </c>
      <c r="Y17">
        <v>27.945</v>
      </c>
      <c r="AA17">
        <v>0</v>
      </c>
      <c r="AB17">
        <v>0</v>
      </c>
      <c r="AC17">
        <v>0</v>
      </c>
      <c r="AD17">
        <v>8.64</v>
      </c>
      <c r="AE17">
        <v>0</v>
      </c>
      <c r="AF17">
        <v>0</v>
      </c>
      <c r="AG17">
        <v>0</v>
      </c>
      <c r="AH17">
        <v>8.64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24.3</v>
      </c>
      <c r="AU17" t="s">
        <v>112</v>
      </c>
      <c r="AV17">
        <v>1</v>
      </c>
      <c r="AW17">
        <v>2</v>
      </c>
      <c r="AX17">
        <v>55458061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Y17*Source!I71</f>
        <v>95.370696</v>
      </c>
      <c r="CY17">
        <f>AD17</f>
        <v>8.64</v>
      </c>
      <c r="CZ17">
        <f>AH17</f>
        <v>8.64</v>
      </c>
      <c r="DA17">
        <f>AL17</f>
        <v>1</v>
      </c>
      <c r="DB17">
        <f>ROUND((ROUND(AT17*CZ17,2)*ROUND(1.15,7)),2)</f>
        <v>241.44</v>
      </c>
      <c r="DC17">
        <f>ROUND((ROUND(AT17*AG17,2)*ROUND(1.15,7)),2)</f>
        <v>0</v>
      </c>
    </row>
    <row r="18" spans="1:107" ht="12.75">
      <c r="A18">
        <f>ROW(Source!A71)</f>
        <v>71</v>
      </c>
      <c r="B18">
        <v>55457795</v>
      </c>
      <c r="C18">
        <v>55458052</v>
      </c>
      <c r="D18">
        <v>49459566</v>
      </c>
      <c r="E18">
        <v>58</v>
      </c>
      <c r="F18">
        <v>1</v>
      </c>
      <c r="G18">
        <v>1</v>
      </c>
      <c r="H18">
        <v>1</v>
      </c>
      <c r="I18" t="s">
        <v>310</v>
      </c>
      <c r="K18" t="s">
        <v>300</v>
      </c>
      <c r="L18">
        <v>1191</v>
      </c>
      <c r="N18">
        <v>1013</v>
      </c>
      <c r="O18" t="s">
        <v>292</v>
      </c>
      <c r="P18" t="s">
        <v>292</v>
      </c>
      <c r="Q18">
        <v>1</v>
      </c>
      <c r="W18">
        <v>0</v>
      </c>
      <c r="X18">
        <v>-1173606021</v>
      </c>
      <c r="Y18">
        <v>2.425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1.94</v>
      </c>
      <c r="AU18" t="s">
        <v>111</v>
      </c>
      <c r="AV18">
        <v>2</v>
      </c>
      <c r="AW18">
        <v>2</v>
      </c>
      <c r="AX18">
        <v>55458062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Y18*Source!I71</f>
        <v>8.276039999999998</v>
      </c>
      <c r="CY18">
        <f>AD18</f>
        <v>0</v>
      </c>
      <c r="CZ18">
        <f>AH18</f>
        <v>0</v>
      </c>
      <c r="DA18">
        <f>AL18</f>
        <v>1</v>
      </c>
      <c r="DB18">
        <f>ROUND((ROUND(AT18*CZ18,2)*ROUND(1.25,7)),2)</f>
        <v>0</v>
      </c>
      <c r="DC18">
        <f>ROUND((ROUND(AT18*AG18,2)*ROUND(1.25,7)),2)</f>
        <v>0</v>
      </c>
    </row>
    <row r="19" spans="1:107" ht="12.75">
      <c r="A19">
        <f>ROW(Source!A71)</f>
        <v>71</v>
      </c>
      <c r="B19">
        <v>55457795</v>
      </c>
      <c r="C19">
        <v>55458052</v>
      </c>
      <c r="D19">
        <v>49620286</v>
      </c>
      <c r="E19">
        <v>1</v>
      </c>
      <c r="F19">
        <v>1</v>
      </c>
      <c r="G19">
        <v>1</v>
      </c>
      <c r="H19">
        <v>2</v>
      </c>
      <c r="I19" t="s">
        <v>311</v>
      </c>
      <c r="J19" t="s">
        <v>312</v>
      </c>
      <c r="K19" t="s">
        <v>313</v>
      </c>
      <c r="L19">
        <v>1368</v>
      </c>
      <c r="N19">
        <v>1011</v>
      </c>
      <c r="O19" t="s">
        <v>296</v>
      </c>
      <c r="P19" t="s">
        <v>296</v>
      </c>
      <c r="Q19">
        <v>1</v>
      </c>
      <c r="W19">
        <v>0</v>
      </c>
      <c r="X19">
        <v>-1554407757</v>
      </c>
      <c r="Y19">
        <v>0.8500000000000001</v>
      </c>
      <c r="AA19">
        <v>0</v>
      </c>
      <c r="AB19">
        <v>86.4</v>
      </c>
      <c r="AC19">
        <v>13.5</v>
      </c>
      <c r="AD19">
        <v>0</v>
      </c>
      <c r="AE19">
        <v>0</v>
      </c>
      <c r="AF19">
        <v>86.4</v>
      </c>
      <c r="AG19">
        <v>13.5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0.68</v>
      </c>
      <c r="AU19" t="s">
        <v>111</v>
      </c>
      <c r="AV19">
        <v>0</v>
      </c>
      <c r="AW19">
        <v>2</v>
      </c>
      <c r="AX19">
        <v>55458063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Y19*Source!I71</f>
        <v>2.9008800000000003</v>
      </c>
      <c r="CY19">
        <f>AB19</f>
        <v>86.4</v>
      </c>
      <c r="CZ19">
        <f>AF19</f>
        <v>86.4</v>
      </c>
      <c r="DA19">
        <f>AJ19</f>
        <v>1</v>
      </c>
      <c r="DB19">
        <f>ROUND((ROUND(AT19*CZ19,2)*ROUND(1.25,7)),2)</f>
        <v>73.44</v>
      </c>
      <c r="DC19">
        <f>ROUND((ROUND(AT19*AG19,2)*ROUND(1.25,7)),2)</f>
        <v>11.48</v>
      </c>
    </row>
    <row r="20" spans="1:107" ht="12.75">
      <c r="A20">
        <f>ROW(Source!A71)</f>
        <v>71</v>
      </c>
      <c r="B20">
        <v>55457795</v>
      </c>
      <c r="C20">
        <v>55458052</v>
      </c>
      <c r="D20">
        <v>49620499</v>
      </c>
      <c r="E20">
        <v>1</v>
      </c>
      <c r="F20">
        <v>1</v>
      </c>
      <c r="G20">
        <v>1</v>
      </c>
      <c r="H20">
        <v>2</v>
      </c>
      <c r="I20" t="s">
        <v>314</v>
      </c>
      <c r="J20" t="s">
        <v>315</v>
      </c>
      <c r="K20" t="s">
        <v>316</v>
      </c>
      <c r="L20">
        <v>1368</v>
      </c>
      <c r="N20">
        <v>1011</v>
      </c>
      <c r="O20" t="s">
        <v>296</v>
      </c>
      <c r="P20" t="s">
        <v>296</v>
      </c>
      <c r="Q20">
        <v>1</v>
      </c>
      <c r="W20">
        <v>0</v>
      </c>
      <c r="X20">
        <v>-1845589996</v>
      </c>
      <c r="Y20">
        <v>1.575</v>
      </c>
      <c r="AA20">
        <v>0</v>
      </c>
      <c r="AB20">
        <v>89.99</v>
      </c>
      <c r="AC20">
        <v>10.06</v>
      </c>
      <c r="AD20">
        <v>0</v>
      </c>
      <c r="AE20">
        <v>0</v>
      </c>
      <c r="AF20">
        <v>89.99</v>
      </c>
      <c r="AG20">
        <v>10.06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1.26</v>
      </c>
      <c r="AU20" t="s">
        <v>111</v>
      </c>
      <c r="AV20">
        <v>0</v>
      </c>
      <c r="AW20">
        <v>2</v>
      </c>
      <c r="AX20">
        <v>55458064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Y20*Source!I71</f>
        <v>5.375159999999999</v>
      </c>
      <c r="CY20">
        <f>AB20</f>
        <v>89.99</v>
      </c>
      <c r="CZ20">
        <f>AF20</f>
        <v>89.99</v>
      </c>
      <c r="DA20">
        <f>AJ20</f>
        <v>1</v>
      </c>
      <c r="DB20">
        <f>ROUND((ROUND(AT20*CZ20,2)*ROUND(1.25,7)),2)</f>
        <v>141.74</v>
      </c>
      <c r="DC20">
        <f>ROUND((ROUND(AT20*AG20,2)*ROUND(1.25,7)),2)</f>
        <v>15.85</v>
      </c>
    </row>
    <row r="21" spans="1:107" ht="12.75">
      <c r="A21">
        <f>ROW(Source!A71)</f>
        <v>71</v>
      </c>
      <c r="B21">
        <v>55457795</v>
      </c>
      <c r="C21">
        <v>55458052</v>
      </c>
      <c r="D21">
        <v>49620642</v>
      </c>
      <c r="E21">
        <v>1</v>
      </c>
      <c r="F21">
        <v>1</v>
      </c>
      <c r="G21">
        <v>1</v>
      </c>
      <c r="H21">
        <v>2</v>
      </c>
      <c r="I21" t="s">
        <v>317</v>
      </c>
      <c r="J21" t="s">
        <v>318</v>
      </c>
      <c r="K21" t="s">
        <v>319</v>
      </c>
      <c r="L21">
        <v>1368</v>
      </c>
      <c r="N21">
        <v>1011</v>
      </c>
      <c r="O21" t="s">
        <v>296</v>
      </c>
      <c r="P21" t="s">
        <v>296</v>
      </c>
      <c r="Q21">
        <v>1</v>
      </c>
      <c r="W21">
        <v>0</v>
      </c>
      <c r="X21">
        <v>1974224678</v>
      </c>
      <c r="Y21">
        <v>2.8625</v>
      </c>
      <c r="AA21">
        <v>0</v>
      </c>
      <c r="AB21">
        <v>7.77</v>
      </c>
      <c r="AC21">
        <v>0</v>
      </c>
      <c r="AD21">
        <v>0</v>
      </c>
      <c r="AE21">
        <v>0</v>
      </c>
      <c r="AF21">
        <v>7.77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2.29</v>
      </c>
      <c r="AU21" t="s">
        <v>111</v>
      </c>
      <c r="AV21">
        <v>0</v>
      </c>
      <c r="AW21">
        <v>2</v>
      </c>
      <c r="AX21">
        <v>55458065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Y21*Source!I71</f>
        <v>9.769139999999998</v>
      </c>
      <c r="CY21">
        <f>AB21</f>
        <v>7.77</v>
      </c>
      <c r="CZ21">
        <f>AF21</f>
        <v>7.77</v>
      </c>
      <c r="DA21">
        <f>AJ21</f>
        <v>1</v>
      </c>
      <c r="DB21">
        <f>ROUND((ROUND(AT21*CZ21,2)*ROUND(1.25,7)),2)</f>
        <v>22.24</v>
      </c>
      <c r="DC21">
        <f>ROUND((ROUND(AT21*AG21,2)*ROUND(1.25,7)),2)</f>
        <v>0</v>
      </c>
    </row>
    <row r="22" spans="1:107" ht="12.75">
      <c r="A22">
        <f>ROW(Source!A71)</f>
        <v>71</v>
      </c>
      <c r="B22">
        <v>55457795</v>
      </c>
      <c r="C22">
        <v>55458052</v>
      </c>
      <c r="D22">
        <v>49471536</v>
      </c>
      <c r="E22">
        <v>1</v>
      </c>
      <c r="F22">
        <v>1</v>
      </c>
      <c r="G22">
        <v>1</v>
      </c>
      <c r="H22">
        <v>3</v>
      </c>
      <c r="I22" t="s">
        <v>49</v>
      </c>
      <c r="J22" t="s">
        <v>51</v>
      </c>
      <c r="K22" t="s">
        <v>50</v>
      </c>
      <c r="L22">
        <v>1339</v>
      </c>
      <c r="N22">
        <v>1007</v>
      </c>
      <c r="O22" t="s">
        <v>47</v>
      </c>
      <c r="P22" t="s">
        <v>47</v>
      </c>
      <c r="Q22">
        <v>1</v>
      </c>
      <c r="W22">
        <v>0</v>
      </c>
      <c r="X22">
        <v>-1033255509</v>
      </c>
      <c r="Y22">
        <v>3.85</v>
      </c>
      <c r="AA22">
        <v>2.44</v>
      </c>
      <c r="AB22">
        <v>0</v>
      </c>
      <c r="AC22">
        <v>0</v>
      </c>
      <c r="AD22">
        <v>0</v>
      </c>
      <c r="AE22">
        <v>2.44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3.85</v>
      </c>
      <c r="AV22">
        <v>0</v>
      </c>
      <c r="AW22">
        <v>2</v>
      </c>
      <c r="AX22">
        <v>55458066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Y22*Source!I71</f>
        <v>13.13928</v>
      </c>
      <c r="CY22">
        <f>AA22</f>
        <v>2.44</v>
      </c>
      <c r="CZ22">
        <f>AE22</f>
        <v>2.44</v>
      </c>
      <c r="DA22">
        <f>AI22</f>
        <v>1</v>
      </c>
      <c r="DB22">
        <f>ROUND(ROUND(AT22*CZ22,2),2)</f>
        <v>9.39</v>
      </c>
      <c r="DC22">
        <f>ROUND(ROUND(AT22*AG22,2),2)</f>
        <v>0</v>
      </c>
    </row>
    <row r="23" spans="1:107" ht="12.75">
      <c r="A23">
        <f>ROW(Source!A71)</f>
        <v>71</v>
      </c>
      <c r="B23">
        <v>55457795</v>
      </c>
      <c r="C23">
        <v>55458052</v>
      </c>
      <c r="D23">
        <v>53648308</v>
      </c>
      <c r="E23">
        <v>1</v>
      </c>
      <c r="F23">
        <v>1</v>
      </c>
      <c r="G23">
        <v>1</v>
      </c>
      <c r="H23">
        <v>3</v>
      </c>
      <c r="I23" t="s">
        <v>121</v>
      </c>
      <c r="J23" t="s">
        <v>124</v>
      </c>
      <c r="K23" t="s">
        <v>122</v>
      </c>
      <c r="L23">
        <v>1348</v>
      </c>
      <c r="N23">
        <v>1009</v>
      </c>
      <c r="O23" t="s">
        <v>123</v>
      </c>
      <c r="P23" t="s">
        <v>123</v>
      </c>
      <c r="Q23">
        <v>1000</v>
      </c>
      <c r="W23">
        <v>0</v>
      </c>
      <c r="X23">
        <v>-1961211957</v>
      </c>
      <c r="Y23">
        <v>2.707965</v>
      </c>
      <c r="AA23">
        <v>1243.05</v>
      </c>
      <c r="AB23">
        <v>0</v>
      </c>
      <c r="AC23">
        <v>0</v>
      </c>
      <c r="AD23">
        <v>0</v>
      </c>
      <c r="AE23">
        <v>1243.05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2.707965</v>
      </c>
      <c r="AV23">
        <v>0</v>
      </c>
      <c r="AW23">
        <v>1</v>
      </c>
      <c r="AX23">
        <v>-1</v>
      </c>
      <c r="AY23">
        <v>0</v>
      </c>
      <c r="AZ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Y23*Source!I71</f>
        <v>9.241742952000001</v>
      </c>
      <c r="CY23">
        <f>AA23</f>
        <v>1243.05</v>
      </c>
      <c r="CZ23">
        <f>AE23</f>
        <v>1243.05</v>
      </c>
      <c r="DA23">
        <f>AI23</f>
        <v>1</v>
      </c>
      <c r="DB23">
        <f>ROUND(ROUND(AT23*CZ23,2),2)</f>
        <v>3366.14</v>
      </c>
      <c r="DC23">
        <f>ROUND(ROUND(AT23*AG23,2),2)</f>
        <v>0</v>
      </c>
    </row>
    <row r="24" spans="1:107" ht="12.75">
      <c r="A24">
        <f>ROW(Source!A71)</f>
        <v>71</v>
      </c>
      <c r="B24">
        <v>55457795</v>
      </c>
      <c r="C24">
        <v>55458052</v>
      </c>
      <c r="D24">
        <v>49497472</v>
      </c>
      <c r="E24">
        <v>1</v>
      </c>
      <c r="F24">
        <v>1</v>
      </c>
      <c r="G24">
        <v>1</v>
      </c>
      <c r="H24">
        <v>3</v>
      </c>
      <c r="I24" t="s">
        <v>320</v>
      </c>
      <c r="J24" t="s">
        <v>321</v>
      </c>
      <c r="K24" t="s">
        <v>322</v>
      </c>
      <c r="L24">
        <v>1327</v>
      </c>
      <c r="N24">
        <v>1005</v>
      </c>
      <c r="O24" t="s">
        <v>144</v>
      </c>
      <c r="P24" t="s">
        <v>144</v>
      </c>
      <c r="Q24">
        <v>1</v>
      </c>
      <c r="W24">
        <v>0</v>
      </c>
      <c r="X24">
        <v>1228981401</v>
      </c>
      <c r="Y24">
        <v>4.4</v>
      </c>
      <c r="AA24">
        <v>6.2</v>
      </c>
      <c r="AB24">
        <v>0</v>
      </c>
      <c r="AC24">
        <v>0</v>
      </c>
      <c r="AD24">
        <v>0</v>
      </c>
      <c r="AE24">
        <v>6.2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4.4</v>
      </c>
      <c r="AV24">
        <v>0</v>
      </c>
      <c r="AW24">
        <v>2</v>
      </c>
      <c r="AX24">
        <v>55458068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Y24*Source!I71</f>
        <v>15.01632</v>
      </c>
      <c r="CY24">
        <f>AA24</f>
        <v>6.2</v>
      </c>
      <c r="CZ24">
        <f>AE24</f>
        <v>6.2</v>
      </c>
      <c r="DA24">
        <f>AI24</f>
        <v>1</v>
      </c>
      <c r="DB24">
        <f>ROUND(ROUND(AT24*CZ24,2),2)</f>
        <v>27.28</v>
      </c>
      <c r="DC24">
        <f>ROUND(ROUND(AT24*AG24,2),2)</f>
        <v>0</v>
      </c>
    </row>
    <row r="25" spans="1:107" ht="12.75">
      <c r="A25">
        <f>ROW(Source!A72)</f>
        <v>72</v>
      </c>
      <c r="B25">
        <v>55457796</v>
      </c>
      <c r="C25">
        <v>55458052</v>
      </c>
      <c r="D25">
        <v>49459389</v>
      </c>
      <c r="E25">
        <v>58</v>
      </c>
      <c r="F25">
        <v>1</v>
      </c>
      <c r="G25">
        <v>1</v>
      </c>
      <c r="H25">
        <v>1</v>
      </c>
      <c r="I25" t="s">
        <v>308</v>
      </c>
      <c r="K25" t="s">
        <v>309</v>
      </c>
      <c r="L25">
        <v>1191</v>
      </c>
      <c r="N25">
        <v>1013</v>
      </c>
      <c r="O25" t="s">
        <v>292</v>
      </c>
      <c r="P25" t="s">
        <v>292</v>
      </c>
      <c r="Q25">
        <v>1</v>
      </c>
      <c r="W25">
        <v>0</v>
      </c>
      <c r="X25">
        <v>1010519658</v>
      </c>
      <c r="Y25">
        <v>27.945</v>
      </c>
      <c r="AA25">
        <v>0</v>
      </c>
      <c r="AB25">
        <v>0</v>
      </c>
      <c r="AC25">
        <v>0</v>
      </c>
      <c r="AD25">
        <v>315.1</v>
      </c>
      <c r="AE25">
        <v>0</v>
      </c>
      <c r="AF25">
        <v>0</v>
      </c>
      <c r="AG25">
        <v>0</v>
      </c>
      <c r="AH25">
        <v>8.64</v>
      </c>
      <c r="AI25">
        <v>1</v>
      </c>
      <c r="AJ25">
        <v>1</v>
      </c>
      <c r="AK25">
        <v>1</v>
      </c>
      <c r="AL25">
        <v>36.47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24.3</v>
      </c>
      <c r="AU25" t="s">
        <v>112</v>
      </c>
      <c r="AV25">
        <v>1</v>
      </c>
      <c r="AW25">
        <v>2</v>
      </c>
      <c r="AX25">
        <v>55458061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Y25*Source!I72</f>
        <v>95.370696</v>
      </c>
      <c r="CY25">
        <f>AD25</f>
        <v>315.1</v>
      </c>
      <c r="CZ25">
        <f>AH25</f>
        <v>8.64</v>
      </c>
      <c r="DA25">
        <f>AL25</f>
        <v>36.47</v>
      </c>
      <c r="DB25">
        <f>ROUND((ROUND(AT25*CZ25,2)*ROUND(1.15,7)),2)</f>
        <v>241.44</v>
      </c>
      <c r="DC25">
        <f>ROUND((ROUND(AT25*AG25,2)*ROUND(1.15,7)),2)</f>
        <v>0</v>
      </c>
    </row>
    <row r="26" spans="1:107" ht="12.75">
      <c r="A26">
        <f>ROW(Source!A72)</f>
        <v>72</v>
      </c>
      <c r="B26">
        <v>55457796</v>
      </c>
      <c r="C26">
        <v>55458052</v>
      </c>
      <c r="D26">
        <v>49459566</v>
      </c>
      <c r="E26">
        <v>58</v>
      </c>
      <c r="F26">
        <v>1</v>
      </c>
      <c r="G26">
        <v>1</v>
      </c>
      <c r="H26">
        <v>1</v>
      </c>
      <c r="I26" t="s">
        <v>310</v>
      </c>
      <c r="K26" t="s">
        <v>300</v>
      </c>
      <c r="L26">
        <v>1191</v>
      </c>
      <c r="N26">
        <v>1013</v>
      </c>
      <c r="O26" t="s">
        <v>292</v>
      </c>
      <c r="P26" t="s">
        <v>292</v>
      </c>
      <c r="Q26">
        <v>1</v>
      </c>
      <c r="W26">
        <v>0</v>
      </c>
      <c r="X26">
        <v>-1173606021</v>
      </c>
      <c r="Y26">
        <v>2.425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36.47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1.94</v>
      </c>
      <c r="AU26" t="s">
        <v>111</v>
      </c>
      <c r="AV26">
        <v>2</v>
      </c>
      <c r="AW26">
        <v>2</v>
      </c>
      <c r="AX26">
        <v>55458062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Y26*Source!I72</f>
        <v>8.276039999999998</v>
      </c>
      <c r="CY26">
        <f>AD26</f>
        <v>0</v>
      </c>
      <c r="CZ26">
        <f>AH26</f>
        <v>0</v>
      </c>
      <c r="DA26">
        <f>AL26</f>
        <v>1</v>
      </c>
      <c r="DB26">
        <f>ROUND((ROUND(AT26*CZ26,2)*ROUND(1.25,7)),2)</f>
        <v>0</v>
      </c>
      <c r="DC26">
        <f>ROUND((ROUND(AT26*AG26,2)*ROUND(1.25,7)),2)</f>
        <v>0</v>
      </c>
    </row>
    <row r="27" spans="1:107" ht="12.75">
      <c r="A27">
        <f>ROW(Source!A72)</f>
        <v>72</v>
      </c>
      <c r="B27">
        <v>55457796</v>
      </c>
      <c r="C27">
        <v>55458052</v>
      </c>
      <c r="D27">
        <v>49620286</v>
      </c>
      <c r="E27">
        <v>1</v>
      </c>
      <c r="F27">
        <v>1</v>
      </c>
      <c r="G27">
        <v>1</v>
      </c>
      <c r="H27">
        <v>2</v>
      </c>
      <c r="I27" t="s">
        <v>311</v>
      </c>
      <c r="J27" t="s">
        <v>312</v>
      </c>
      <c r="K27" t="s">
        <v>313</v>
      </c>
      <c r="L27">
        <v>1368</v>
      </c>
      <c r="N27">
        <v>1011</v>
      </c>
      <c r="O27" t="s">
        <v>296</v>
      </c>
      <c r="P27" t="s">
        <v>296</v>
      </c>
      <c r="Q27">
        <v>1</v>
      </c>
      <c r="W27">
        <v>0</v>
      </c>
      <c r="X27">
        <v>-1554407757</v>
      </c>
      <c r="Y27">
        <v>0.8500000000000001</v>
      </c>
      <c r="AA27">
        <v>0</v>
      </c>
      <c r="AB27">
        <v>1120.61</v>
      </c>
      <c r="AC27">
        <v>492.35</v>
      </c>
      <c r="AD27">
        <v>0</v>
      </c>
      <c r="AE27">
        <v>0</v>
      </c>
      <c r="AF27">
        <v>86.4</v>
      </c>
      <c r="AG27">
        <v>13.5</v>
      </c>
      <c r="AH27">
        <v>0</v>
      </c>
      <c r="AI27">
        <v>1</v>
      </c>
      <c r="AJ27">
        <v>12.97</v>
      </c>
      <c r="AK27">
        <v>36.47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0.68</v>
      </c>
      <c r="AU27" t="s">
        <v>111</v>
      </c>
      <c r="AV27">
        <v>0</v>
      </c>
      <c r="AW27">
        <v>2</v>
      </c>
      <c r="AX27">
        <v>55458063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Y27*Source!I72</f>
        <v>2.9008800000000003</v>
      </c>
      <c r="CY27">
        <f>AB27</f>
        <v>1120.61</v>
      </c>
      <c r="CZ27">
        <f>AF27</f>
        <v>86.4</v>
      </c>
      <c r="DA27">
        <f>AJ27</f>
        <v>12.97</v>
      </c>
      <c r="DB27">
        <f>ROUND((ROUND(AT27*CZ27,2)*ROUND(1.25,7)),2)</f>
        <v>73.44</v>
      </c>
      <c r="DC27">
        <f>ROUND((ROUND(AT27*AG27,2)*ROUND(1.25,7)),2)</f>
        <v>11.48</v>
      </c>
    </row>
    <row r="28" spans="1:107" ht="12.75">
      <c r="A28">
        <f>ROW(Source!A72)</f>
        <v>72</v>
      </c>
      <c r="B28">
        <v>55457796</v>
      </c>
      <c r="C28">
        <v>55458052</v>
      </c>
      <c r="D28">
        <v>49620499</v>
      </c>
      <c r="E28">
        <v>1</v>
      </c>
      <c r="F28">
        <v>1</v>
      </c>
      <c r="G28">
        <v>1</v>
      </c>
      <c r="H28">
        <v>2</v>
      </c>
      <c r="I28" t="s">
        <v>314</v>
      </c>
      <c r="J28" t="s">
        <v>315</v>
      </c>
      <c r="K28" t="s">
        <v>316</v>
      </c>
      <c r="L28">
        <v>1368</v>
      </c>
      <c r="N28">
        <v>1011</v>
      </c>
      <c r="O28" t="s">
        <v>296</v>
      </c>
      <c r="P28" t="s">
        <v>296</v>
      </c>
      <c r="Q28">
        <v>1</v>
      </c>
      <c r="W28">
        <v>0</v>
      </c>
      <c r="X28">
        <v>-1845589996</v>
      </c>
      <c r="Y28">
        <v>1.575</v>
      </c>
      <c r="AA28">
        <v>0</v>
      </c>
      <c r="AB28">
        <v>1167.17</v>
      </c>
      <c r="AC28">
        <v>366.89</v>
      </c>
      <c r="AD28">
        <v>0</v>
      </c>
      <c r="AE28">
        <v>0</v>
      </c>
      <c r="AF28">
        <v>89.99</v>
      </c>
      <c r="AG28">
        <v>10.06</v>
      </c>
      <c r="AH28">
        <v>0</v>
      </c>
      <c r="AI28">
        <v>1</v>
      </c>
      <c r="AJ28">
        <v>12.97</v>
      </c>
      <c r="AK28">
        <v>36.47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1.26</v>
      </c>
      <c r="AU28" t="s">
        <v>111</v>
      </c>
      <c r="AV28">
        <v>0</v>
      </c>
      <c r="AW28">
        <v>2</v>
      </c>
      <c r="AX28">
        <v>55458064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Y28*Source!I72</f>
        <v>5.375159999999999</v>
      </c>
      <c r="CY28">
        <f>AB28</f>
        <v>1167.17</v>
      </c>
      <c r="CZ28">
        <f>AF28</f>
        <v>89.99</v>
      </c>
      <c r="DA28">
        <f>AJ28</f>
        <v>12.97</v>
      </c>
      <c r="DB28">
        <f>ROUND((ROUND(AT28*CZ28,2)*ROUND(1.25,7)),2)</f>
        <v>141.74</v>
      </c>
      <c r="DC28">
        <f>ROUND((ROUND(AT28*AG28,2)*ROUND(1.25,7)),2)</f>
        <v>15.85</v>
      </c>
    </row>
    <row r="29" spans="1:107" ht="12.75">
      <c r="A29">
        <f>ROW(Source!A72)</f>
        <v>72</v>
      </c>
      <c r="B29">
        <v>55457796</v>
      </c>
      <c r="C29">
        <v>55458052</v>
      </c>
      <c r="D29">
        <v>49620642</v>
      </c>
      <c r="E29">
        <v>1</v>
      </c>
      <c r="F29">
        <v>1</v>
      </c>
      <c r="G29">
        <v>1</v>
      </c>
      <c r="H29">
        <v>2</v>
      </c>
      <c r="I29" t="s">
        <v>317</v>
      </c>
      <c r="J29" t="s">
        <v>318</v>
      </c>
      <c r="K29" t="s">
        <v>319</v>
      </c>
      <c r="L29">
        <v>1368</v>
      </c>
      <c r="N29">
        <v>1011</v>
      </c>
      <c r="O29" t="s">
        <v>296</v>
      </c>
      <c r="P29" t="s">
        <v>296</v>
      </c>
      <c r="Q29">
        <v>1</v>
      </c>
      <c r="W29">
        <v>0</v>
      </c>
      <c r="X29">
        <v>1974224678</v>
      </c>
      <c r="Y29">
        <v>2.8625</v>
      </c>
      <c r="AA29">
        <v>0</v>
      </c>
      <c r="AB29">
        <v>100.78</v>
      </c>
      <c r="AC29">
        <v>0</v>
      </c>
      <c r="AD29">
        <v>0</v>
      </c>
      <c r="AE29">
        <v>0</v>
      </c>
      <c r="AF29">
        <v>7.77</v>
      </c>
      <c r="AG29">
        <v>0</v>
      </c>
      <c r="AH29">
        <v>0</v>
      </c>
      <c r="AI29">
        <v>1</v>
      </c>
      <c r="AJ29">
        <v>12.97</v>
      </c>
      <c r="AK29">
        <v>36.47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2.29</v>
      </c>
      <c r="AU29" t="s">
        <v>111</v>
      </c>
      <c r="AV29">
        <v>0</v>
      </c>
      <c r="AW29">
        <v>2</v>
      </c>
      <c r="AX29">
        <v>55458065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Y29*Source!I72</f>
        <v>9.769139999999998</v>
      </c>
      <c r="CY29">
        <f>AB29</f>
        <v>100.78</v>
      </c>
      <c r="CZ29">
        <f>AF29</f>
        <v>7.77</v>
      </c>
      <c r="DA29">
        <f>AJ29</f>
        <v>12.97</v>
      </c>
      <c r="DB29">
        <f>ROUND((ROUND(AT29*CZ29,2)*ROUND(1.25,7)),2)</f>
        <v>22.24</v>
      </c>
      <c r="DC29">
        <f>ROUND((ROUND(AT29*AG29,2)*ROUND(1.25,7)),2)</f>
        <v>0</v>
      </c>
    </row>
    <row r="30" spans="1:107" ht="12.75">
      <c r="A30">
        <f>ROW(Source!A72)</f>
        <v>72</v>
      </c>
      <c r="B30">
        <v>55457796</v>
      </c>
      <c r="C30">
        <v>55458052</v>
      </c>
      <c r="D30">
        <v>49471536</v>
      </c>
      <c r="E30">
        <v>1</v>
      </c>
      <c r="F30">
        <v>1</v>
      </c>
      <c r="G30">
        <v>1</v>
      </c>
      <c r="H30">
        <v>3</v>
      </c>
      <c r="I30" t="s">
        <v>49</v>
      </c>
      <c r="J30" t="s">
        <v>51</v>
      </c>
      <c r="K30" t="s">
        <v>50</v>
      </c>
      <c r="L30">
        <v>1339</v>
      </c>
      <c r="N30">
        <v>1007</v>
      </c>
      <c r="O30" t="s">
        <v>47</v>
      </c>
      <c r="P30" t="s">
        <v>47</v>
      </c>
      <c r="Q30">
        <v>1</v>
      </c>
      <c r="W30">
        <v>0</v>
      </c>
      <c r="X30">
        <v>-1033255509</v>
      </c>
      <c r="Y30">
        <v>3.85</v>
      </c>
      <c r="AA30">
        <v>16.64</v>
      </c>
      <c r="AB30">
        <v>0</v>
      </c>
      <c r="AC30">
        <v>0</v>
      </c>
      <c r="AD30">
        <v>0</v>
      </c>
      <c r="AE30">
        <v>2.44</v>
      </c>
      <c r="AF30">
        <v>0</v>
      </c>
      <c r="AG30">
        <v>0</v>
      </c>
      <c r="AH30">
        <v>0</v>
      </c>
      <c r="AI30">
        <v>6.82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3.85</v>
      </c>
      <c r="AV30">
        <v>0</v>
      </c>
      <c r="AW30">
        <v>2</v>
      </c>
      <c r="AX30">
        <v>55458066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Y30*Source!I72</f>
        <v>13.13928</v>
      </c>
      <c r="CY30">
        <f>AA30</f>
        <v>16.64</v>
      </c>
      <c r="CZ30">
        <f>AE30</f>
        <v>2.44</v>
      </c>
      <c r="DA30">
        <f>AI30</f>
        <v>6.82</v>
      </c>
      <c r="DB30">
        <f>ROUND(ROUND(AT30*CZ30,2),2)</f>
        <v>9.39</v>
      </c>
      <c r="DC30">
        <f>ROUND(ROUND(AT30*AG30,2),2)</f>
        <v>0</v>
      </c>
    </row>
    <row r="31" spans="1:107" ht="12.75">
      <c r="A31">
        <f>ROW(Source!A72)</f>
        <v>72</v>
      </c>
      <c r="B31">
        <v>55457796</v>
      </c>
      <c r="C31">
        <v>55458052</v>
      </c>
      <c r="D31">
        <v>53648308</v>
      </c>
      <c r="E31">
        <v>1</v>
      </c>
      <c r="F31">
        <v>1</v>
      </c>
      <c r="G31">
        <v>1</v>
      </c>
      <c r="H31">
        <v>3</v>
      </c>
      <c r="I31" t="s">
        <v>121</v>
      </c>
      <c r="J31" t="s">
        <v>124</v>
      </c>
      <c r="K31" t="s">
        <v>122</v>
      </c>
      <c r="L31">
        <v>1348</v>
      </c>
      <c r="N31">
        <v>1009</v>
      </c>
      <c r="O31" t="s">
        <v>123</v>
      </c>
      <c r="P31" t="s">
        <v>123</v>
      </c>
      <c r="Q31">
        <v>1000</v>
      </c>
      <c r="W31">
        <v>0</v>
      </c>
      <c r="X31">
        <v>-1961211957</v>
      </c>
      <c r="Y31">
        <v>2.707965</v>
      </c>
      <c r="AA31">
        <v>8477.6</v>
      </c>
      <c r="AB31">
        <v>0</v>
      </c>
      <c r="AC31">
        <v>0</v>
      </c>
      <c r="AD31">
        <v>0</v>
      </c>
      <c r="AE31">
        <v>1243.05</v>
      </c>
      <c r="AF31">
        <v>0</v>
      </c>
      <c r="AG31">
        <v>0</v>
      </c>
      <c r="AH31">
        <v>0</v>
      </c>
      <c r="AI31">
        <v>6.82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2.707965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Y31*Source!I72</f>
        <v>9.241742952000001</v>
      </c>
      <c r="CY31">
        <f>AA31</f>
        <v>8477.6</v>
      </c>
      <c r="CZ31">
        <f>AE31</f>
        <v>1243.05</v>
      </c>
      <c r="DA31">
        <f>AI31</f>
        <v>6.82</v>
      </c>
      <c r="DB31">
        <f>ROUND(ROUND(AT31*CZ31,2),2)</f>
        <v>3366.14</v>
      </c>
      <c r="DC31">
        <f>ROUND(ROUND(AT31*AG31,2),2)</f>
        <v>0</v>
      </c>
    </row>
    <row r="32" spans="1:107" ht="12.75">
      <c r="A32">
        <f>ROW(Source!A72)</f>
        <v>72</v>
      </c>
      <c r="B32">
        <v>55457796</v>
      </c>
      <c r="C32">
        <v>55458052</v>
      </c>
      <c r="D32">
        <v>49497472</v>
      </c>
      <c r="E32">
        <v>1</v>
      </c>
      <c r="F32">
        <v>1</v>
      </c>
      <c r="G32">
        <v>1</v>
      </c>
      <c r="H32">
        <v>3</v>
      </c>
      <c r="I32" t="s">
        <v>320</v>
      </c>
      <c r="J32" t="s">
        <v>321</v>
      </c>
      <c r="K32" t="s">
        <v>322</v>
      </c>
      <c r="L32">
        <v>1327</v>
      </c>
      <c r="N32">
        <v>1005</v>
      </c>
      <c r="O32" t="s">
        <v>144</v>
      </c>
      <c r="P32" t="s">
        <v>144</v>
      </c>
      <c r="Q32">
        <v>1</v>
      </c>
      <c r="W32">
        <v>0</v>
      </c>
      <c r="X32">
        <v>1228981401</v>
      </c>
      <c r="Y32">
        <v>4.4</v>
      </c>
      <c r="AA32">
        <v>42.28</v>
      </c>
      <c r="AB32">
        <v>0</v>
      </c>
      <c r="AC32">
        <v>0</v>
      </c>
      <c r="AD32">
        <v>0</v>
      </c>
      <c r="AE32">
        <v>6.2</v>
      </c>
      <c r="AF32">
        <v>0</v>
      </c>
      <c r="AG32">
        <v>0</v>
      </c>
      <c r="AH32">
        <v>0</v>
      </c>
      <c r="AI32">
        <v>6.82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4.4</v>
      </c>
      <c r="AV32">
        <v>0</v>
      </c>
      <c r="AW32">
        <v>2</v>
      </c>
      <c r="AX32">
        <v>55458068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Y32*Source!I72</f>
        <v>15.01632</v>
      </c>
      <c r="CY32">
        <f>AA32</f>
        <v>42.28</v>
      </c>
      <c r="CZ32">
        <f>AE32</f>
        <v>6.2</v>
      </c>
      <c r="DA32">
        <f>AI32</f>
        <v>6.82</v>
      </c>
      <c r="DB32">
        <f>ROUND(ROUND(AT32*CZ32,2),2)</f>
        <v>27.28</v>
      </c>
      <c r="DC32">
        <f>ROUND(ROUND(AT32*AG32,2),2)</f>
        <v>0</v>
      </c>
    </row>
    <row r="33" spans="1:107" ht="12.75">
      <c r="A33">
        <f>ROW(Source!A75)</f>
        <v>75</v>
      </c>
      <c r="B33">
        <v>55457795</v>
      </c>
      <c r="C33">
        <v>55458070</v>
      </c>
      <c r="D33">
        <v>49459389</v>
      </c>
      <c r="E33">
        <v>58</v>
      </c>
      <c r="F33">
        <v>1</v>
      </c>
      <c r="G33">
        <v>1</v>
      </c>
      <c r="H33">
        <v>1</v>
      </c>
      <c r="I33" t="s">
        <v>308</v>
      </c>
      <c r="K33" t="s">
        <v>309</v>
      </c>
      <c r="L33">
        <v>1191</v>
      </c>
      <c r="N33">
        <v>1013</v>
      </c>
      <c r="O33" t="s">
        <v>292</v>
      </c>
      <c r="P33" t="s">
        <v>292</v>
      </c>
      <c r="Q33">
        <v>1</v>
      </c>
      <c r="W33">
        <v>0</v>
      </c>
      <c r="X33">
        <v>1010519658</v>
      </c>
      <c r="Y33">
        <v>5.75</v>
      </c>
      <c r="AA33">
        <v>0</v>
      </c>
      <c r="AB33">
        <v>0</v>
      </c>
      <c r="AC33">
        <v>0</v>
      </c>
      <c r="AD33">
        <v>8.64</v>
      </c>
      <c r="AE33">
        <v>0</v>
      </c>
      <c r="AF33">
        <v>0</v>
      </c>
      <c r="AG33">
        <v>0</v>
      </c>
      <c r="AH33">
        <v>8.64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</v>
      </c>
      <c r="AU33" t="s">
        <v>131</v>
      </c>
      <c r="AV33">
        <v>1</v>
      </c>
      <c r="AW33">
        <v>2</v>
      </c>
      <c r="AX33">
        <v>55458076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Y33*Source!I75</f>
        <v>19.6236</v>
      </c>
      <c r="CY33">
        <f>AD33</f>
        <v>8.64</v>
      </c>
      <c r="CZ33">
        <f>AH33</f>
        <v>8.64</v>
      </c>
      <c r="DA33">
        <f>AL33</f>
        <v>1</v>
      </c>
      <c r="DB33">
        <f>ROUND((ROUND(AT33*CZ33,2)*ROUND((1.15*5),7)),2)</f>
        <v>49.68</v>
      </c>
      <c r="DC33">
        <f>ROUND((ROUND(AT33*AG33,2)*ROUND((1.15*5),7)),2)</f>
        <v>0</v>
      </c>
    </row>
    <row r="34" spans="1:107" ht="12.75">
      <c r="A34">
        <f>ROW(Source!A75)</f>
        <v>75</v>
      </c>
      <c r="B34">
        <v>55457795</v>
      </c>
      <c r="C34">
        <v>55458070</v>
      </c>
      <c r="D34">
        <v>49459566</v>
      </c>
      <c r="E34">
        <v>58</v>
      </c>
      <c r="F34">
        <v>1</v>
      </c>
      <c r="G34">
        <v>1</v>
      </c>
      <c r="H34">
        <v>1</v>
      </c>
      <c r="I34" t="s">
        <v>310</v>
      </c>
      <c r="K34" t="s">
        <v>300</v>
      </c>
      <c r="L34">
        <v>1191</v>
      </c>
      <c r="N34">
        <v>1013</v>
      </c>
      <c r="O34" t="s">
        <v>292</v>
      </c>
      <c r="P34" t="s">
        <v>292</v>
      </c>
      <c r="Q34">
        <v>1</v>
      </c>
      <c r="W34">
        <v>0</v>
      </c>
      <c r="X34">
        <v>-1173606021</v>
      </c>
      <c r="Y34">
        <v>0.1875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0.03</v>
      </c>
      <c r="AU34" t="s">
        <v>130</v>
      </c>
      <c r="AV34">
        <v>2</v>
      </c>
      <c r="AW34">
        <v>2</v>
      </c>
      <c r="AX34">
        <v>55458077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Y34*Source!I75</f>
        <v>0.6398999999999999</v>
      </c>
      <c r="CY34">
        <f>AD34</f>
        <v>0</v>
      </c>
      <c r="CZ34">
        <f>AH34</f>
        <v>0</v>
      </c>
      <c r="DA34">
        <f>AL34</f>
        <v>1</v>
      </c>
      <c r="DB34">
        <f>ROUND((ROUND(AT34*CZ34,2)*ROUND((1.25*5),7)),2)</f>
        <v>0</v>
      </c>
      <c r="DC34">
        <f>ROUND((ROUND(AT34*AG34,2)*ROUND((1.25*5),7)),2)</f>
        <v>0</v>
      </c>
    </row>
    <row r="35" spans="1:107" ht="12.75">
      <c r="A35">
        <f>ROW(Source!A75)</f>
        <v>75</v>
      </c>
      <c r="B35">
        <v>55457795</v>
      </c>
      <c r="C35">
        <v>55458070</v>
      </c>
      <c r="D35">
        <v>49620286</v>
      </c>
      <c r="E35">
        <v>1</v>
      </c>
      <c r="F35">
        <v>1</v>
      </c>
      <c r="G35">
        <v>1</v>
      </c>
      <c r="H35">
        <v>2</v>
      </c>
      <c r="I35" t="s">
        <v>311</v>
      </c>
      <c r="J35" t="s">
        <v>312</v>
      </c>
      <c r="K35" t="s">
        <v>313</v>
      </c>
      <c r="L35">
        <v>1368</v>
      </c>
      <c r="N35">
        <v>1011</v>
      </c>
      <c r="O35" t="s">
        <v>296</v>
      </c>
      <c r="P35" t="s">
        <v>296</v>
      </c>
      <c r="Q35">
        <v>1</v>
      </c>
      <c r="W35">
        <v>0</v>
      </c>
      <c r="X35">
        <v>-1554407757</v>
      </c>
      <c r="Y35">
        <v>0.0625</v>
      </c>
      <c r="AA35">
        <v>0</v>
      </c>
      <c r="AB35">
        <v>86.4</v>
      </c>
      <c r="AC35">
        <v>13.5</v>
      </c>
      <c r="AD35">
        <v>0</v>
      </c>
      <c r="AE35">
        <v>0</v>
      </c>
      <c r="AF35">
        <v>86.4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0.01</v>
      </c>
      <c r="AU35" t="s">
        <v>130</v>
      </c>
      <c r="AV35">
        <v>0</v>
      </c>
      <c r="AW35">
        <v>2</v>
      </c>
      <c r="AX35">
        <v>55458078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Y35*Source!I75</f>
        <v>0.2133</v>
      </c>
      <c r="CY35">
        <f>AB35</f>
        <v>86.4</v>
      </c>
      <c r="CZ35">
        <f>AF35</f>
        <v>86.4</v>
      </c>
      <c r="DA35">
        <f>AJ35</f>
        <v>1</v>
      </c>
      <c r="DB35">
        <f>ROUND((ROUND(AT35*CZ35,2)*ROUND((1.25*5),7)),2)</f>
        <v>5.38</v>
      </c>
      <c r="DC35">
        <f>ROUND((ROUND(AT35*AG35,2)*ROUND((1.25*5),7)),2)</f>
        <v>0.88</v>
      </c>
    </row>
    <row r="36" spans="1:107" ht="12.75">
      <c r="A36">
        <f>ROW(Source!A75)</f>
        <v>75</v>
      </c>
      <c r="B36">
        <v>55457795</v>
      </c>
      <c r="C36">
        <v>55458070</v>
      </c>
      <c r="D36">
        <v>49620499</v>
      </c>
      <c r="E36">
        <v>1</v>
      </c>
      <c r="F36">
        <v>1</v>
      </c>
      <c r="G36">
        <v>1</v>
      </c>
      <c r="H36">
        <v>2</v>
      </c>
      <c r="I36" t="s">
        <v>314</v>
      </c>
      <c r="J36" t="s">
        <v>315</v>
      </c>
      <c r="K36" t="s">
        <v>316</v>
      </c>
      <c r="L36">
        <v>1368</v>
      </c>
      <c r="N36">
        <v>1011</v>
      </c>
      <c r="O36" t="s">
        <v>296</v>
      </c>
      <c r="P36" t="s">
        <v>296</v>
      </c>
      <c r="Q36">
        <v>1</v>
      </c>
      <c r="W36">
        <v>0</v>
      </c>
      <c r="X36">
        <v>-1845589996</v>
      </c>
      <c r="Y36">
        <v>0.125</v>
      </c>
      <c r="AA36">
        <v>0</v>
      </c>
      <c r="AB36">
        <v>89.99</v>
      </c>
      <c r="AC36">
        <v>10.06</v>
      </c>
      <c r="AD36">
        <v>0</v>
      </c>
      <c r="AE36">
        <v>0</v>
      </c>
      <c r="AF36">
        <v>89.99</v>
      </c>
      <c r="AG36">
        <v>10.06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0.02</v>
      </c>
      <c r="AU36" t="s">
        <v>130</v>
      </c>
      <c r="AV36">
        <v>0</v>
      </c>
      <c r="AW36">
        <v>2</v>
      </c>
      <c r="AX36">
        <v>55458079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Y36*Source!I75</f>
        <v>0.4266</v>
      </c>
      <c r="CY36">
        <f>AB36</f>
        <v>89.99</v>
      </c>
      <c r="CZ36">
        <f>AF36</f>
        <v>89.99</v>
      </c>
      <c r="DA36">
        <f>AJ36</f>
        <v>1</v>
      </c>
      <c r="DB36">
        <f>ROUND((ROUND(AT36*CZ36,2)*ROUND((1.25*5),7)),2)</f>
        <v>11.25</v>
      </c>
      <c r="DC36">
        <f>ROUND((ROUND(AT36*AG36,2)*ROUND((1.25*5),7)),2)</f>
        <v>1.25</v>
      </c>
    </row>
    <row r="37" spans="1:107" ht="12.75">
      <c r="A37">
        <f>ROW(Source!A75)</f>
        <v>75</v>
      </c>
      <c r="B37">
        <v>55457795</v>
      </c>
      <c r="C37">
        <v>55458070</v>
      </c>
      <c r="D37">
        <v>53648308</v>
      </c>
      <c r="E37">
        <v>1</v>
      </c>
      <c r="F37">
        <v>1</v>
      </c>
      <c r="G37">
        <v>1</v>
      </c>
      <c r="H37">
        <v>3</v>
      </c>
      <c r="I37" t="s">
        <v>121</v>
      </c>
      <c r="J37" t="s">
        <v>124</v>
      </c>
      <c r="K37" t="s">
        <v>122</v>
      </c>
      <c r="L37">
        <v>1348</v>
      </c>
      <c r="N37">
        <v>1009</v>
      </c>
      <c r="O37" t="s">
        <v>123</v>
      </c>
      <c r="P37" t="s">
        <v>123</v>
      </c>
      <c r="Q37">
        <v>1000</v>
      </c>
      <c r="W37">
        <v>0</v>
      </c>
      <c r="X37">
        <v>-1961211957</v>
      </c>
      <c r="Y37">
        <v>0.903343</v>
      </c>
      <c r="AA37">
        <v>1243.05</v>
      </c>
      <c r="AB37">
        <v>0</v>
      </c>
      <c r="AC37">
        <v>0</v>
      </c>
      <c r="AD37">
        <v>0</v>
      </c>
      <c r="AE37">
        <v>1243.05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0</v>
      </c>
      <c r="AR37">
        <v>0</v>
      </c>
      <c r="AT37">
        <v>0.903343</v>
      </c>
      <c r="AV37">
        <v>0</v>
      </c>
      <c r="AW37">
        <v>1</v>
      </c>
      <c r="AX37">
        <v>-1</v>
      </c>
      <c r="AY37">
        <v>0</v>
      </c>
      <c r="AZ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Y37*Source!I75</f>
        <v>3.0829289903999997</v>
      </c>
      <c r="CY37">
        <f>AA37</f>
        <v>1243.05</v>
      </c>
      <c r="CZ37">
        <f>AE37</f>
        <v>1243.05</v>
      </c>
      <c r="DA37">
        <f>AI37</f>
        <v>1</v>
      </c>
      <c r="DB37">
        <f>ROUND(ROUND(AT37*CZ37,2),2)</f>
        <v>1122.9</v>
      </c>
      <c r="DC37">
        <f>ROUND(ROUND(AT37*AG37,2),2)</f>
        <v>0</v>
      </c>
    </row>
    <row r="38" spans="1:107" ht="12.75">
      <c r="A38">
        <f>ROW(Source!A76)</f>
        <v>76</v>
      </c>
      <c r="B38">
        <v>55457796</v>
      </c>
      <c r="C38">
        <v>55458070</v>
      </c>
      <c r="D38">
        <v>49459389</v>
      </c>
      <c r="E38">
        <v>58</v>
      </c>
      <c r="F38">
        <v>1</v>
      </c>
      <c r="G38">
        <v>1</v>
      </c>
      <c r="H38">
        <v>1</v>
      </c>
      <c r="I38" t="s">
        <v>308</v>
      </c>
      <c r="K38" t="s">
        <v>309</v>
      </c>
      <c r="L38">
        <v>1191</v>
      </c>
      <c r="N38">
        <v>1013</v>
      </c>
      <c r="O38" t="s">
        <v>292</v>
      </c>
      <c r="P38" t="s">
        <v>292</v>
      </c>
      <c r="Q38">
        <v>1</v>
      </c>
      <c r="W38">
        <v>0</v>
      </c>
      <c r="X38">
        <v>1010519658</v>
      </c>
      <c r="Y38">
        <v>5.75</v>
      </c>
      <c r="AA38">
        <v>0</v>
      </c>
      <c r="AB38">
        <v>0</v>
      </c>
      <c r="AC38">
        <v>0</v>
      </c>
      <c r="AD38">
        <v>315.1</v>
      </c>
      <c r="AE38">
        <v>0</v>
      </c>
      <c r="AF38">
        <v>0</v>
      </c>
      <c r="AG38">
        <v>0</v>
      </c>
      <c r="AH38">
        <v>8.64</v>
      </c>
      <c r="AI38">
        <v>1</v>
      </c>
      <c r="AJ38">
        <v>1</v>
      </c>
      <c r="AK38">
        <v>1</v>
      </c>
      <c r="AL38">
        <v>36.47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1</v>
      </c>
      <c r="AU38" t="s">
        <v>131</v>
      </c>
      <c r="AV38">
        <v>1</v>
      </c>
      <c r="AW38">
        <v>2</v>
      </c>
      <c r="AX38">
        <v>55458076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Y38*Source!I76</f>
        <v>19.6236</v>
      </c>
      <c r="CY38">
        <f>AD38</f>
        <v>315.1</v>
      </c>
      <c r="CZ38">
        <f>AH38</f>
        <v>8.64</v>
      </c>
      <c r="DA38">
        <f>AL38</f>
        <v>36.47</v>
      </c>
      <c r="DB38">
        <f>ROUND((ROUND(AT38*CZ38,2)*ROUND((1.15*5),7)),2)</f>
        <v>49.68</v>
      </c>
      <c r="DC38">
        <f>ROUND((ROUND(AT38*AG38,2)*ROUND((1.15*5),7)),2)</f>
        <v>0</v>
      </c>
    </row>
    <row r="39" spans="1:107" ht="12.75">
      <c r="A39">
        <f>ROW(Source!A76)</f>
        <v>76</v>
      </c>
      <c r="B39">
        <v>55457796</v>
      </c>
      <c r="C39">
        <v>55458070</v>
      </c>
      <c r="D39">
        <v>49459566</v>
      </c>
      <c r="E39">
        <v>58</v>
      </c>
      <c r="F39">
        <v>1</v>
      </c>
      <c r="G39">
        <v>1</v>
      </c>
      <c r="H39">
        <v>1</v>
      </c>
      <c r="I39" t="s">
        <v>310</v>
      </c>
      <c r="K39" t="s">
        <v>300</v>
      </c>
      <c r="L39">
        <v>1191</v>
      </c>
      <c r="N39">
        <v>1013</v>
      </c>
      <c r="O39" t="s">
        <v>292</v>
      </c>
      <c r="P39" t="s">
        <v>292</v>
      </c>
      <c r="Q39">
        <v>1</v>
      </c>
      <c r="W39">
        <v>0</v>
      </c>
      <c r="X39">
        <v>-1173606021</v>
      </c>
      <c r="Y39">
        <v>0.1875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36.47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0.03</v>
      </c>
      <c r="AU39" t="s">
        <v>130</v>
      </c>
      <c r="AV39">
        <v>2</v>
      </c>
      <c r="AW39">
        <v>2</v>
      </c>
      <c r="AX39">
        <v>55458077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Y39*Source!I76</f>
        <v>0.6398999999999999</v>
      </c>
      <c r="CY39">
        <f>AD39</f>
        <v>0</v>
      </c>
      <c r="CZ39">
        <f>AH39</f>
        <v>0</v>
      </c>
      <c r="DA39">
        <f>AL39</f>
        <v>1</v>
      </c>
      <c r="DB39">
        <f>ROUND((ROUND(AT39*CZ39,2)*ROUND((1.25*5),7)),2)</f>
        <v>0</v>
      </c>
      <c r="DC39">
        <f>ROUND((ROUND(AT39*AG39,2)*ROUND((1.25*5),7)),2)</f>
        <v>0</v>
      </c>
    </row>
    <row r="40" spans="1:107" ht="12.75">
      <c r="A40">
        <f>ROW(Source!A76)</f>
        <v>76</v>
      </c>
      <c r="B40">
        <v>55457796</v>
      </c>
      <c r="C40">
        <v>55458070</v>
      </c>
      <c r="D40">
        <v>49620286</v>
      </c>
      <c r="E40">
        <v>1</v>
      </c>
      <c r="F40">
        <v>1</v>
      </c>
      <c r="G40">
        <v>1</v>
      </c>
      <c r="H40">
        <v>2</v>
      </c>
      <c r="I40" t="s">
        <v>311</v>
      </c>
      <c r="J40" t="s">
        <v>312</v>
      </c>
      <c r="K40" t="s">
        <v>313</v>
      </c>
      <c r="L40">
        <v>1368</v>
      </c>
      <c r="N40">
        <v>1011</v>
      </c>
      <c r="O40" t="s">
        <v>296</v>
      </c>
      <c r="P40" t="s">
        <v>296</v>
      </c>
      <c r="Q40">
        <v>1</v>
      </c>
      <c r="W40">
        <v>0</v>
      </c>
      <c r="X40">
        <v>-1554407757</v>
      </c>
      <c r="Y40">
        <v>0.0625</v>
      </c>
      <c r="AA40">
        <v>0</v>
      </c>
      <c r="AB40">
        <v>1120.61</v>
      </c>
      <c r="AC40">
        <v>492.35</v>
      </c>
      <c r="AD40">
        <v>0</v>
      </c>
      <c r="AE40">
        <v>0</v>
      </c>
      <c r="AF40">
        <v>86.4</v>
      </c>
      <c r="AG40">
        <v>13.5</v>
      </c>
      <c r="AH40">
        <v>0</v>
      </c>
      <c r="AI40">
        <v>1</v>
      </c>
      <c r="AJ40">
        <v>12.97</v>
      </c>
      <c r="AK40">
        <v>36.47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0.01</v>
      </c>
      <c r="AU40" t="s">
        <v>130</v>
      </c>
      <c r="AV40">
        <v>0</v>
      </c>
      <c r="AW40">
        <v>2</v>
      </c>
      <c r="AX40">
        <v>55458078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0.2133</v>
      </c>
      <c r="CY40">
        <f>AB40</f>
        <v>1120.61</v>
      </c>
      <c r="CZ40">
        <f>AF40</f>
        <v>86.4</v>
      </c>
      <c r="DA40">
        <f>AJ40</f>
        <v>12.97</v>
      </c>
      <c r="DB40">
        <f>ROUND((ROUND(AT40*CZ40,2)*ROUND((1.25*5),7)),2)</f>
        <v>5.38</v>
      </c>
      <c r="DC40">
        <f>ROUND((ROUND(AT40*AG40,2)*ROUND((1.25*5),7)),2)</f>
        <v>0.88</v>
      </c>
    </row>
    <row r="41" spans="1:107" ht="12.75">
      <c r="A41">
        <f>ROW(Source!A76)</f>
        <v>76</v>
      </c>
      <c r="B41">
        <v>55457796</v>
      </c>
      <c r="C41">
        <v>55458070</v>
      </c>
      <c r="D41">
        <v>49620499</v>
      </c>
      <c r="E41">
        <v>1</v>
      </c>
      <c r="F41">
        <v>1</v>
      </c>
      <c r="G41">
        <v>1</v>
      </c>
      <c r="H41">
        <v>2</v>
      </c>
      <c r="I41" t="s">
        <v>314</v>
      </c>
      <c r="J41" t="s">
        <v>315</v>
      </c>
      <c r="K41" t="s">
        <v>316</v>
      </c>
      <c r="L41">
        <v>1368</v>
      </c>
      <c r="N41">
        <v>1011</v>
      </c>
      <c r="O41" t="s">
        <v>296</v>
      </c>
      <c r="P41" t="s">
        <v>296</v>
      </c>
      <c r="Q41">
        <v>1</v>
      </c>
      <c r="W41">
        <v>0</v>
      </c>
      <c r="X41">
        <v>-1845589996</v>
      </c>
      <c r="Y41">
        <v>0.125</v>
      </c>
      <c r="AA41">
        <v>0</v>
      </c>
      <c r="AB41">
        <v>1167.17</v>
      </c>
      <c r="AC41">
        <v>366.89</v>
      </c>
      <c r="AD41">
        <v>0</v>
      </c>
      <c r="AE41">
        <v>0</v>
      </c>
      <c r="AF41">
        <v>89.99</v>
      </c>
      <c r="AG41">
        <v>10.06</v>
      </c>
      <c r="AH41">
        <v>0</v>
      </c>
      <c r="AI41">
        <v>1</v>
      </c>
      <c r="AJ41">
        <v>12.97</v>
      </c>
      <c r="AK41">
        <v>36.47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0.02</v>
      </c>
      <c r="AU41" t="s">
        <v>130</v>
      </c>
      <c r="AV41">
        <v>0</v>
      </c>
      <c r="AW41">
        <v>2</v>
      </c>
      <c r="AX41">
        <v>55458079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Y41*Source!I76</f>
        <v>0.4266</v>
      </c>
      <c r="CY41">
        <f>AB41</f>
        <v>1167.17</v>
      </c>
      <c r="CZ41">
        <f>AF41</f>
        <v>89.99</v>
      </c>
      <c r="DA41">
        <f>AJ41</f>
        <v>12.97</v>
      </c>
      <c r="DB41">
        <f>ROUND((ROUND(AT41*CZ41,2)*ROUND((1.25*5),7)),2)</f>
        <v>11.25</v>
      </c>
      <c r="DC41">
        <f>ROUND((ROUND(AT41*AG41,2)*ROUND((1.25*5),7)),2)</f>
        <v>1.25</v>
      </c>
    </row>
    <row r="42" spans="1:107" ht="12.75">
      <c r="A42">
        <f>ROW(Source!A76)</f>
        <v>76</v>
      </c>
      <c r="B42">
        <v>55457796</v>
      </c>
      <c r="C42">
        <v>55458070</v>
      </c>
      <c r="D42">
        <v>53648308</v>
      </c>
      <c r="E42">
        <v>1</v>
      </c>
      <c r="F42">
        <v>1</v>
      </c>
      <c r="G42">
        <v>1</v>
      </c>
      <c r="H42">
        <v>3</v>
      </c>
      <c r="I42" t="s">
        <v>121</v>
      </c>
      <c r="J42" t="s">
        <v>124</v>
      </c>
      <c r="K42" t="s">
        <v>122</v>
      </c>
      <c r="L42">
        <v>1348</v>
      </c>
      <c r="N42">
        <v>1009</v>
      </c>
      <c r="O42" t="s">
        <v>123</v>
      </c>
      <c r="P42" t="s">
        <v>123</v>
      </c>
      <c r="Q42">
        <v>1000</v>
      </c>
      <c r="W42">
        <v>0</v>
      </c>
      <c r="X42">
        <v>-1961211957</v>
      </c>
      <c r="Y42">
        <v>0.903343</v>
      </c>
      <c r="AA42">
        <v>8477.6</v>
      </c>
      <c r="AB42">
        <v>0</v>
      </c>
      <c r="AC42">
        <v>0</v>
      </c>
      <c r="AD42">
        <v>0</v>
      </c>
      <c r="AE42">
        <v>1243.05</v>
      </c>
      <c r="AF42">
        <v>0</v>
      </c>
      <c r="AG42">
        <v>0</v>
      </c>
      <c r="AH42">
        <v>0</v>
      </c>
      <c r="AI42">
        <v>6.82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1</v>
      </c>
      <c r="AQ42">
        <v>0</v>
      </c>
      <c r="AR42">
        <v>0</v>
      </c>
      <c r="AT42">
        <v>0.903343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Y42*Source!I76</f>
        <v>3.0829289903999997</v>
      </c>
      <c r="CY42">
        <f>AA42</f>
        <v>8477.6</v>
      </c>
      <c r="CZ42">
        <f>AE42</f>
        <v>1243.05</v>
      </c>
      <c r="DA42">
        <f>AI42</f>
        <v>6.82</v>
      </c>
      <c r="DB42">
        <f>ROUND(ROUND(AT42*CZ42,2),2)</f>
        <v>1122.9</v>
      </c>
      <c r="DC42">
        <f>ROUND(ROUND(AT42*AG42,2),2)</f>
        <v>0</v>
      </c>
    </row>
    <row r="43" spans="1:107" ht="12.75">
      <c r="A43">
        <f>ROW(Source!A79)</f>
        <v>79</v>
      </c>
      <c r="B43">
        <v>55457795</v>
      </c>
      <c r="C43">
        <v>55468395</v>
      </c>
      <c r="D43">
        <v>49459391</v>
      </c>
      <c r="E43">
        <v>58</v>
      </c>
      <c r="F43">
        <v>1</v>
      </c>
      <c r="G43">
        <v>1</v>
      </c>
      <c r="H43">
        <v>1</v>
      </c>
      <c r="I43" t="s">
        <v>323</v>
      </c>
      <c r="K43" t="s">
        <v>324</v>
      </c>
      <c r="L43">
        <v>1191</v>
      </c>
      <c r="N43">
        <v>1013</v>
      </c>
      <c r="O43" t="s">
        <v>292</v>
      </c>
      <c r="P43" t="s">
        <v>292</v>
      </c>
      <c r="Q43">
        <v>1</v>
      </c>
      <c r="W43">
        <v>0</v>
      </c>
      <c r="X43">
        <v>-784637506</v>
      </c>
      <c r="Y43">
        <v>3.2199999999999998</v>
      </c>
      <c r="AA43">
        <v>0</v>
      </c>
      <c r="AB43">
        <v>0</v>
      </c>
      <c r="AC43">
        <v>0</v>
      </c>
      <c r="AD43">
        <v>8.74</v>
      </c>
      <c r="AE43">
        <v>0</v>
      </c>
      <c r="AF43">
        <v>0</v>
      </c>
      <c r="AG43">
        <v>0</v>
      </c>
      <c r="AH43">
        <v>8.74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2.8</v>
      </c>
      <c r="AU43" t="s">
        <v>112</v>
      </c>
      <c r="AV43">
        <v>1</v>
      </c>
      <c r="AW43">
        <v>2</v>
      </c>
      <c r="AX43">
        <v>55468396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Y43*Source!I79</f>
        <v>36.63072</v>
      </c>
      <c r="CY43">
        <f>AD43</f>
        <v>8.74</v>
      </c>
      <c r="CZ43">
        <f>AH43</f>
        <v>8.74</v>
      </c>
      <c r="DA43">
        <f>AL43</f>
        <v>1</v>
      </c>
      <c r="DB43">
        <f>ROUND((ROUND(AT43*CZ43,2)*ROUND(1.15,7)),2)</f>
        <v>28.14</v>
      </c>
      <c r="DC43">
        <f>ROUND((ROUND(AT43*AG43,2)*ROUND(1.15,7)),2)</f>
        <v>0</v>
      </c>
    </row>
    <row r="44" spans="1:107" ht="12.75">
      <c r="A44">
        <f>ROW(Source!A79)</f>
        <v>79</v>
      </c>
      <c r="B44">
        <v>55457795</v>
      </c>
      <c r="C44">
        <v>55468395</v>
      </c>
      <c r="D44">
        <v>49459566</v>
      </c>
      <c r="E44">
        <v>58</v>
      </c>
      <c r="F44">
        <v>1</v>
      </c>
      <c r="G44">
        <v>1</v>
      </c>
      <c r="H44">
        <v>1</v>
      </c>
      <c r="I44" t="s">
        <v>310</v>
      </c>
      <c r="K44" t="s">
        <v>300</v>
      </c>
      <c r="L44">
        <v>1191</v>
      </c>
      <c r="N44">
        <v>1013</v>
      </c>
      <c r="O44" t="s">
        <v>292</v>
      </c>
      <c r="P44" t="s">
        <v>292</v>
      </c>
      <c r="Q44">
        <v>1</v>
      </c>
      <c r="W44">
        <v>0</v>
      </c>
      <c r="X44">
        <v>-1173606021</v>
      </c>
      <c r="Y44">
        <v>0.05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0.04</v>
      </c>
      <c r="AU44" t="s">
        <v>111</v>
      </c>
      <c r="AV44">
        <v>2</v>
      </c>
      <c r="AW44">
        <v>2</v>
      </c>
      <c r="AX44">
        <v>55468397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Y44*Source!I79</f>
        <v>0.5688</v>
      </c>
      <c r="CY44">
        <f>AD44</f>
        <v>0</v>
      </c>
      <c r="CZ44">
        <f>AH44</f>
        <v>0</v>
      </c>
      <c r="DA44">
        <f>AL44</f>
        <v>1</v>
      </c>
      <c r="DB44">
        <f>ROUND((ROUND(AT44*CZ44,2)*ROUND(1.25,7)),2)</f>
        <v>0</v>
      </c>
      <c r="DC44">
        <f>ROUND((ROUND(AT44*AG44,2)*ROUND(1.25,7)),2)</f>
        <v>0</v>
      </c>
    </row>
    <row r="45" spans="1:107" ht="12.75">
      <c r="A45">
        <f>ROW(Source!A79)</f>
        <v>79</v>
      </c>
      <c r="B45">
        <v>55457795</v>
      </c>
      <c r="C45">
        <v>55468395</v>
      </c>
      <c r="D45">
        <v>49621268</v>
      </c>
      <c r="E45">
        <v>1</v>
      </c>
      <c r="F45">
        <v>1</v>
      </c>
      <c r="G45">
        <v>1</v>
      </c>
      <c r="H45">
        <v>2</v>
      </c>
      <c r="I45" t="s">
        <v>325</v>
      </c>
      <c r="J45" t="s">
        <v>326</v>
      </c>
      <c r="K45" t="s">
        <v>327</v>
      </c>
      <c r="L45">
        <v>1368</v>
      </c>
      <c r="N45">
        <v>1011</v>
      </c>
      <c r="O45" t="s">
        <v>296</v>
      </c>
      <c r="P45" t="s">
        <v>296</v>
      </c>
      <c r="Q45">
        <v>1</v>
      </c>
      <c r="W45">
        <v>0</v>
      </c>
      <c r="X45">
        <v>1862470278</v>
      </c>
      <c r="Y45">
        <v>0.05</v>
      </c>
      <c r="AA45">
        <v>0</v>
      </c>
      <c r="AB45">
        <v>65.71</v>
      </c>
      <c r="AC45">
        <v>11.6</v>
      </c>
      <c r="AD45">
        <v>0</v>
      </c>
      <c r="AE45">
        <v>0</v>
      </c>
      <c r="AF45">
        <v>65.71</v>
      </c>
      <c r="AG45">
        <v>11.6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0.04</v>
      </c>
      <c r="AU45" t="s">
        <v>111</v>
      </c>
      <c r="AV45">
        <v>0</v>
      </c>
      <c r="AW45">
        <v>2</v>
      </c>
      <c r="AX45">
        <v>55468398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Y45*Source!I79</f>
        <v>0.5688</v>
      </c>
      <c r="CY45">
        <f>AB45</f>
        <v>65.71</v>
      </c>
      <c r="CZ45">
        <f>AF45</f>
        <v>65.71</v>
      </c>
      <c r="DA45">
        <f>AJ45</f>
        <v>1</v>
      </c>
      <c r="DB45">
        <f>ROUND((ROUND(AT45*CZ45,2)*ROUND(1.25,7)),2)</f>
        <v>3.29</v>
      </c>
      <c r="DC45">
        <f>ROUND((ROUND(AT45*AG45,2)*ROUND(1.25,7)),2)</f>
        <v>0.58</v>
      </c>
    </row>
    <row r="46" spans="1:107" ht="12.75">
      <c r="A46">
        <f>ROW(Source!A79)</f>
        <v>79</v>
      </c>
      <c r="B46">
        <v>55457795</v>
      </c>
      <c r="C46">
        <v>55468395</v>
      </c>
      <c r="D46">
        <v>49469859</v>
      </c>
      <c r="E46">
        <v>1</v>
      </c>
      <c r="F46">
        <v>1</v>
      </c>
      <c r="G46">
        <v>1</v>
      </c>
      <c r="H46">
        <v>3</v>
      </c>
      <c r="I46" t="s">
        <v>328</v>
      </c>
      <c r="J46" t="s">
        <v>329</v>
      </c>
      <c r="K46" t="s">
        <v>330</v>
      </c>
      <c r="L46">
        <v>1348</v>
      </c>
      <c r="N46">
        <v>1009</v>
      </c>
      <c r="O46" t="s">
        <v>123</v>
      </c>
      <c r="P46" t="s">
        <v>123</v>
      </c>
      <c r="Q46">
        <v>1000</v>
      </c>
      <c r="W46">
        <v>0</v>
      </c>
      <c r="X46">
        <v>-1214354032</v>
      </c>
      <c r="Y46">
        <v>0.045</v>
      </c>
      <c r="AA46">
        <v>2000</v>
      </c>
      <c r="AB46">
        <v>0</v>
      </c>
      <c r="AC46">
        <v>0</v>
      </c>
      <c r="AD46">
        <v>0</v>
      </c>
      <c r="AE46">
        <v>2000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0.045</v>
      </c>
      <c r="AV46">
        <v>0</v>
      </c>
      <c r="AW46">
        <v>2</v>
      </c>
      <c r="AX46">
        <v>55468399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Y46*Source!I79</f>
        <v>0.5119199999999999</v>
      </c>
      <c r="CY46">
        <f>AA46</f>
        <v>2000</v>
      </c>
      <c r="CZ46">
        <f>AE46</f>
        <v>2000</v>
      </c>
      <c r="DA46">
        <f>AI46</f>
        <v>1</v>
      </c>
      <c r="DB46">
        <f>ROUND(ROUND(AT46*CZ46,2),2)</f>
        <v>90</v>
      </c>
      <c r="DC46">
        <f>ROUND(ROUND(AT46*AG46,2),2)</f>
        <v>0</v>
      </c>
    </row>
    <row r="47" spans="1:107" ht="12.75">
      <c r="A47">
        <f>ROW(Source!A80)</f>
        <v>80</v>
      </c>
      <c r="B47">
        <v>55457796</v>
      </c>
      <c r="C47">
        <v>55468395</v>
      </c>
      <c r="D47">
        <v>49459391</v>
      </c>
      <c r="E47">
        <v>58</v>
      </c>
      <c r="F47">
        <v>1</v>
      </c>
      <c r="G47">
        <v>1</v>
      </c>
      <c r="H47">
        <v>1</v>
      </c>
      <c r="I47" t="s">
        <v>323</v>
      </c>
      <c r="K47" t="s">
        <v>324</v>
      </c>
      <c r="L47">
        <v>1191</v>
      </c>
      <c r="N47">
        <v>1013</v>
      </c>
      <c r="O47" t="s">
        <v>292</v>
      </c>
      <c r="P47" t="s">
        <v>292</v>
      </c>
      <c r="Q47">
        <v>1</v>
      </c>
      <c r="W47">
        <v>0</v>
      </c>
      <c r="X47">
        <v>-784637506</v>
      </c>
      <c r="Y47">
        <v>3.2199999999999998</v>
      </c>
      <c r="AA47">
        <v>0</v>
      </c>
      <c r="AB47">
        <v>0</v>
      </c>
      <c r="AC47">
        <v>0</v>
      </c>
      <c r="AD47">
        <v>318.75</v>
      </c>
      <c r="AE47">
        <v>0</v>
      </c>
      <c r="AF47">
        <v>0</v>
      </c>
      <c r="AG47">
        <v>0</v>
      </c>
      <c r="AH47">
        <v>8.74</v>
      </c>
      <c r="AI47">
        <v>1</v>
      </c>
      <c r="AJ47">
        <v>1</v>
      </c>
      <c r="AK47">
        <v>1</v>
      </c>
      <c r="AL47">
        <v>36.47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2.8</v>
      </c>
      <c r="AU47" t="s">
        <v>112</v>
      </c>
      <c r="AV47">
        <v>1</v>
      </c>
      <c r="AW47">
        <v>2</v>
      </c>
      <c r="AX47">
        <v>55468396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Y47*Source!I80</f>
        <v>36.63072</v>
      </c>
      <c r="CY47">
        <f>AD47</f>
        <v>318.75</v>
      </c>
      <c r="CZ47">
        <f>AH47</f>
        <v>8.74</v>
      </c>
      <c r="DA47">
        <f>AL47</f>
        <v>36.47</v>
      </c>
      <c r="DB47">
        <f>ROUND((ROUND(AT47*CZ47,2)*ROUND(1.15,7)),2)</f>
        <v>28.14</v>
      </c>
      <c r="DC47">
        <f>ROUND((ROUND(AT47*AG47,2)*ROUND(1.15,7)),2)</f>
        <v>0</v>
      </c>
    </row>
    <row r="48" spans="1:107" ht="12.75">
      <c r="A48">
        <f>ROW(Source!A80)</f>
        <v>80</v>
      </c>
      <c r="B48">
        <v>55457796</v>
      </c>
      <c r="C48">
        <v>55468395</v>
      </c>
      <c r="D48">
        <v>49459566</v>
      </c>
      <c r="E48">
        <v>58</v>
      </c>
      <c r="F48">
        <v>1</v>
      </c>
      <c r="G48">
        <v>1</v>
      </c>
      <c r="H48">
        <v>1</v>
      </c>
      <c r="I48" t="s">
        <v>310</v>
      </c>
      <c r="K48" t="s">
        <v>300</v>
      </c>
      <c r="L48">
        <v>1191</v>
      </c>
      <c r="N48">
        <v>1013</v>
      </c>
      <c r="O48" t="s">
        <v>292</v>
      </c>
      <c r="P48" t="s">
        <v>292</v>
      </c>
      <c r="Q48">
        <v>1</v>
      </c>
      <c r="W48">
        <v>0</v>
      </c>
      <c r="X48">
        <v>-1173606021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36.47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0.04</v>
      </c>
      <c r="AU48" t="s">
        <v>111</v>
      </c>
      <c r="AV48">
        <v>2</v>
      </c>
      <c r="AW48">
        <v>2</v>
      </c>
      <c r="AX48">
        <v>55468397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Y48*Source!I80</f>
        <v>0.5688</v>
      </c>
      <c r="CY48">
        <f>AD48</f>
        <v>0</v>
      </c>
      <c r="CZ48">
        <f>AH48</f>
        <v>0</v>
      </c>
      <c r="DA48">
        <f>AL48</f>
        <v>1</v>
      </c>
      <c r="DB48">
        <f>ROUND((ROUND(AT48*CZ48,2)*ROUND(1.25,7)),2)</f>
        <v>0</v>
      </c>
      <c r="DC48">
        <f>ROUND((ROUND(AT48*AG48,2)*ROUND(1.25,7)),2)</f>
        <v>0</v>
      </c>
    </row>
    <row r="49" spans="1:107" ht="12.75">
      <c r="A49">
        <f>ROW(Source!A80)</f>
        <v>80</v>
      </c>
      <c r="B49">
        <v>55457796</v>
      </c>
      <c r="C49">
        <v>55468395</v>
      </c>
      <c r="D49">
        <v>49621268</v>
      </c>
      <c r="E49">
        <v>1</v>
      </c>
      <c r="F49">
        <v>1</v>
      </c>
      <c r="G49">
        <v>1</v>
      </c>
      <c r="H49">
        <v>2</v>
      </c>
      <c r="I49" t="s">
        <v>325</v>
      </c>
      <c r="J49" t="s">
        <v>326</v>
      </c>
      <c r="K49" t="s">
        <v>327</v>
      </c>
      <c r="L49">
        <v>1368</v>
      </c>
      <c r="N49">
        <v>1011</v>
      </c>
      <c r="O49" t="s">
        <v>296</v>
      </c>
      <c r="P49" t="s">
        <v>296</v>
      </c>
      <c r="Q49">
        <v>1</v>
      </c>
      <c r="W49">
        <v>0</v>
      </c>
      <c r="X49">
        <v>1862470278</v>
      </c>
      <c r="Y49">
        <v>0.05</v>
      </c>
      <c r="AA49">
        <v>0</v>
      </c>
      <c r="AB49">
        <v>852.26</v>
      </c>
      <c r="AC49">
        <v>423.05</v>
      </c>
      <c r="AD49">
        <v>0</v>
      </c>
      <c r="AE49">
        <v>0</v>
      </c>
      <c r="AF49">
        <v>65.71</v>
      </c>
      <c r="AG49">
        <v>11.6</v>
      </c>
      <c r="AH49">
        <v>0</v>
      </c>
      <c r="AI49">
        <v>1</v>
      </c>
      <c r="AJ49">
        <v>12.97</v>
      </c>
      <c r="AK49">
        <v>36.47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0.04</v>
      </c>
      <c r="AU49" t="s">
        <v>111</v>
      </c>
      <c r="AV49">
        <v>0</v>
      </c>
      <c r="AW49">
        <v>2</v>
      </c>
      <c r="AX49">
        <v>55468398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Y49*Source!I80</f>
        <v>0.5688</v>
      </c>
      <c r="CY49">
        <f>AB49</f>
        <v>852.26</v>
      </c>
      <c r="CZ49">
        <f>AF49</f>
        <v>65.71</v>
      </c>
      <c r="DA49">
        <f>AJ49</f>
        <v>12.97</v>
      </c>
      <c r="DB49">
        <f>ROUND((ROUND(AT49*CZ49,2)*ROUND(1.25,7)),2)</f>
        <v>3.29</v>
      </c>
      <c r="DC49">
        <f>ROUND((ROUND(AT49*AG49,2)*ROUND(1.25,7)),2)</f>
        <v>0.58</v>
      </c>
    </row>
    <row r="50" spans="1:107" ht="12.75">
      <c r="A50">
        <f>ROW(Source!A80)</f>
        <v>80</v>
      </c>
      <c r="B50">
        <v>55457796</v>
      </c>
      <c r="C50">
        <v>55468395</v>
      </c>
      <c r="D50">
        <v>49469859</v>
      </c>
      <c r="E50">
        <v>1</v>
      </c>
      <c r="F50">
        <v>1</v>
      </c>
      <c r="G50">
        <v>1</v>
      </c>
      <c r="H50">
        <v>3</v>
      </c>
      <c r="I50" t="s">
        <v>328</v>
      </c>
      <c r="J50" t="s">
        <v>329</v>
      </c>
      <c r="K50" t="s">
        <v>330</v>
      </c>
      <c r="L50">
        <v>1348</v>
      </c>
      <c r="N50">
        <v>1009</v>
      </c>
      <c r="O50" t="s">
        <v>123</v>
      </c>
      <c r="P50" t="s">
        <v>123</v>
      </c>
      <c r="Q50">
        <v>1000</v>
      </c>
      <c r="W50">
        <v>0</v>
      </c>
      <c r="X50">
        <v>-1214354032</v>
      </c>
      <c r="Y50">
        <v>0.045</v>
      </c>
      <c r="AA50">
        <v>13640</v>
      </c>
      <c r="AB50">
        <v>0</v>
      </c>
      <c r="AC50">
        <v>0</v>
      </c>
      <c r="AD50">
        <v>0</v>
      </c>
      <c r="AE50">
        <v>2000</v>
      </c>
      <c r="AF50">
        <v>0</v>
      </c>
      <c r="AG50">
        <v>0</v>
      </c>
      <c r="AH50">
        <v>0</v>
      </c>
      <c r="AI50">
        <v>6.82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0.045</v>
      </c>
      <c r="AV50">
        <v>0</v>
      </c>
      <c r="AW50">
        <v>2</v>
      </c>
      <c r="AX50">
        <v>55468399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Y50*Source!I80</f>
        <v>0.5119199999999999</v>
      </c>
      <c r="CY50">
        <f>AA50</f>
        <v>13640</v>
      </c>
      <c r="CZ50">
        <f>AE50</f>
        <v>2000</v>
      </c>
      <c r="DA50">
        <f>AI50</f>
        <v>6.82</v>
      </c>
      <c r="DB50">
        <f>ROUND(ROUND(AT50*CZ50,2),2)</f>
        <v>90</v>
      </c>
      <c r="DC50">
        <f>ROUND(ROUND(AT50*AG50,2),2)</f>
        <v>0</v>
      </c>
    </row>
    <row r="51" spans="1:107" ht="12.75">
      <c r="A51">
        <f>ROW(Source!A81)</f>
        <v>81</v>
      </c>
      <c r="B51">
        <v>55457795</v>
      </c>
      <c r="C51">
        <v>55458094</v>
      </c>
      <c r="D51">
        <v>49459419</v>
      </c>
      <c r="E51">
        <v>58</v>
      </c>
      <c r="F51">
        <v>1</v>
      </c>
      <c r="G51">
        <v>1</v>
      </c>
      <c r="H51">
        <v>1</v>
      </c>
      <c r="I51" t="s">
        <v>331</v>
      </c>
      <c r="K51" t="s">
        <v>332</v>
      </c>
      <c r="L51">
        <v>1191</v>
      </c>
      <c r="N51">
        <v>1013</v>
      </c>
      <c r="O51" t="s">
        <v>292</v>
      </c>
      <c r="P51" t="s">
        <v>292</v>
      </c>
      <c r="Q51">
        <v>1</v>
      </c>
      <c r="W51">
        <v>0</v>
      </c>
      <c r="X51">
        <v>-1081351934</v>
      </c>
      <c r="Y51">
        <v>16.514</v>
      </c>
      <c r="AA51">
        <v>0</v>
      </c>
      <c r="AB51">
        <v>0</v>
      </c>
      <c r="AC51">
        <v>0</v>
      </c>
      <c r="AD51">
        <v>9.4</v>
      </c>
      <c r="AE51">
        <v>0</v>
      </c>
      <c r="AF51">
        <v>0</v>
      </c>
      <c r="AG51">
        <v>0</v>
      </c>
      <c r="AH51">
        <v>9.4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14.36</v>
      </c>
      <c r="AU51" t="s">
        <v>112</v>
      </c>
      <c r="AV51">
        <v>1</v>
      </c>
      <c r="AW51">
        <v>2</v>
      </c>
      <c r="AX51">
        <v>55458103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Y51*Source!I81</f>
        <v>187.863264</v>
      </c>
      <c r="CY51">
        <f>AD51</f>
        <v>9.4</v>
      </c>
      <c r="CZ51">
        <f>AH51</f>
        <v>9.4</v>
      </c>
      <c r="DA51">
        <f>AL51</f>
        <v>1</v>
      </c>
      <c r="DB51">
        <f>ROUND((ROUND(AT51*CZ51,2)*ROUND(1.15,7)),2)</f>
        <v>155.23</v>
      </c>
      <c r="DC51">
        <f>ROUND((ROUND(AT51*AG51,2)*ROUND(1.15,7)),2)</f>
        <v>0</v>
      </c>
    </row>
    <row r="52" spans="1:107" ht="12.75">
      <c r="A52">
        <f>ROW(Source!A81)</f>
        <v>81</v>
      </c>
      <c r="B52">
        <v>55457795</v>
      </c>
      <c r="C52">
        <v>55458094</v>
      </c>
      <c r="D52">
        <v>49459566</v>
      </c>
      <c r="E52">
        <v>58</v>
      </c>
      <c r="F52">
        <v>1</v>
      </c>
      <c r="G52">
        <v>1</v>
      </c>
      <c r="H52">
        <v>1</v>
      </c>
      <c r="I52" t="s">
        <v>310</v>
      </c>
      <c r="K52" t="s">
        <v>300</v>
      </c>
      <c r="L52">
        <v>1191</v>
      </c>
      <c r="N52">
        <v>1013</v>
      </c>
      <c r="O52" t="s">
        <v>292</v>
      </c>
      <c r="P52" t="s">
        <v>292</v>
      </c>
      <c r="Q52">
        <v>1</v>
      </c>
      <c r="W52">
        <v>0</v>
      </c>
      <c r="X52">
        <v>-1173606021</v>
      </c>
      <c r="Y52">
        <v>0.3625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0.29</v>
      </c>
      <c r="AU52" t="s">
        <v>111</v>
      </c>
      <c r="AV52">
        <v>2</v>
      </c>
      <c r="AW52">
        <v>2</v>
      </c>
      <c r="AX52">
        <v>55458104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Y52*Source!I81</f>
        <v>4.123799999999999</v>
      </c>
      <c r="CY52">
        <f>AD52</f>
        <v>0</v>
      </c>
      <c r="CZ52">
        <f>AH52</f>
        <v>0</v>
      </c>
      <c r="DA52">
        <f>AL52</f>
        <v>1</v>
      </c>
      <c r="DB52">
        <f>ROUND((ROUND(AT52*CZ52,2)*ROUND(1.25,7)),2)</f>
        <v>0</v>
      </c>
      <c r="DC52">
        <f>ROUND((ROUND(AT52*AG52,2)*ROUND(1.25,7)),2)</f>
        <v>0</v>
      </c>
    </row>
    <row r="53" spans="1:107" ht="12.75">
      <c r="A53">
        <f>ROW(Source!A81)</f>
        <v>81</v>
      </c>
      <c r="B53">
        <v>55457795</v>
      </c>
      <c r="C53">
        <v>55458094</v>
      </c>
      <c r="D53">
        <v>49620286</v>
      </c>
      <c r="E53">
        <v>1</v>
      </c>
      <c r="F53">
        <v>1</v>
      </c>
      <c r="G53">
        <v>1</v>
      </c>
      <c r="H53">
        <v>2</v>
      </c>
      <c r="I53" t="s">
        <v>311</v>
      </c>
      <c r="J53" t="s">
        <v>312</v>
      </c>
      <c r="K53" t="s">
        <v>313</v>
      </c>
      <c r="L53">
        <v>1368</v>
      </c>
      <c r="N53">
        <v>1011</v>
      </c>
      <c r="O53" t="s">
        <v>296</v>
      </c>
      <c r="P53" t="s">
        <v>296</v>
      </c>
      <c r="Q53">
        <v>1</v>
      </c>
      <c r="W53">
        <v>0</v>
      </c>
      <c r="X53">
        <v>-1554407757</v>
      </c>
      <c r="Y53">
        <v>0.1875</v>
      </c>
      <c r="AA53">
        <v>0</v>
      </c>
      <c r="AB53">
        <v>86.4</v>
      </c>
      <c r="AC53">
        <v>13.5</v>
      </c>
      <c r="AD53">
        <v>0</v>
      </c>
      <c r="AE53">
        <v>0</v>
      </c>
      <c r="AF53">
        <v>86.4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0.15</v>
      </c>
      <c r="AU53" t="s">
        <v>111</v>
      </c>
      <c r="AV53">
        <v>0</v>
      </c>
      <c r="AW53">
        <v>2</v>
      </c>
      <c r="AX53">
        <v>55458105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Y53*Source!I81</f>
        <v>2.133</v>
      </c>
      <c r="CY53">
        <f>AB53</f>
        <v>86.4</v>
      </c>
      <c r="CZ53">
        <f>AF53</f>
        <v>86.4</v>
      </c>
      <c r="DA53">
        <f>AJ53</f>
        <v>1</v>
      </c>
      <c r="DB53">
        <f>ROUND((ROUND(AT53*CZ53,2)*ROUND(1.25,7)),2)</f>
        <v>16.2</v>
      </c>
      <c r="DC53">
        <f>ROUND((ROUND(AT53*AG53,2)*ROUND(1.25,7)),2)</f>
        <v>2.54</v>
      </c>
    </row>
    <row r="54" spans="1:107" ht="12.75">
      <c r="A54">
        <f>ROW(Source!A81)</f>
        <v>81</v>
      </c>
      <c r="B54">
        <v>55457795</v>
      </c>
      <c r="C54">
        <v>55458094</v>
      </c>
      <c r="D54">
        <v>49620344</v>
      </c>
      <c r="E54">
        <v>1</v>
      </c>
      <c r="F54">
        <v>1</v>
      </c>
      <c r="G54">
        <v>1</v>
      </c>
      <c r="H54">
        <v>2</v>
      </c>
      <c r="I54" t="s">
        <v>333</v>
      </c>
      <c r="J54" t="s">
        <v>334</v>
      </c>
      <c r="K54" t="s">
        <v>335</v>
      </c>
      <c r="L54">
        <v>1368</v>
      </c>
      <c r="N54">
        <v>1011</v>
      </c>
      <c r="O54" t="s">
        <v>296</v>
      </c>
      <c r="P54" t="s">
        <v>296</v>
      </c>
      <c r="Q54">
        <v>1</v>
      </c>
      <c r="W54">
        <v>0</v>
      </c>
      <c r="X54">
        <v>30216853</v>
      </c>
      <c r="Y54">
        <v>0.0625</v>
      </c>
      <c r="AA54">
        <v>0</v>
      </c>
      <c r="AB54">
        <v>115.4</v>
      </c>
      <c r="AC54">
        <v>13.5</v>
      </c>
      <c r="AD54">
        <v>0</v>
      </c>
      <c r="AE54">
        <v>0</v>
      </c>
      <c r="AF54">
        <v>115.4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0.05</v>
      </c>
      <c r="AU54" t="s">
        <v>111</v>
      </c>
      <c r="AV54">
        <v>0</v>
      </c>
      <c r="AW54">
        <v>2</v>
      </c>
      <c r="AX54">
        <v>55458106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Y54*Source!I81</f>
        <v>0.711</v>
      </c>
      <c r="CY54">
        <f>AB54</f>
        <v>115.4</v>
      </c>
      <c r="CZ54">
        <f>AF54</f>
        <v>115.4</v>
      </c>
      <c r="DA54">
        <f>AJ54</f>
        <v>1</v>
      </c>
      <c r="DB54">
        <f>ROUND((ROUND(AT54*CZ54,2)*ROUND(1.25,7)),2)</f>
        <v>7.21</v>
      </c>
      <c r="DC54">
        <f>ROUND((ROUND(AT54*AG54,2)*ROUND(1.25,7)),2)</f>
        <v>0.85</v>
      </c>
    </row>
    <row r="55" spans="1:107" ht="12.75">
      <c r="A55">
        <f>ROW(Source!A81)</f>
        <v>81</v>
      </c>
      <c r="B55">
        <v>55457795</v>
      </c>
      <c r="C55">
        <v>55458094</v>
      </c>
      <c r="D55">
        <v>49621268</v>
      </c>
      <c r="E55">
        <v>1</v>
      </c>
      <c r="F55">
        <v>1</v>
      </c>
      <c r="G55">
        <v>1</v>
      </c>
      <c r="H55">
        <v>2</v>
      </c>
      <c r="I55" t="s">
        <v>325</v>
      </c>
      <c r="J55" t="s">
        <v>326</v>
      </c>
      <c r="K55" t="s">
        <v>327</v>
      </c>
      <c r="L55">
        <v>1368</v>
      </c>
      <c r="N55">
        <v>1011</v>
      </c>
      <c r="O55" t="s">
        <v>296</v>
      </c>
      <c r="P55" t="s">
        <v>296</v>
      </c>
      <c r="Q55">
        <v>1</v>
      </c>
      <c r="W55">
        <v>0</v>
      </c>
      <c r="X55">
        <v>1862470278</v>
      </c>
      <c r="Y55">
        <v>0.11249999999999999</v>
      </c>
      <c r="AA55">
        <v>0</v>
      </c>
      <c r="AB55">
        <v>65.71</v>
      </c>
      <c r="AC55">
        <v>11.6</v>
      </c>
      <c r="AD55">
        <v>0</v>
      </c>
      <c r="AE55">
        <v>0</v>
      </c>
      <c r="AF55">
        <v>65.71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0.09</v>
      </c>
      <c r="AU55" t="s">
        <v>111</v>
      </c>
      <c r="AV55">
        <v>0</v>
      </c>
      <c r="AW55">
        <v>2</v>
      </c>
      <c r="AX55">
        <v>55458107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Y55*Source!I81</f>
        <v>1.2797999999999998</v>
      </c>
      <c r="CY55">
        <f>AB55</f>
        <v>65.71</v>
      </c>
      <c r="CZ55">
        <f>AF55</f>
        <v>65.71</v>
      </c>
      <c r="DA55">
        <f>AJ55</f>
        <v>1</v>
      </c>
      <c r="DB55">
        <f>ROUND((ROUND(AT55*CZ55,2)*ROUND(1.25,7)),2)</f>
        <v>7.39</v>
      </c>
      <c r="DC55">
        <f>ROUND((ROUND(AT55*AG55,2)*ROUND(1.25,7)),2)</f>
        <v>1.3</v>
      </c>
    </row>
    <row r="56" spans="1:107" ht="12.75">
      <c r="A56">
        <f>ROW(Source!A81)</f>
        <v>81</v>
      </c>
      <c r="B56">
        <v>55457795</v>
      </c>
      <c r="C56">
        <v>55458094</v>
      </c>
      <c r="D56">
        <v>49470012</v>
      </c>
      <c r="E56">
        <v>1</v>
      </c>
      <c r="F56">
        <v>1</v>
      </c>
      <c r="G56">
        <v>1</v>
      </c>
      <c r="H56">
        <v>3</v>
      </c>
      <c r="I56" t="s">
        <v>336</v>
      </c>
      <c r="J56" t="s">
        <v>337</v>
      </c>
      <c r="K56" t="s">
        <v>338</v>
      </c>
      <c r="L56">
        <v>1346</v>
      </c>
      <c r="N56">
        <v>1009</v>
      </c>
      <c r="O56" t="s">
        <v>188</v>
      </c>
      <c r="P56" t="s">
        <v>188</v>
      </c>
      <c r="Q56">
        <v>1</v>
      </c>
      <c r="W56">
        <v>0</v>
      </c>
      <c r="X56">
        <v>795665641</v>
      </c>
      <c r="Y56">
        <v>29.94</v>
      </c>
      <c r="AA56">
        <v>6.09</v>
      </c>
      <c r="AB56">
        <v>0</v>
      </c>
      <c r="AC56">
        <v>0</v>
      </c>
      <c r="AD56">
        <v>0</v>
      </c>
      <c r="AE56">
        <v>6.09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29.94</v>
      </c>
      <c r="AV56">
        <v>0</v>
      </c>
      <c r="AW56">
        <v>2</v>
      </c>
      <c r="AX56">
        <v>55458108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Y56*Source!I81</f>
        <v>340.59744</v>
      </c>
      <c r="CY56">
        <f>AA56</f>
        <v>6.09</v>
      </c>
      <c r="CZ56">
        <f>AE56</f>
        <v>6.09</v>
      </c>
      <c r="DA56">
        <f>AI56</f>
        <v>1</v>
      </c>
      <c r="DB56">
        <f>ROUND(ROUND(AT56*CZ56,2),2)</f>
        <v>182.33</v>
      </c>
      <c r="DC56">
        <f>ROUND(ROUND(AT56*AG56,2),2)</f>
        <v>0</v>
      </c>
    </row>
    <row r="57" spans="1:107" ht="12.75">
      <c r="A57">
        <f>ROW(Source!A81)</f>
        <v>81</v>
      </c>
      <c r="B57">
        <v>55457795</v>
      </c>
      <c r="C57">
        <v>55458094</v>
      </c>
      <c r="D57">
        <v>53668685</v>
      </c>
      <c r="E57">
        <v>1</v>
      </c>
      <c r="F57">
        <v>1</v>
      </c>
      <c r="G57">
        <v>1</v>
      </c>
      <c r="H57">
        <v>3</v>
      </c>
      <c r="I57" t="s">
        <v>142</v>
      </c>
      <c r="J57" t="s">
        <v>145</v>
      </c>
      <c r="K57" t="s">
        <v>143</v>
      </c>
      <c r="L57">
        <v>1327</v>
      </c>
      <c r="N57">
        <v>1005</v>
      </c>
      <c r="O57" t="s">
        <v>144</v>
      </c>
      <c r="P57" t="s">
        <v>144</v>
      </c>
      <c r="Q57">
        <v>1</v>
      </c>
      <c r="W57">
        <v>0</v>
      </c>
      <c r="X57">
        <v>1276428827</v>
      </c>
      <c r="Y57">
        <v>114</v>
      </c>
      <c r="AA57">
        <v>27.73</v>
      </c>
      <c r="AB57">
        <v>0</v>
      </c>
      <c r="AC57">
        <v>0</v>
      </c>
      <c r="AD57">
        <v>0</v>
      </c>
      <c r="AE57">
        <v>27.73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114</v>
      </c>
      <c r="AV57">
        <v>0</v>
      </c>
      <c r="AW57">
        <v>1</v>
      </c>
      <c r="AX57">
        <v>-1</v>
      </c>
      <c r="AY57">
        <v>0</v>
      </c>
      <c r="AZ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Y57*Source!I81</f>
        <v>1296.864</v>
      </c>
      <c r="CY57">
        <f>AA57</f>
        <v>27.73</v>
      </c>
      <c r="CZ57">
        <f>AE57</f>
        <v>27.73</v>
      </c>
      <c r="DA57">
        <f>AI57</f>
        <v>1</v>
      </c>
      <c r="DB57">
        <f>ROUND(ROUND(AT57*CZ57,2),2)</f>
        <v>3161.22</v>
      </c>
      <c r="DC57">
        <f>ROUND(ROUND(AT57*AG57,2),2)</f>
        <v>0</v>
      </c>
    </row>
    <row r="58" spans="1:107" ht="12.75">
      <c r="A58">
        <f>ROW(Source!A81)</f>
        <v>81</v>
      </c>
      <c r="B58">
        <v>55457795</v>
      </c>
      <c r="C58">
        <v>55458094</v>
      </c>
      <c r="D58">
        <v>53668689</v>
      </c>
      <c r="E58">
        <v>1</v>
      </c>
      <c r="F58">
        <v>1</v>
      </c>
      <c r="G58">
        <v>1</v>
      </c>
      <c r="H58">
        <v>3</v>
      </c>
      <c r="I58" t="s">
        <v>147</v>
      </c>
      <c r="J58" t="s">
        <v>149</v>
      </c>
      <c r="K58" t="s">
        <v>148</v>
      </c>
      <c r="L58">
        <v>1327</v>
      </c>
      <c r="N58">
        <v>1005</v>
      </c>
      <c r="O58" t="s">
        <v>144</v>
      </c>
      <c r="P58" t="s">
        <v>144</v>
      </c>
      <c r="Q58">
        <v>1</v>
      </c>
      <c r="W58">
        <v>0</v>
      </c>
      <c r="X58">
        <v>-583407189</v>
      </c>
      <c r="Y58">
        <v>116</v>
      </c>
      <c r="AA58">
        <v>19.75</v>
      </c>
      <c r="AB58">
        <v>0</v>
      </c>
      <c r="AC58">
        <v>0</v>
      </c>
      <c r="AD58">
        <v>0</v>
      </c>
      <c r="AE58">
        <v>19.75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116</v>
      </c>
      <c r="AV58">
        <v>0</v>
      </c>
      <c r="AW58">
        <v>1</v>
      </c>
      <c r="AX58">
        <v>-1</v>
      </c>
      <c r="AY58">
        <v>0</v>
      </c>
      <c r="AZ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Y58*Source!I81</f>
        <v>1319.616</v>
      </c>
      <c r="CY58">
        <f>AA58</f>
        <v>19.75</v>
      </c>
      <c r="CZ58">
        <f>AE58</f>
        <v>19.75</v>
      </c>
      <c r="DA58">
        <f>AI58</f>
        <v>1</v>
      </c>
      <c r="DB58">
        <f>ROUND(ROUND(AT58*CZ58,2),2)</f>
        <v>2291</v>
      </c>
      <c r="DC58">
        <f>ROUND(ROUND(AT58*AG58,2),2)</f>
        <v>0</v>
      </c>
    </row>
    <row r="59" spans="1:107" ht="12.75">
      <c r="A59">
        <f>ROW(Source!A82)</f>
        <v>82</v>
      </c>
      <c r="B59">
        <v>55457796</v>
      </c>
      <c r="C59">
        <v>55458094</v>
      </c>
      <c r="D59">
        <v>49459419</v>
      </c>
      <c r="E59">
        <v>58</v>
      </c>
      <c r="F59">
        <v>1</v>
      </c>
      <c r="G59">
        <v>1</v>
      </c>
      <c r="H59">
        <v>1</v>
      </c>
      <c r="I59" t="s">
        <v>331</v>
      </c>
      <c r="K59" t="s">
        <v>332</v>
      </c>
      <c r="L59">
        <v>1191</v>
      </c>
      <c r="N59">
        <v>1013</v>
      </c>
      <c r="O59" t="s">
        <v>292</v>
      </c>
      <c r="P59" t="s">
        <v>292</v>
      </c>
      <c r="Q59">
        <v>1</v>
      </c>
      <c r="W59">
        <v>0</v>
      </c>
      <c r="X59">
        <v>-1081351934</v>
      </c>
      <c r="Y59">
        <v>16.514</v>
      </c>
      <c r="AA59">
        <v>0</v>
      </c>
      <c r="AB59">
        <v>0</v>
      </c>
      <c r="AC59">
        <v>0</v>
      </c>
      <c r="AD59">
        <v>342.82</v>
      </c>
      <c r="AE59">
        <v>0</v>
      </c>
      <c r="AF59">
        <v>0</v>
      </c>
      <c r="AG59">
        <v>0</v>
      </c>
      <c r="AH59">
        <v>9.4</v>
      </c>
      <c r="AI59">
        <v>1</v>
      </c>
      <c r="AJ59">
        <v>1</v>
      </c>
      <c r="AK59">
        <v>1</v>
      </c>
      <c r="AL59">
        <v>36.47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14.36</v>
      </c>
      <c r="AU59" t="s">
        <v>112</v>
      </c>
      <c r="AV59">
        <v>1</v>
      </c>
      <c r="AW59">
        <v>2</v>
      </c>
      <c r="AX59">
        <v>55458103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Y59*Source!I82</f>
        <v>187.863264</v>
      </c>
      <c r="CY59">
        <f>AD59</f>
        <v>342.82</v>
      </c>
      <c r="CZ59">
        <f>AH59</f>
        <v>9.4</v>
      </c>
      <c r="DA59">
        <f>AL59</f>
        <v>36.47</v>
      </c>
      <c r="DB59">
        <f>ROUND((ROUND(AT59*CZ59,2)*ROUND(1.15,7)),2)</f>
        <v>155.23</v>
      </c>
      <c r="DC59">
        <f>ROUND((ROUND(AT59*AG59,2)*ROUND(1.15,7)),2)</f>
        <v>0</v>
      </c>
    </row>
    <row r="60" spans="1:107" ht="12.75">
      <c r="A60">
        <f>ROW(Source!A82)</f>
        <v>82</v>
      </c>
      <c r="B60">
        <v>55457796</v>
      </c>
      <c r="C60">
        <v>55458094</v>
      </c>
      <c r="D60">
        <v>49459566</v>
      </c>
      <c r="E60">
        <v>58</v>
      </c>
      <c r="F60">
        <v>1</v>
      </c>
      <c r="G60">
        <v>1</v>
      </c>
      <c r="H60">
        <v>1</v>
      </c>
      <c r="I60" t="s">
        <v>310</v>
      </c>
      <c r="K60" t="s">
        <v>300</v>
      </c>
      <c r="L60">
        <v>1191</v>
      </c>
      <c r="N60">
        <v>1013</v>
      </c>
      <c r="O60" t="s">
        <v>292</v>
      </c>
      <c r="P60" t="s">
        <v>292</v>
      </c>
      <c r="Q60">
        <v>1</v>
      </c>
      <c r="W60">
        <v>0</v>
      </c>
      <c r="X60">
        <v>-1173606021</v>
      </c>
      <c r="Y60">
        <v>0.3625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36.47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0.29</v>
      </c>
      <c r="AU60" t="s">
        <v>111</v>
      </c>
      <c r="AV60">
        <v>2</v>
      </c>
      <c r="AW60">
        <v>2</v>
      </c>
      <c r="AX60">
        <v>55458104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Y60*Source!I82</f>
        <v>4.123799999999999</v>
      </c>
      <c r="CY60">
        <f>AD60</f>
        <v>0</v>
      </c>
      <c r="CZ60">
        <f>AH60</f>
        <v>0</v>
      </c>
      <c r="DA60">
        <f>AL60</f>
        <v>1</v>
      </c>
      <c r="DB60">
        <f>ROUND((ROUND(AT60*CZ60,2)*ROUND(1.25,7)),2)</f>
        <v>0</v>
      </c>
      <c r="DC60">
        <f>ROUND((ROUND(AT60*AG60,2)*ROUND(1.25,7)),2)</f>
        <v>0</v>
      </c>
    </row>
    <row r="61" spans="1:107" ht="12.75">
      <c r="A61">
        <f>ROW(Source!A82)</f>
        <v>82</v>
      </c>
      <c r="B61">
        <v>55457796</v>
      </c>
      <c r="C61">
        <v>55458094</v>
      </c>
      <c r="D61">
        <v>49620286</v>
      </c>
      <c r="E61">
        <v>1</v>
      </c>
      <c r="F61">
        <v>1</v>
      </c>
      <c r="G61">
        <v>1</v>
      </c>
      <c r="H61">
        <v>2</v>
      </c>
      <c r="I61" t="s">
        <v>311</v>
      </c>
      <c r="J61" t="s">
        <v>312</v>
      </c>
      <c r="K61" t="s">
        <v>313</v>
      </c>
      <c r="L61">
        <v>1368</v>
      </c>
      <c r="N61">
        <v>1011</v>
      </c>
      <c r="O61" t="s">
        <v>296</v>
      </c>
      <c r="P61" t="s">
        <v>296</v>
      </c>
      <c r="Q61">
        <v>1</v>
      </c>
      <c r="W61">
        <v>0</v>
      </c>
      <c r="X61">
        <v>-1554407757</v>
      </c>
      <c r="Y61">
        <v>0.1875</v>
      </c>
      <c r="AA61">
        <v>0</v>
      </c>
      <c r="AB61">
        <v>1120.61</v>
      </c>
      <c r="AC61">
        <v>492.35</v>
      </c>
      <c r="AD61">
        <v>0</v>
      </c>
      <c r="AE61">
        <v>0</v>
      </c>
      <c r="AF61">
        <v>86.4</v>
      </c>
      <c r="AG61">
        <v>13.5</v>
      </c>
      <c r="AH61">
        <v>0</v>
      </c>
      <c r="AI61">
        <v>1</v>
      </c>
      <c r="AJ61">
        <v>12.97</v>
      </c>
      <c r="AK61">
        <v>36.47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0.15</v>
      </c>
      <c r="AU61" t="s">
        <v>111</v>
      </c>
      <c r="AV61">
        <v>0</v>
      </c>
      <c r="AW61">
        <v>2</v>
      </c>
      <c r="AX61">
        <v>55458105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Y61*Source!I82</f>
        <v>2.133</v>
      </c>
      <c r="CY61">
        <f>AB61</f>
        <v>1120.61</v>
      </c>
      <c r="CZ61">
        <f>AF61</f>
        <v>86.4</v>
      </c>
      <c r="DA61">
        <f>AJ61</f>
        <v>12.97</v>
      </c>
      <c r="DB61">
        <f>ROUND((ROUND(AT61*CZ61,2)*ROUND(1.25,7)),2)</f>
        <v>16.2</v>
      </c>
      <c r="DC61">
        <f>ROUND((ROUND(AT61*AG61,2)*ROUND(1.25,7)),2)</f>
        <v>2.54</v>
      </c>
    </row>
    <row r="62" spans="1:107" ht="12.75">
      <c r="A62">
        <f>ROW(Source!A82)</f>
        <v>82</v>
      </c>
      <c r="B62">
        <v>55457796</v>
      </c>
      <c r="C62">
        <v>55458094</v>
      </c>
      <c r="D62">
        <v>49620344</v>
      </c>
      <c r="E62">
        <v>1</v>
      </c>
      <c r="F62">
        <v>1</v>
      </c>
      <c r="G62">
        <v>1</v>
      </c>
      <c r="H62">
        <v>2</v>
      </c>
      <c r="I62" t="s">
        <v>333</v>
      </c>
      <c r="J62" t="s">
        <v>334</v>
      </c>
      <c r="K62" t="s">
        <v>335</v>
      </c>
      <c r="L62">
        <v>1368</v>
      </c>
      <c r="N62">
        <v>1011</v>
      </c>
      <c r="O62" t="s">
        <v>296</v>
      </c>
      <c r="P62" t="s">
        <v>296</v>
      </c>
      <c r="Q62">
        <v>1</v>
      </c>
      <c r="W62">
        <v>0</v>
      </c>
      <c r="X62">
        <v>30216853</v>
      </c>
      <c r="Y62">
        <v>0.0625</v>
      </c>
      <c r="AA62">
        <v>0</v>
      </c>
      <c r="AB62">
        <v>1496.74</v>
      </c>
      <c r="AC62">
        <v>492.35</v>
      </c>
      <c r="AD62">
        <v>0</v>
      </c>
      <c r="AE62">
        <v>0</v>
      </c>
      <c r="AF62">
        <v>115.4</v>
      </c>
      <c r="AG62">
        <v>13.5</v>
      </c>
      <c r="AH62">
        <v>0</v>
      </c>
      <c r="AI62">
        <v>1</v>
      </c>
      <c r="AJ62">
        <v>12.97</v>
      </c>
      <c r="AK62">
        <v>36.47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0.05</v>
      </c>
      <c r="AU62" t="s">
        <v>111</v>
      </c>
      <c r="AV62">
        <v>0</v>
      </c>
      <c r="AW62">
        <v>2</v>
      </c>
      <c r="AX62">
        <v>55458106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Y62*Source!I82</f>
        <v>0.711</v>
      </c>
      <c r="CY62">
        <f>AB62</f>
        <v>1496.74</v>
      </c>
      <c r="CZ62">
        <f>AF62</f>
        <v>115.4</v>
      </c>
      <c r="DA62">
        <f>AJ62</f>
        <v>12.97</v>
      </c>
      <c r="DB62">
        <f>ROUND((ROUND(AT62*CZ62,2)*ROUND(1.25,7)),2)</f>
        <v>7.21</v>
      </c>
      <c r="DC62">
        <f>ROUND((ROUND(AT62*AG62,2)*ROUND(1.25,7)),2)</f>
        <v>0.85</v>
      </c>
    </row>
    <row r="63" spans="1:107" ht="12.75">
      <c r="A63">
        <f>ROW(Source!A82)</f>
        <v>82</v>
      </c>
      <c r="B63">
        <v>55457796</v>
      </c>
      <c r="C63">
        <v>55458094</v>
      </c>
      <c r="D63">
        <v>49621268</v>
      </c>
      <c r="E63">
        <v>1</v>
      </c>
      <c r="F63">
        <v>1</v>
      </c>
      <c r="G63">
        <v>1</v>
      </c>
      <c r="H63">
        <v>2</v>
      </c>
      <c r="I63" t="s">
        <v>325</v>
      </c>
      <c r="J63" t="s">
        <v>326</v>
      </c>
      <c r="K63" t="s">
        <v>327</v>
      </c>
      <c r="L63">
        <v>1368</v>
      </c>
      <c r="N63">
        <v>1011</v>
      </c>
      <c r="O63" t="s">
        <v>296</v>
      </c>
      <c r="P63" t="s">
        <v>296</v>
      </c>
      <c r="Q63">
        <v>1</v>
      </c>
      <c r="W63">
        <v>0</v>
      </c>
      <c r="X63">
        <v>1862470278</v>
      </c>
      <c r="Y63">
        <v>0.11249999999999999</v>
      </c>
      <c r="AA63">
        <v>0</v>
      </c>
      <c r="AB63">
        <v>852.26</v>
      </c>
      <c r="AC63">
        <v>423.05</v>
      </c>
      <c r="AD63">
        <v>0</v>
      </c>
      <c r="AE63">
        <v>0</v>
      </c>
      <c r="AF63">
        <v>65.71</v>
      </c>
      <c r="AG63">
        <v>11.6</v>
      </c>
      <c r="AH63">
        <v>0</v>
      </c>
      <c r="AI63">
        <v>1</v>
      </c>
      <c r="AJ63">
        <v>12.97</v>
      </c>
      <c r="AK63">
        <v>36.47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0.09</v>
      </c>
      <c r="AU63" t="s">
        <v>111</v>
      </c>
      <c r="AV63">
        <v>0</v>
      </c>
      <c r="AW63">
        <v>2</v>
      </c>
      <c r="AX63">
        <v>55458107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Y63*Source!I82</f>
        <v>1.2797999999999998</v>
      </c>
      <c r="CY63">
        <f>AB63</f>
        <v>852.26</v>
      </c>
      <c r="CZ63">
        <f>AF63</f>
        <v>65.71</v>
      </c>
      <c r="DA63">
        <f>AJ63</f>
        <v>12.97</v>
      </c>
      <c r="DB63">
        <f>ROUND((ROUND(AT63*CZ63,2)*ROUND(1.25,7)),2)</f>
        <v>7.39</v>
      </c>
      <c r="DC63">
        <f>ROUND((ROUND(AT63*AG63,2)*ROUND(1.25,7)),2)</f>
        <v>1.3</v>
      </c>
    </row>
    <row r="64" spans="1:107" ht="12.75">
      <c r="A64">
        <f>ROW(Source!A82)</f>
        <v>82</v>
      </c>
      <c r="B64">
        <v>55457796</v>
      </c>
      <c r="C64">
        <v>55458094</v>
      </c>
      <c r="D64">
        <v>49470012</v>
      </c>
      <c r="E64">
        <v>1</v>
      </c>
      <c r="F64">
        <v>1</v>
      </c>
      <c r="G64">
        <v>1</v>
      </c>
      <c r="H64">
        <v>3</v>
      </c>
      <c r="I64" t="s">
        <v>336</v>
      </c>
      <c r="J64" t="s">
        <v>337</v>
      </c>
      <c r="K64" t="s">
        <v>338</v>
      </c>
      <c r="L64">
        <v>1346</v>
      </c>
      <c r="N64">
        <v>1009</v>
      </c>
      <c r="O64" t="s">
        <v>188</v>
      </c>
      <c r="P64" t="s">
        <v>188</v>
      </c>
      <c r="Q64">
        <v>1</v>
      </c>
      <c r="W64">
        <v>0</v>
      </c>
      <c r="X64">
        <v>795665641</v>
      </c>
      <c r="Y64">
        <v>29.94</v>
      </c>
      <c r="AA64">
        <v>41.53</v>
      </c>
      <c r="AB64">
        <v>0</v>
      </c>
      <c r="AC64">
        <v>0</v>
      </c>
      <c r="AD64">
        <v>0</v>
      </c>
      <c r="AE64">
        <v>6.09</v>
      </c>
      <c r="AF64">
        <v>0</v>
      </c>
      <c r="AG64">
        <v>0</v>
      </c>
      <c r="AH64">
        <v>0</v>
      </c>
      <c r="AI64">
        <v>6.82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29.94</v>
      </c>
      <c r="AV64">
        <v>0</v>
      </c>
      <c r="AW64">
        <v>2</v>
      </c>
      <c r="AX64">
        <v>55458108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Y64*Source!I82</f>
        <v>340.59744</v>
      </c>
      <c r="CY64">
        <f>AA64</f>
        <v>41.53</v>
      </c>
      <c r="CZ64">
        <f>AE64</f>
        <v>6.09</v>
      </c>
      <c r="DA64">
        <f>AI64</f>
        <v>6.82</v>
      </c>
      <c r="DB64">
        <f>ROUND(ROUND(AT64*CZ64,2),2)</f>
        <v>182.33</v>
      </c>
      <c r="DC64">
        <f>ROUND(ROUND(AT64*AG64,2),2)</f>
        <v>0</v>
      </c>
    </row>
    <row r="65" spans="1:107" ht="12.75">
      <c r="A65">
        <f>ROW(Source!A82)</f>
        <v>82</v>
      </c>
      <c r="B65">
        <v>55457796</v>
      </c>
      <c r="C65">
        <v>55458094</v>
      </c>
      <c r="D65">
        <v>53668685</v>
      </c>
      <c r="E65">
        <v>1</v>
      </c>
      <c r="F65">
        <v>1</v>
      </c>
      <c r="G65">
        <v>1</v>
      </c>
      <c r="H65">
        <v>3</v>
      </c>
      <c r="I65" t="s">
        <v>142</v>
      </c>
      <c r="J65" t="s">
        <v>145</v>
      </c>
      <c r="K65" t="s">
        <v>143</v>
      </c>
      <c r="L65">
        <v>1327</v>
      </c>
      <c r="N65">
        <v>1005</v>
      </c>
      <c r="O65" t="s">
        <v>144</v>
      </c>
      <c r="P65" t="s">
        <v>144</v>
      </c>
      <c r="Q65">
        <v>1</v>
      </c>
      <c r="W65">
        <v>0</v>
      </c>
      <c r="X65">
        <v>1276428827</v>
      </c>
      <c r="Y65">
        <v>114</v>
      </c>
      <c r="AA65">
        <v>189.12</v>
      </c>
      <c r="AB65">
        <v>0</v>
      </c>
      <c r="AC65">
        <v>0</v>
      </c>
      <c r="AD65">
        <v>0</v>
      </c>
      <c r="AE65">
        <v>27.73</v>
      </c>
      <c r="AF65">
        <v>0</v>
      </c>
      <c r="AG65">
        <v>0</v>
      </c>
      <c r="AH65">
        <v>0</v>
      </c>
      <c r="AI65">
        <v>6.82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114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Y65*Source!I82</f>
        <v>1296.864</v>
      </c>
      <c r="CY65">
        <f>AA65</f>
        <v>189.12</v>
      </c>
      <c r="CZ65">
        <f>AE65</f>
        <v>27.73</v>
      </c>
      <c r="DA65">
        <f>AI65</f>
        <v>6.82</v>
      </c>
      <c r="DB65">
        <f>ROUND(ROUND(AT65*CZ65,2),2)</f>
        <v>3161.22</v>
      </c>
      <c r="DC65">
        <f>ROUND(ROUND(AT65*AG65,2),2)</f>
        <v>0</v>
      </c>
    </row>
    <row r="66" spans="1:107" ht="12.75">
      <c r="A66">
        <f>ROW(Source!A82)</f>
        <v>82</v>
      </c>
      <c r="B66">
        <v>55457796</v>
      </c>
      <c r="C66">
        <v>55458094</v>
      </c>
      <c r="D66">
        <v>53668689</v>
      </c>
      <c r="E66">
        <v>1</v>
      </c>
      <c r="F66">
        <v>1</v>
      </c>
      <c r="G66">
        <v>1</v>
      </c>
      <c r="H66">
        <v>3</v>
      </c>
      <c r="I66" t="s">
        <v>147</v>
      </c>
      <c r="J66" t="s">
        <v>149</v>
      </c>
      <c r="K66" t="s">
        <v>148</v>
      </c>
      <c r="L66">
        <v>1327</v>
      </c>
      <c r="N66">
        <v>1005</v>
      </c>
      <c r="O66" t="s">
        <v>144</v>
      </c>
      <c r="P66" t="s">
        <v>144</v>
      </c>
      <c r="Q66">
        <v>1</v>
      </c>
      <c r="W66">
        <v>0</v>
      </c>
      <c r="X66">
        <v>-583407189</v>
      </c>
      <c r="Y66">
        <v>116</v>
      </c>
      <c r="AA66">
        <v>134.7</v>
      </c>
      <c r="AB66">
        <v>0</v>
      </c>
      <c r="AC66">
        <v>0</v>
      </c>
      <c r="AD66">
        <v>0</v>
      </c>
      <c r="AE66">
        <v>19.75</v>
      </c>
      <c r="AF66">
        <v>0</v>
      </c>
      <c r="AG66">
        <v>0</v>
      </c>
      <c r="AH66">
        <v>0</v>
      </c>
      <c r="AI66">
        <v>6.82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T66">
        <v>116</v>
      </c>
      <c r="AV66">
        <v>0</v>
      </c>
      <c r="AW66">
        <v>1</v>
      </c>
      <c r="AX66">
        <v>-1</v>
      </c>
      <c r="AY66">
        <v>0</v>
      </c>
      <c r="AZ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Y66*Source!I82</f>
        <v>1319.616</v>
      </c>
      <c r="CY66">
        <f>AA66</f>
        <v>134.7</v>
      </c>
      <c r="CZ66">
        <f>AE66</f>
        <v>19.75</v>
      </c>
      <c r="DA66">
        <f>AI66</f>
        <v>6.82</v>
      </c>
      <c r="DB66">
        <f>ROUND(ROUND(AT66*CZ66,2),2)</f>
        <v>2291</v>
      </c>
      <c r="DC66">
        <f>ROUND(ROUND(AT66*AG66,2),2)</f>
        <v>0</v>
      </c>
    </row>
    <row r="67" spans="1:107" ht="12.75">
      <c r="A67">
        <f>ROW(Source!A87)</f>
        <v>87</v>
      </c>
      <c r="B67">
        <v>55457795</v>
      </c>
      <c r="C67">
        <v>55458113</v>
      </c>
      <c r="D67">
        <v>49459419</v>
      </c>
      <c r="E67">
        <v>58</v>
      </c>
      <c r="F67">
        <v>1</v>
      </c>
      <c r="G67">
        <v>1</v>
      </c>
      <c r="H67">
        <v>1</v>
      </c>
      <c r="I67" t="s">
        <v>331</v>
      </c>
      <c r="K67" t="s">
        <v>332</v>
      </c>
      <c r="L67">
        <v>1191</v>
      </c>
      <c r="N67">
        <v>1013</v>
      </c>
      <c r="O67" t="s">
        <v>292</v>
      </c>
      <c r="P67" t="s">
        <v>292</v>
      </c>
      <c r="Q67">
        <v>1</v>
      </c>
      <c r="W67">
        <v>0</v>
      </c>
      <c r="X67">
        <v>-1081351934</v>
      </c>
      <c r="Y67">
        <v>16.514</v>
      </c>
      <c r="AA67">
        <v>0</v>
      </c>
      <c r="AB67">
        <v>0</v>
      </c>
      <c r="AC67">
        <v>0</v>
      </c>
      <c r="AD67">
        <v>9.4</v>
      </c>
      <c r="AE67">
        <v>0</v>
      </c>
      <c r="AF67">
        <v>0</v>
      </c>
      <c r="AG67">
        <v>0</v>
      </c>
      <c r="AH67">
        <v>9.4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14.36</v>
      </c>
      <c r="AU67" t="s">
        <v>112</v>
      </c>
      <c r="AV67">
        <v>1</v>
      </c>
      <c r="AW67">
        <v>2</v>
      </c>
      <c r="AX67">
        <v>55458122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Y67*Source!I87</f>
        <v>0.16514</v>
      </c>
      <c r="CY67">
        <f>AD67</f>
        <v>9.4</v>
      </c>
      <c r="CZ67">
        <f>AH67</f>
        <v>9.4</v>
      </c>
      <c r="DA67">
        <f>AL67</f>
        <v>1</v>
      </c>
      <c r="DB67">
        <f>ROUND((ROUND(AT67*CZ67,2)*ROUND(1.15,7)),2)</f>
        <v>155.23</v>
      </c>
      <c r="DC67">
        <f>ROUND((ROUND(AT67*AG67,2)*ROUND(1.15,7)),2)</f>
        <v>0</v>
      </c>
    </row>
    <row r="68" spans="1:107" ht="12.75">
      <c r="A68">
        <f>ROW(Source!A87)</f>
        <v>87</v>
      </c>
      <c r="B68">
        <v>55457795</v>
      </c>
      <c r="C68">
        <v>55458113</v>
      </c>
      <c r="D68">
        <v>49459566</v>
      </c>
      <c r="E68">
        <v>58</v>
      </c>
      <c r="F68">
        <v>1</v>
      </c>
      <c r="G68">
        <v>1</v>
      </c>
      <c r="H68">
        <v>1</v>
      </c>
      <c r="I68" t="s">
        <v>310</v>
      </c>
      <c r="K68" t="s">
        <v>300</v>
      </c>
      <c r="L68">
        <v>1191</v>
      </c>
      <c r="N68">
        <v>1013</v>
      </c>
      <c r="O68" t="s">
        <v>292</v>
      </c>
      <c r="P68" t="s">
        <v>292</v>
      </c>
      <c r="Q68">
        <v>1</v>
      </c>
      <c r="W68">
        <v>0</v>
      </c>
      <c r="X68">
        <v>-1173606021</v>
      </c>
      <c r="Y68">
        <v>0.3625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0.29</v>
      </c>
      <c r="AU68" t="s">
        <v>111</v>
      </c>
      <c r="AV68">
        <v>2</v>
      </c>
      <c r="AW68">
        <v>2</v>
      </c>
      <c r="AX68">
        <v>55458123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Y68*Source!I87</f>
        <v>0.0036249999999999998</v>
      </c>
      <c r="CY68">
        <f>AD68</f>
        <v>0</v>
      </c>
      <c r="CZ68">
        <f>AH68</f>
        <v>0</v>
      </c>
      <c r="DA68">
        <f>AL68</f>
        <v>1</v>
      </c>
      <c r="DB68">
        <f>ROUND((ROUND(AT68*CZ68,2)*ROUND(1.25,7)),2)</f>
        <v>0</v>
      </c>
      <c r="DC68">
        <f>ROUND((ROUND(AT68*AG68,2)*ROUND(1.25,7)),2)</f>
        <v>0</v>
      </c>
    </row>
    <row r="69" spans="1:107" ht="12.75">
      <c r="A69">
        <f>ROW(Source!A87)</f>
        <v>87</v>
      </c>
      <c r="B69">
        <v>55457795</v>
      </c>
      <c r="C69">
        <v>55458113</v>
      </c>
      <c r="D69">
        <v>49620286</v>
      </c>
      <c r="E69">
        <v>1</v>
      </c>
      <c r="F69">
        <v>1</v>
      </c>
      <c r="G69">
        <v>1</v>
      </c>
      <c r="H69">
        <v>2</v>
      </c>
      <c r="I69" t="s">
        <v>311</v>
      </c>
      <c r="J69" t="s">
        <v>312</v>
      </c>
      <c r="K69" t="s">
        <v>313</v>
      </c>
      <c r="L69">
        <v>1368</v>
      </c>
      <c r="N69">
        <v>1011</v>
      </c>
      <c r="O69" t="s">
        <v>296</v>
      </c>
      <c r="P69" t="s">
        <v>296</v>
      </c>
      <c r="Q69">
        <v>1</v>
      </c>
      <c r="W69">
        <v>0</v>
      </c>
      <c r="X69">
        <v>-1554407757</v>
      </c>
      <c r="Y69">
        <v>0.1875</v>
      </c>
      <c r="AA69">
        <v>0</v>
      </c>
      <c r="AB69">
        <v>86.4</v>
      </c>
      <c r="AC69">
        <v>13.5</v>
      </c>
      <c r="AD69">
        <v>0</v>
      </c>
      <c r="AE69">
        <v>0</v>
      </c>
      <c r="AF69">
        <v>86.4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0.15</v>
      </c>
      <c r="AU69" t="s">
        <v>111</v>
      </c>
      <c r="AV69">
        <v>0</v>
      </c>
      <c r="AW69">
        <v>2</v>
      </c>
      <c r="AX69">
        <v>55458124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Y69*Source!I87</f>
        <v>0.001875</v>
      </c>
      <c r="CY69">
        <f>AB69</f>
        <v>86.4</v>
      </c>
      <c r="CZ69">
        <f>AF69</f>
        <v>86.4</v>
      </c>
      <c r="DA69">
        <f>AJ69</f>
        <v>1</v>
      </c>
      <c r="DB69">
        <f>ROUND((ROUND(AT69*CZ69,2)*ROUND(1.25,7)),2)</f>
        <v>16.2</v>
      </c>
      <c r="DC69">
        <f>ROUND((ROUND(AT69*AG69,2)*ROUND(1.25,7)),2)</f>
        <v>2.54</v>
      </c>
    </row>
    <row r="70" spans="1:107" ht="12.75">
      <c r="A70">
        <f>ROW(Source!A87)</f>
        <v>87</v>
      </c>
      <c r="B70">
        <v>55457795</v>
      </c>
      <c r="C70">
        <v>55458113</v>
      </c>
      <c r="D70">
        <v>49620344</v>
      </c>
      <c r="E70">
        <v>1</v>
      </c>
      <c r="F70">
        <v>1</v>
      </c>
      <c r="G70">
        <v>1</v>
      </c>
      <c r="H70">
        <v>2</v>
      </c>
      <c r="I70" t="s">
        <v>333</v>
      </c>
      <c r="J70" t="s">
        <v>334</v>
      </c>
      <c r="K70" t="s">
        <v>335</v>
      </c>
      <c r="L70">
        <v>1368</v>
      </c>
      <c r="N70">
        <v>1011</v>
      </c>
      <c r="O70" t="s">
        <v>296</v>
      </c>
      <c r="P70" t="s">
        <v>296</v>
      </c>
      <c r="Q70">
        <v>1</v>
      </c>
      <c r="W70">
        <v>0</v>
      </c>
      <c r="X70">
        <v>30216853</v>
      </c>
      <c r="Y70">
        <v>0.0625</v>
      </c>
      <c r="AA70">
        <v>0</v>
      </c>
      <c r="AB70">
        <v>115.4</v>
      </c>
      <c r="AC70">
        <v>13.5</v>
      </c>
      <c r="AD70">
        <v>0</v>
      </c>
      <c r="AE70">
        <v>0</v>
      </c>
      <c r="AF70">
        <v>115.4</v>
      </c>
      <c r="AG70">
        <v>13.5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0.05</v>
      </c>
      <c r="AU70" t="s">
        <v>111</v>
      </c>
      <c r="AV70">
        <v>0</v>
      </c>
      <c r="AW70">
        <v>2</v>
      </c>
      <c r="AX70">
        <v>55458125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Y70*Source!I87</f>
        <v>0.000625</v>
      </c>
      <c r="CY70">
        <f>AB70</f>
        <v>115.4</v>
      </c>
      <c r="CZ70">
        <f>AF70</f>
        <v>115.4</v>
      </c>
      <c r="DA70">
        <f>AJ70</f>
        <v>1</v>
      </c>
      <c r="DB70">
        <f>ROUND((ROUND(AT70*CZ70,2)*ROUND(1.25,7)),2)</f>
        <v>7.21</v>
      </c>
      <c r="DC70">
        <f>ROUND((ROUND(AT70*AG70,2)*ROUND(1.25,7)),2)</f>
        <v>0.85</v>
      </c>
    </row>
    <row r="71" spans="1:107" ht="12.75">
      <c r="A71">
        <f>ROW(Source!A87)</f>
        <v>87</v>
      </c>
      <c r="B71">
        <v>55457795</v>
      </c>
      <c r="C71">
        <v>55458113</v>
      </c>
      <c r="D71">
        <v>49621268</v>
      </c>
      <c r="E71">
        <v>1</v>
      </c>
      <c r="F71">
        <v>1</v>
      </c>
      <c r="G71">
        <v>1</v>
      </c>
      <c r="H71">
        <v>2</v>
      </c>
      <c r="I71" t="s">
        <v>325</v>
      </c>
      <c r="J71" t="s">
        <v>326</v>
      </c>
      <c r="K71" t="s">
        <v>327</v>
      </c>
      <c r="L71">
        <v>1368</v>
      </c>
      <c r="N71">
        <v>1011</v>
      </c>
      <c r="O71" t="s">
        <v>296</v>
      </c>
      <c r="P71" t="s">
        <v>296</v>
      </c>
      <c r="Q71">
        <v>1</v>
      </c>
      <c r="W71">
        <v>0</v>
      </c>
      <c r="X71">
        <v>1862470278</v>
      </c>
      <c r="Y71">
        <v>0.11249999999999999</v>
      </c>
      <c r="AA71">
        <v>0</v>
      </c>
      <c r="AB71">
        <v>65.71</v>
      </c>
      <c r="AC71">
        <v>11.6</v>
      </c>
      <c r="AD71">
        <v>0</v>
      </c>
      <c r="AE71">
        <v>0</v>
      </c>
      <c r="AF71">
        <v>65.71</v>
      </c>
      <c r="AG71">
        <v>11.6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0.09</v>
      </c>
      <c r="AU71" t="s">
        <v>111</v>
      </c>
      <c r="AV71">
        <v>0</v>
      </c>
      <c r="AW71">
        <v>2</v>
      </c>
      <c r="AX71">
        <v>55458126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Y71*Source!I87</f>
        <v>0.001125</v>
      </c>
      <c r="CY71">
        <f>AB71</f>
        <v>65.71</v>
      </c>
      <c r="CZ71">
        <f>AF71</f>
        <v>65.71</v>
      </c>
      <c r="DA71">
        <f>AJ71</f>
        <v>1</v>
      </c>
      <c r="DB71">
        <f>ROUND((ROUND(AT71*CZ71,2)*ROUND(1.25,7)),2)</f>
        <v>7.39</v>
      </c>
      <c r="DC71">
        <f>ROUND((ROUND(AT71*AG71,2)*ROUND(1.25,7)),2)</f>
        <v>1.3</v>
      </c>
    </row>
    <row r="72" spans="1:107" ht="12.75">
      <c r="A72">
        <f>ROW(Source!A87)</f>
        <v>87</v>
      </c>
      <c r="B72">
        <v>55457795</v>
      </c>
      <c r="C72">
        <v>55458113</v>
      </c>
      <c r="D72">
        <v>49470012</v>
      </c>
      <c r="E72">
        <v>1</v>
      </c>
      <c r="F72">
        <v>1</v>
      </c>
      <c r="G72">
        <v>1</v>
      </c>
      <c r="H72">
        <v>3</v>
      </c>
      <c r="I72" t="s">
        <v>336</v>
      </c>
      <c r="J72" t="s">
        <v>337</v>
      </c>
      <c r="K72" t="s">
        <v>338</v>
      </c>
      <c r="L72">
        <v>1346</v>
      </c>
      <c r="N72">
        <v>1009</v>
      </c>
      <c r="O72" t="s">
        <v>188</v>
      </c>
      <c r="P72" t="s">
        <v>188</v>
      </c>
      <c r="Q72">
        <v>1</v>
      </c>
      <c r="W72">
        <v>0</v>
      </c>
      <c r="X72">
        <v>795665641</v>
      </c>
      <c r="Y72">
        <v>29.94</v>
      </c>
      <c r="AA72">
        <v>6.09</v>
      </c>
      <c r="AB72">
        <v>0</v>
      </c>
      <c r="AC72">
        <v>0</v>
      </c>
      <c r="AD72">
        <v>0</v>
      </c>
      <c r="AE72">
        <v>6.09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29.94</v>
      </c>
      <c r="AV72">
        <v>0</v>
      </c>
      <c r="AW72">
        <v>2</v>
      </c>
      <c r="AX72">
        <v>55458127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Y72*Source!I87</f>
        <v>0.2994</v>
      </c>
      <c r="CY72">
        <f>AA72</f>
        <v>6.09</v>
      </c>
      <c r="CZ72">
        <f>AE72</f>
        <v>6.09</v>
      </c>
      <c r="DA72">
        <f>AI72</f>
        <v>1</v>
      </c>
      <c r="DB72">
        <f>ROUND(ROUND(AT72*CZ72,2),2)</f>
        <v>182.33</v>
      </c>
      <c r="DC72">
        <f>ROUND(ROUND(AT72*AG72,2),2)</f>
        <v>0</v>
      </c>
    </row>
    <row r="73" spans="1:107" ht="12.75">
      <c r="A73">
        <f>ROW(Source!A87)</f>
        <v>87</v>
      </c>
      <c r="B73">
        <v>55457795</v>
      </c>
      <c r="C73">
        <v>55458113</v>
      </c>
      <c r="D73">
        <v>53668685</v>
      </c>
      <c r="E73">
        <v>1</v>
      </c>
      <c r="F73">
        <v>1</v>
      </c>
      <c r="G73">
        <v>1</v>
      </c>
      <c r="H73">
        <v>3</v>
      </c>
      <c r="I73" t="s">
        <v>142</v>
      </c>
      <c r="J73" t="s">
        <v>145</v>
      </c>
      <c r="K73" t="s">
        <v>143</v>
      </c>
      <c r="L73">
        <v>1327</v>
      </c>
      <c r="N73">
        <v>1005</v>
      </c>
      <c r="O73" t="s">
        <v>144</v>
      </c>
      <c r="P73" t="s">
        <v>144</v>
      </c>
      <c r="Q73">
        <v>1</v>
      </c>
      <c r="W73">
        <v>0</v>
      </c>
      <c r="X73">
        <v>1276428827</v>
      </c>
      <c r="Y73">
        <v>114</v>
      </c>
      <c r="AA73">
        <v>27.73</v>
      </c>
      <c r="AB73">
        <v>0</v>
      </c>
      <c r="AC73">
        <v>0</v>
      </c>
      <c r="AD73">
        <v>0</v>
      </c>
      <c r="AE73">
        <v>27.73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T73">
        <v>114</v>
      </c>
      <c r="AV73">
        <v>0</v>
      </c>
      <c r="AW73">
        <v>1</v>
      </c>
      <c r="AX73">
        <v>-1</v>
      </c>
      <c r="AY73">
        <v>0</v>
      </c>
      <c r="AZ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Y73*Source!I87</f>
        <v>1.1400000000000001</v>
      </c>
      <c r="CY73">
        <f>AA73</f>
        <v>27.73</v>
      </c>
      <c r="CZ73">
        <f>AE73</f>
        <v>27.73</v>
      </c>
      <c r="DA73">
        <f>AI73</f>
        <v>1</v>
      </c>
      <c r="DB73">
        <f>ROUND(ROUND(AT73*CZ73,2),2)</f>
        <v>3161.22</v>
      </c>
      <c r="DC73">
        <f>ROUND(ROUND(AT73*AG73,2),2)</f>
        <v>0</v>
      </c>
    </row>
    <row r="74" spans="1:107" ht="12.75">
      <c r="A74">
        <f>ROW(Source!A87)</f>
        <v>87</v>
      </c>
      <c r="B74">
        <v>55457795</v>
      </c>
      <c r="C74">
        <v>55458113</v>
      </c>
      <c r="D74">
        <v>53668689</v>
      </c>
      <c r="E74">
        <v>1</v>
      </c>
      <c r="F74">
        <v>1</v>
      </c>
      <c r="G74">
        <v>1</v>
      </c>
      <c r="H74">
        <v>3</v>
      </c>
      <c r="I74" t="s">
        <v>147</v>
      </c>
      <c r="J74" t="s">
        <v>149</v>
      </c>
      <c r="K74" t="s">
        <v>148</v>
      </c>
      <c r="L74">
        <v>1327</v>
      </c>
      <c r="N74">
        <v>1005</v>
      </c>
      <c r="O74" t="s">
        <v>144</v>
      </c>
      <c r="P74" t="s">
        <v>144</v>
      </c>
      <c r="Q74">
        <v>1</v>
      </c>
      <c r="W74">
        <v>0</v>
      </c>
      <c r="X74">
        <v>-583407189</v>
      </c>
      <c r="Y74">
        <v>116</v>
      </c>
      <c r="AA74">
        <v>19.75</v>
      </c>
      <c r="AB74">
        <v>0</v>
      </c>
      <c r="AC74">
        <v>0</v>
      </c>
      <c r="AD74">
        <v>0</v>
      </c>
      <c r="AE74">
        <v>19.75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116</v>
      </c>
      <c r="AV74">
        <v>0</v>
      </c>
      <c r="AW74">
        <v>1</v>
      </c>
      <c r="AX74">
        <v>-1</v>
      </c>
      <c r="AY74">
        <v>0</v>
      </c>
      <c r="AZ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Y74*Source!I87</f>
        <v>1.16</v>
      </c>
      <c r="CY74">
        <f>AA74</f>
        <v>19.75</v>
      </c>
      <c r="CZ74">
        <f>AE74</f>
        <v>19.75</v>
      </c>
      <c r="DA74">
        <f>AI74</f>
        <v>1</v>
      </c>
      <c r="DB74">
        <f>ROUND(ROUND(AT74*CZ74,2),2)</f>
        <v>2291</v>
      </c>
      <c r="DC74">
        <f>ROUND(ROUND(AT74*AG74,2),2)</f>
        <v>0</v>
      </c>
    </row>
    <row r="75" spans="1:107" ht="12.75">
      <c r="A75">
        <f>ROW(Source!A88)</f>
        <v>88</v>
      </c>
      <c r="B75">
        <v>55457796</v>
      </c>
      <c r="C75">
        <v>55458113</v>
      </c>
      <c r="D75">
        <v>49459419</v>
      </c>
      <c r="E75">
        <v>58</v>
      </c>
      <c r="F75">
        <v>1</v>
      </c>
      <c r="G75">
        <v>1</v>
      </c>
      <c r="H75">
        <v>1</v>
      </c>
      <c r="I75" t="s">
        <v>331</v>
      </c>
      <c r="K75" t="s">
        <v>332</v>
      </c>
      <c r="L75">
        <v>1191</v>
      </c>
      <c r="N75">
        <v>1013</v>
      </c>
      <c r="O75" t="s">
        <v>292</v>
      </c>
      <c r="P75" t="s">
        <v>292</v>
      </c>
      <c r="Q75">
        <v>1</v>
      </c>
      <c r="W75">
        <v>0</v>
      </c>
      <c r="X75">
        <v>-1081351934</v>
      </c>
      <c r="Y75">
        <v>16.514</v>
      </c>
      <c r="AA75">
        <v>0</v>
      </c>
      <c r="AB75">
        <v>0</v>
      </c>
      <c r="AC75">
        <v>0</v>
      </c>
      <c r="AD75">
        <v>342.82</v>
      </c>
      <c r="AE75">
        <v>0</v>
      </c>
      <c r="AF75">
        <v>0</v>
      </c>
      <c r="AG75">
        <v>0</v>
      </c>
      <c r="AH75">
        <v>9.4</v>
      </c>
      <c r="AI75">
        <v>1</v>
      </c>
      <c r="AJ75">
        <v>1</v>
      </c>
      <c r="AK75">
        <v>1</v>
      </c>
      <c r="AL75">
        <v>36.47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14.36</v>
      </c>
      <c r="AU75" t="s">
        <v>112</v>
      </c>
      <c r="AV75">
        <v>1</v>
      </c>
      <c r="AW75">
        <v>2</v>
      </c>
      <c r="AX75">
        <v>55458122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Y75*Source!I88</f>
        <v>0.16514</v>
      </c>
      <c r="CY75">
        <f>AD75</f>
        <v>342.82</v>
      </c>
      <c r="CZ75">
        <f>AH75</f>
        <v>9.4</v>
      </c>
      <c r="DA75">
        <f>AL75</f>
        <v>36.47</v>
      </c>
      <c r="DB75">
        <f>ROUND((ROUND(AT75*CZ75,2)*ROUND(1.15,7)),2)</f>
        <v>155.23</v>
      </c>
      <c r="DC75">
        <f>ROUND((ROUND(AT75*AG75,2)*ROUND(1.15,7)),2)</f>
        <v>0</v>
      </c>
    </row>
    <row r="76" spans="1:107" ht="12.75">
      <c r="A76">
        <f>ROW(Source!A88)</f>
        <v>88</v>
      </c>
      <c r="B76">
        <v>55457796</v>
      </c>
      <c r="C76">
        <v>55458113</v>
      </c>
      <c r="D76">
        <v>49459566</v>
      </c>
      <c r="E76">
        <v>58</v>
      </c>
      <c r="F76">
        <v>1</v>
      </c>
      <c r="G76">
        <v>1</v>
      </c>
      <c r="H76">
        <v>1</v>
      </c>
      <c r="I76" t="s">
        <v>310</v>
      </c>
      <c r="K76" t="s">
        <v>300</v>
      </c>
      <c r="L76">
        <v>1191</v>
      </c>
      <c r="N76">
        <v>1013</v>
      </c>
      <c r="O76" t="s">
        <v>292</v>
      </c>
      <c r="P76" t="s">
        <v>292</v>
      </c>
      <c r="Q76">
        <v>1</v>
      </c>
      <c r="W76">
        <v>0</v>
      </c>
      <c r="X76">
        <v>-1173606021</v>
      </c>
      <c r="Y76">
        <v>0.3625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36.47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0.29</v>
      </c>
      <c r="AU76" t="s">
        <v>111</v>
      </c>
      <c r="AV76">
        <v>2</v>
      </c>
      <c r="AW76">
        <v>2</v>
      </c>
      <c r="AX76">
        <v>55458123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Y76*Source!I88</f>
        <v>0.0036249999999999998</v>
      </c>
      <c r="CY76">
        <f>AD76</f>
        <v>0</v>
      </c>
      <c r="CZ76">
        <f>AH76</f>
        <v>0</v>
      </c>
      <c r="DA76">
        <f>AL76</f>
        <v>1</v>
      </c>
      <c r="DB76">
        <f>ROUND((ROUND(AT76*CZ76,2)*ROUND(1.25,7)),2)</f>
        <v>0</v>
      </c>
      <c r="DC76">
        <f>ROUND((ROUND(AT76*AG76,2)*ROUND(1.25,7)),2)</f>
        <v>0</v>
      </c>
    </row>
    <row r="77" spans="1:107" ht="12.75">
      <c r="A77">
        <f>ROW(Source!A88)</f>
        <v>88</v>
      </c>
      <c r="B77">
        <v>55457796</v>
      </c>
      <c r="C77">
        <v>55458113</v>
      </c>
      <c r="D77">
        <v>49620286</v>
      </c>
      <c r="E77">
        <v>1</v>
      </c>
      <c r="F77">
        <v>1</v>
      </c>
      <c r="G77">
        <v>1</v>
      </c>
      <c r="H77">
        <v>2</v>
      </c>
      <c r="I77" t="s">
        <v>311</v>
      </c>
      <c r="J77" t="s">
        <v>312</v>
      </c>
      <c r="K77" t="s">
        <v>313</v>
      </c>
      <c r="L77">
        <v>1368</v>
      </c>
      <c r="N77">
        <v>1011</v>
      </c>
      <c r="O77" t="s">
        <v>296</v>
      </c>
      <c r="P77" t="s">
        <v>296</v>
      </c>
      <c r="Q77">
        <v>1</v>
      </c>
      <c r="W77">
        <v>0</v>
      </c>
      <c r="X77">
        <v>-1554407757</v>
      </c>
      <c r="Y77">
        <v>0.1875</v>
      </c>
      <c r="AA77">
        <v>0</v>
      </c>
      <c r="AB77">
        <v>1120.61</v>
      </c>
      <c r="AC77">
        <v>492.35</v>
      </c>
      <c r="AD77">
        <v>0</v>
      </c>
      <c r="AE77">
        <v>0</v>
      </c>
      <c r="AF77">
        <v>86.4</v>
      </c>
      <c r="AG77">
        <v>13.5</v>
      </c>
      <c r="AH77">
        <v>0</v>
      </c>
      <c r="AI77">
        <v>1</v>
      </c>
      <c r="AJ77">
        <v>12.97</v>
      </c>
      <c r="AK77">
        <v>36.47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0.15</v>
      </c>
      <c r="AU77" t="s">
        <v>111</v>
      </c>
      <c r="AV77">
        <v>0</v>
      </c>
      <c r="AW77">
        <v>2</v>
      </c>
      <c r="AX77">
        <v>55458124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Y77*Source!I88</f>
        <v>0.001875</v>
      </c>
      <c r="CY77">
        <f>AB77</f>
        <v>1120.61</v>
      </c>
      <c r="CZ77">
        <f>AF77</f>
        <v>86.4</v>
      </c>
      <c r="DA77">
        <f>AJ77</f>
        <v>12.97</v>
      </c>
      <c r="DB77">
        <f>ROUND((ROUND(AT77*CZ77,2)*ROUND(1.25,7)),2)</f>
        <v>16.2</v>
      </c>
      <c r="DC77">
        <f>ROUND((ROUND(AT77*AG77,2)*ROUND(1.25,7)),2)</f>
        <v>2.54</v>
      </c>
    </row>
    <row r="78" spans="1:107" ht="12.75">
      <c r="A78">
        <f>ROW(Source!A88)</f>
        <v>88</v>
      </c>
      <c r="B78">
        <v>55457796</v>
      </c>
      <c r="C78">
        <v>55458113</v>
      </c>
      <c r="D78">
        <v>49620344</v>
      </c>
      <c r="E78">
        <v>1</v>
      </c>
      <c r="F78">
        <v>1</v>
      </c>
      <c r="G78">
        <v>1</v>
      </c>
      <c r="H78">
        <v>2</v>
      </c>
      <c r="I78" t="s">
        <v>333</v>
      </c>
      <c r="J78" t="s">
        <v>334</v>
      </c>
      <c r="K78" t="s">
        <v>335</v>
      </c>
      <c r="L78">
        <v>1368</v>
      </c>
      <c r="N78">
        <v>1011</v>
      </c>
      <c r="O78" t="s">
        <v>296</v>
      </c>
      <c r="P78" t="s">
        <v>296</v>
      </c>
      <c r="Q78">
        <v>1</v>
      </c>
      <c r="W78">
        <v>0</v>
      </c>
      <c r="X78">
        <v>30216853</v>
      </c>
      <c r="Y78">
        <v>0.0625</v>
      </c>
      <c r="AA78">
        <v>0</v>
      </c>
      <c r="AB78">
        <v>1496.74</v>
      </c>
      <c r="AC78">
        <v>492.35</v>
      </c>
      <c r="AD78">
        <v>0</v>
      </c>
      <c r="AE78">
        <v>0</v>
      </c>
      <c r="AF78">
        <v>115.4</v>
      </c>
      <c r="AG78">
        <v>13.5</v>
      </c>
      <c r="AH78">
        <v>0</v>
      </c>
      <c r="AI78">
        <v>1</v>
      </c>
      <c r="AJ78">
        <v>12.97</v>
      </c>
      <c r="AK78">
        <v>36.47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0.05</v>
      </c>
      <c r="AU78" t="s">
        <v>111</v>
      </c>
      <c r="AV78">
        <v>0</v>
      </c>
      <c r="AW78">
        <v>2</v>
      </c>
      <c r="AX78">
        <v>55458125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Y78*Source!I88</f>
        <v>0.000625</v>
      </c>
      <c r="CY78">
        <f>AB78</f>
        <v>1496.74</v>
      </c>
      <c r="CZ78">
        <f>AF78</f>
        <v>115.4</v>
      </c>
      <c r="DA78">
        <f>AJ78</f>
        <v>12.97</v>
      </c>
      <c r="DB78">
        <f>ROUND((ROUND(AT78*CZ78,2)*ROUND(1.25,7)),2)</f>
        <v>7.21</v>
      </c>
      <c r="DC78">
        <f>ROUND((ROUND(AT78*AG78,2)*ROUND(1.25,7)),2)</f>
        <v>0.85</v>
      </c>
    </row>
    <row r="79" spans="1:107" ht="12.75">
      <c r="A79">
        <f>ROW(Source!A88)</f>
        <v>88</v>
      </c>
      <c r="B79">
        <v>55457796</v>
      </c>
      <c r="C79">
        <v>55458113</v>
      </c>
      <c r="D79">
        <v>49621268</v>
      </c>
      <c r="E79">
        <v>1</v>
      </c>
      <c r="F79">
        <v>1</v>
      </c>
      <c r="G79">
        <v>1</v>
      </c>
      <c r="H79">
        <v>2</v>
      </c>
      <c r="I79" t="s">
        <v>325</v>
      </c>
      <c r="J79" t="s">
        <v>326</v>
      </c>
      <c r="K79" t="s">
        <v>327</v>
      </c>
      <c r="L79">
        <v>1368</v>
      </c>
      <c r="N79">
        <v>1011</v>
      </c>
      <c r="O79" t="s">
        <v>296</v>
      </c>
      <c r="P79" t="s">
        <v>296</v>
      </c>
      <c r="Q79">
        <v>1</v>
      </c>
      <c r="W79">
        <v>0</v>
      </c>
      <c r="X79">
        <v>1862470278</v>
      </c>
      <c r="Y79">
        <v>0.11249999999999999</v>
      </c>
      <c r="AA79">
        <v>0</v>
      </c>
      <c r="AB79">
        <v>852.26</v>
      </c>
      <c r="AC79">
        <v>423.05</v>
      </c>
      <c r="AD79">
        <v>0</v>
      </c>
      <c r="AE79">
        <v>0</v>
      </c>
      <c r="AF79">
        <v>65.71</v>
      </c>
      <c r="AG79">
        <v>11.6</v>
      </c>
      <c r="AH79">
        <v>0</v>
      </c>
      <c r="AI79">
        <v>1</v>
      </c>
      <c r="AJ79">
        <v>12.97</v>
      </c>
      <c r="AK79">
        <v>36.47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0.09</v>
      </c>
      <c r="AU79" t="s">
        <v>111</v>
      </c>
      <c r="AV79">
        <v>0</v>
      </c>
      <c r="AW79">
        <v>2</v>
      </c>
      <c r="AX79">
        <v>55458126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Y79*Source!I88</f>
        <v>0.001125</v>
      </c>
      <c r="CY79">
        <f>AB79</f>
        <v>852.26</v>
      </c>
      <c r="CZ79">
        <f>AF79</f>
        <v>65.71</v>
      </c>
      <c r="DA79">
        <f>AJ79</f>
        <v>12.97</v>
      </c>
      <c r="DB79">
        <f>ROUND((ROUND(AT79*CZ79,2)*ROUND(1.25,7)),2)</f>
        <v>7.39</v>
      </c>
      <c r="DC79">
        <f>ROUND((ROUND(AT79*AG79,2)*ROUND(1.25,7)),2)</f>
        <v>1.3</v>
      </c>
    </row>
    <row r="80" spans="1:107" ht="12.75">
      <c r="A80">
        <f>ROW(Source!A88)</f>
        <v>88</v>
      </c>
      <c r="B80">
        <v>55457796</v>
      </c>
      <c r="C80">
        <v>55458113</v>
      </c>
      <c r="D80">
        <v>49470012</v>
      </c>
      <c r="E80">
        <v>1</v>
      </c>
      <c r="F80">
        <v>1</v>
      </c>
      <c r="G80">
        <v>1</v>
      </c>
      <c r="H80">
        <v>3</v>
      </c>
      <c r="I80" t="s">
        <v>336</v>
      </c>
      <c r="J80" t="s">
        <v>337</v>
      </c>
      <c r="K80" t="s">
        <v>338</v>
      </c>
      <c r="L80">
        <v>1346</v>
      </c>
      <c r="N80">
        <v>1009</v>
      </c>
      <c r="O80" t="s">
        <v>188</v>
      </c>
      <c r="P80" t="s">
        <v>188</v>
      </c>
      <c r="Q80">
        <v>1</v>
      </c>
      <c r="W80">
        <v>0</v>
      </c>
      <c r="X80">
        <v>795665641</v>
      </c>
      <c r="Y80">
        <v>29.94</v>
      </c>
      <c r="AA80">
        <v>41.53</v>
      </c>
      <c r="AB80">
        <v>0</v>
      </c>
      <c r="AC80">
        <v>0</v>
      </c>
      <c r="AD80">
        <v>0</v>
      </c>
      <c r="AE80">
        <v>6.09</v>
      </c>
      <c r="AF80">
        <v>0</v>
      </c>
      <c r="AG80">
        <v>0</v>
      </c>
      <c r="AH80">
        <v>0</v>
      </c>
      <c r="AI80">
        <v>6.82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29.94</v>
      </c>
      <c r="AV80">
        <v>0</v>
      </c>
      <c r="AW80">
        <v>2</v>
      </c>
      <c r="AX80">
        <v>55458127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Y80*Source!I88</f>
        <v>0.2994</v>
      </c>
      <c r="CY80">
        <f>AA80</f>
        <v>41.53</v>
      </c>
      <c r="CZ80">
        <f>AE80</f>
        <v>6.09</v>
      </c>
      <c r="DA80">
        <f>AI80</f>
        <v>6.82</v>
      </c>
      <c r="DB80">
        <f>ROUND(ROUND(AT80*CZ80,2),2)</f>
        <v>182.33</v>
      </c>
      <c r="DC80">
        <f>ROUND(ROUND(AT80*AG80,2),2)</f>
        <v>0</v>
      </c>
    </row>
    <row r="81" spans="1:107" ht="12.75">
      <c r="A81">
        <f>ROW(Source!A88)</f>
        <v>88</v>
      </c>
      <c r="B81">
        <v>55457796</v>
      </c>
      <c r="C81">
        <v>55458113</v>
      </c>
      <c r="D81">
        <v>53668685</v>
      </c>
      <c r="E81">
        <v>1</v>
      </c>
      <c r="F81">
        <v>1</v>
      </c>
      <c r="G81">
        <v>1</v>
      </c>
      <c r="H81">
        <v>3</v>
      </c>
      <c r="I81" t="s">
        <v>142</v>
      </c>
      <c r="J81" t="s">
        <v>145</v>
      </c>
      <c r="K81" t="s">
        <v>143</v>
      </c>
      <c r="L81">
        <v>1327</v>
      </c>
      <c r="N81">
        <v>1005</v>
      </c>
      <c r="O81" t="s">
        <v>144</v>
      </c>
      <c r="P81" t="s">
        <v>144</v>
      </c>
      <c r="Q81">
        <v>1</v>
      </c>
      <c r="W81">
        <v>0</v>
      </c>
      <c r="X81">
        <v>1276428827</v>
      </c>
      <c r="Y81">
        <v>114</v>
      </c>
      <c r="AA81">
        <v>189.12</v>
      </c>
      <c r="AB81">
        <v>0</v>
      </c>
      <c r="AC81">
        <v>0</v>
      </c>
      <c r="AD81">
        <v>0</v>
      </c>
      <c r="AE81">
        <v>27.73</v>
      </c>
      <c r="AF81">
        <v>0</v>
      </c>
      <c r="AG81">
        <v>0</v>
      </c>
      <c r="AH81">
        <v>0</v>
      </c>
      <c r="AI81">
        <v>6.82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114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Y81*Source!I88</f>
        <v>1.1400000000000001</v>
      </c>
      <c r="CY81">
        <f>AA81</f>
        <v>189.12</v>
      </c>
      <c r="CZ81">
        <f>AE81</f>
        <v>27.73</v>
      </c>
      <c r="DA81">
        <f>AI81</f>
        <v>6.82</v>
      </c>
      <c r="DB81">
        <f>ROUND(ROUND(AT81*CZ81,2),2)</f>
        <v>3161.22</v>
      </c>
      <c r="DC81">
        <f>ROUND(ROUND(AT81*AG81,2),2)</f>
        <v>0</v>
      </c>
    </row>
    <row r="82" spans="1:107" ht="12.75">
      <c r="A82">
        <f>ROW(Source!A88)</f>
        <v>88</v>
      </c>
      <c r="B82">
        <v>55457796</v>
      </c>
      <c r="C82">
        <v>55458113</v>
      </c>
      <c r="D82">
        <v>53668689</v>
      </c>
      <c r="E82">
        <v>1</v>
      </c>
      <c r="F82">
        <v>1</v>
      </c>
      <c r="G82">
        <v>1</v>
      </c>
      <c r="H82">
        <v>3</v>
      </c>
      <c r="I82" t="s">
        <v>147</v>
      </c>
      <c r="J82" t="s">
        <v>149</v>
      </c>
      <c r="K82" t="s">
        <v>148</v>
      </c>
      <c r="L82">
        <v>1327</v>
      </c>
      <c r="N82">
        <v>1005</v>
      </c>
      <c r="O82" t="s">
        <v>144</v>
      </c>
      <c r="P82" t="s">
        <v>144</v>
      </c>
      <c r="Q82">
        <v>1</v>
      </c>
      <c r="W82">
        <v>0</v>
      </c>
      <c r="X82">
        <v>-583407189</v>
      </c>
      <c r="Y82">
        <v>116</v>
      </c>
      <c r="AA82">
        <v>134.7</v>
      </c>
      <c r="AB82">
        <v>0</v>
      </c>
      <c r="AC82">
        <v>0</v>
      </c>
      <c r="AD82">
        <v>0</v>
      </c>
      <c r="AE82">
        <v>19.75</v>
      </c>
      <c r="AF82">
        <v>0</v>
      </c>
      <c r="AG82">
        <v>0</v>
      </c>
      <c r="AH82">
        <v>0</v>
      </c>
      <c r="AI82">
        <v>6.82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116</v>
      </c>
      <c r="AV82">
        <v>0</v>
      </c>
      <c r="AW82">
        <v>1</v>
      </c>
      <c r="AX82">
        <v>-1</v>
      </c>
      <c r="AY82">
        <v>0</v>
      </c>
      <c r="AZ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Y82*Source!I88</f>
        <v>1.16</v>
      </c>
      <c r="CY82">
        <f>AA82</f>
        <v>134.7</v>
      </c>
      <c r="CZ82">
        <f>AE82</f>
        <v>19.75</v>
      </c>
      <c r="DA82">
        <f>AI82</f>
        <v>6.82</v>
      </c>
      <c r="DB82">
        <f>ROUND(ROUND(AT82*CZ82,2),2)</f>
        <v>2291</v>
      </c>
      <c r="DC82">
        <f>ROUND(ROUND(AT82*AG82,2),2)</f>
        <v>0</v>
      </c>
    </row>
    <row r="83" spans="1:107" ht="12.75">
      <c r="A83">
        <f>ROW(Source!A93)</f>
        <v>93</v>
      </c>
      <c r="B83">
        <v>55457795</v>
      </c>
      <c r="C83">
        <v>55458153</v>
      </c>
      <c r="D83">
        <v>49459409</v>
      </c>
      <c r="E83">
        <v>58</v>
      </c>
      <c r="F83">
        <v>1</v>
      </c>
      <c r="G83">
        <v>1</v>
      </c>
      <c r="H83">
        <v>1</v>
      </c>
      <c r="I83" t="s">
        <v>339</v>
      </c>
      <c r="K83" t="s">
        <v>340</v>
      </c>
      <c r="L83">
        <v>1191</v>
      </c>
      <c r="N83">
        <v>1013</v>
      </c>
      <c r="O83" t="s">
        <v>292</v>
      </c>
      <c r="P83" t="s">
        <v>292</v>
      </c>
      <c r="Q83">
        <v>1</v>
      </c>
      <c r="W83">
        <v>0</v>
      </c>
      <c r="X83">
        <v>-1027537862</v>
      </c>
      <c r="Y83">
        <v>60.0415</v>
      </c>
      <c r="AA83">
        <v>0</v>
      </c>
      <c r="AB83">
        <v>0</v>
      </c>
      <c r="AC83">
        <v>0</v>
      </c>
      <c r="AD83">
        <v>9.18</v>
      </c>
      <c r="AE83">
        <v>0</v>
      </c>
      <c r="AF83">
        <v>0</v>
      </c>
      <c r="AG83">
        <v>0</v>
      </c>
      <c r="AH83">
        <v>9.18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52.21</v>
      </c>
      <c r="AU83" t="s">
        <v>112</v>
      </c>
      <c r="AV83">
        <v>1</v>
      </c>
      <c r="AW83">
        <v>2</v>
      </c>
      <c r="AX83">
        <v>55458168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Y83*Source!I93</f>
        <v>102.310716</v>
      </c>
      <c r="CY83">
        <f>AD83</f>
        <v>9.18</v>
      </c>
      <c r="CZ83">
        <f>AH83</f>
        <v>9.18</v>
      </c>
      <c r="DA83">
        <f>AL83</f>
        <v>1</v>
      </c>
      <c r="DB83">
        <f>ROUND((ROUND(AT83*CZ83,2)*ROUND(1.15,7)),2)</f>
        <v>551.18</v>
      </c>
      <c r="DC83">
        <f>ROUND((ROUND(AT83*AG83,2)*ROUND(1.15,7)),2)</f>
        <v>0</v>
      </c>
    </row>
    <row r="84" spans="1:107" ht="12.75">
      <c r="A84">
        <f>ROW(Source!A93)</f>
        <v>93</v>
      </c>
      <c r="B84">
        <v>55457795</v>
      </c>
      <c r="C84">
        <v>55458153</v>
      </c>
      <c r="D84">
        <v>49459566</v>
      </c>
      <c r="E84">
        <v>58</v>
      </c>
      <c r="F84">
        <v>1</v>
      </c>
      <c r="G84">
        <v>1</v>
      </c>
      <c r="H84">
        <v>1</v>
      </c>
      <c r="I84" t="s">
        <v>310</v>
      </c>
      <c r="K84" t="s">
        <v>300</v>
      </c>
      <c r="L84">
        <v>1191</v>
      </c>
      <c r="N84">
        <v>1013</v>
      </c>
      <c r="O84" t="s">
        <v>292</v>
      </c>
      <c r="P84" t="s">
        <v>292</v>
      </c>
      <c r="Q84">
        <v>1</v>
      </c>
      <c r="W84">
        <v>0</v>
      </c>
      <c r="X84">
        <v>-1173606021</v>
      </c>
      <c r="Y84">
        <v>1.0875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0.87</v>
      </c>
      <c r="AU84" t="s">
        <v>111</v>
      </c>
      <c r="AV84">
        <v>2</v>
      </c>
      <c r="AW84">
        <v>2</v>
      </c>
      <c r="AX84">
        <v>55458169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Y84*Source!I93</f>
        <v>1.8530999999999997</v>
      </c>
      <c r="CY84">
        <f>AD84</f>
        <v>0</v>
      </c>
      <c r="CZ84">
        <f>AH84</f>
        <v>0</v>
      </c>
      <c r="DA84">
        <f>AL84</f>
        <v>1</v>
      </c>
      <c r="DB84">
        <f>ROUND((ROUND(AT84*CZ84,2)*ROUND(1.25,7)),2)</f>
        <v>0</v>
      </c>
      <c r="DC84">
        <f>ROUND((ROUND(AT84*AG84,2)*ROUND(1.25,7)),2)</f>
        <v>0</v>
      </c>
    </row>
    <row r="85" spans="1:107" ht="12.75">
      <c r="A85">
        <f>ROW(Source!A93)</f>
        <v>93</v>
      </c>
      <c r="B85">
        <v>55457795</v>
      </c>
      <c r="C85">
        <v>55458153</v>
      </c>
      <c r="D85">
        <v>49620286</v>
      </c>
      <c r="E85">
        <v>1</v>
      </c>
      <c r="F85">
        <v>1</v>
      </c>
      <c r="G85">
        <v>1</v>
      </c>
      <c r="H85">
        <v>2</v>
      </c>
      <c r="I85" t="s">
        <v>311</v>
      </c>
      <c r="J85" t="s">
        <v>312</v>
      </c>
      <c r="K85" t="s">
        <v>313</v>
      </c>
      <c r="L85">
        <v>1368</v>
      </c>
      <c r="N85">
        <v>1011</v>
      </c>
      <c r="O85" t="s">
        <v>296</v>
      </c>
      <c r="P85" t="s">
        <v>296</v>
      </c>
      <c r="Q85">
        <v>1</v>
      </c>
      <c r="W85">
        <v>0</v>
      </c>
      <c r="X85">
        <v>-1554407757</v>
      </c>
      <c r="Y85">
        <v>0.675</v>
      </c>
      <c r="AA85">
        <v>0</v>
      </c>
      <c r="AB85">
        <v>86.4</v>
      </c>
      <c r="AC85">
        <v>13.5</v>
      </c>
      <c r="AD85">
        <v>0</v>
      </c>
      <c r="AE85">
        <v>0</v>
      </c>
      <c r="AF85">
        <v>86.4</v>
      </c>
      <c r="AG85">
        <v>13.5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0.54</v>
      </c>
      <c r="AU85" t="s">
        <v>111</v>
      </c>
      <c r="AV85">
        <v>0</v>
      </c>
      <c r="AW85">
        <v>2</v>
      </c>
      <c r="AX85">
        <v>55458170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Y85*Source!I93</f>
        <v>1.1502000000000001</v>
      </c>
      <c r="CY85">
        <f>AB85</f>
        <v>86.4</v>
      </c>
      <c r="CZ85">
        <f>AF85</f>
        <v>86.4</v>
      </c>
      <c r="DA85">
        <f>AJ85</f>
        <v>1</v>
      </c>
      <c r="DB85">
        <f>ROUND((ROUND(AT85*CZ85,2)*ROUND(1.25,7)),2)</f>
        <v>58.33</v>
      </c>
      <c r="DC85">
        <f>ROUND((ROUND(AT85*AG85,2)*ROUND(1.25,7)),2)</f>
        <v>9.11</v>
      </c>
    </row>
    <row r="86" spans="1:107" ht="12.75">
      <c r="A86">
        <f>ROW(Source!A93)</f>
        <v>93</v>
      </c>
      <c r="B86">
        <v>55457795</v>
      </c>
      <c r="C86">
        <v>55458153</v>
      </c>
      <c r="D86">
        <v>49620344</v>
      </c>
      <c r="E86">
        <v>1</v>
      </c>
      <c r="F86">
        <v>1</v>
      </c>
      <c r="G86">
        <v>1</v>
      </c>
      <c r="H86">
        <v>2</v>
      </c>
      <c r="I86" t="s">
        <v>333</v>
      </c>
      <c r="J86" t="s">
        <v>334</v>
      </c>
      <c r="K86" t="s">
        <v>335</v>
      </c>
      <c r="L86">
        <v>1368</v>
      </c>
      <c r="N86">
        <v>1011</v>
      </c>
      <c r="O86" t="s">
        <v>296</v>
      </c>
      <c r="P86" t="s">
        <v>296</v>
      </c>
      <c r="Q86">
        <v>1</v>
      </c>
      <c r="W86">
        <v>0</v>
      </c>
      <c r="X86">
        <v>30216853</v>
      </c>
      <c r="Y86">
        <v>0.1625</v>
      </c>
      <c r="AA86">
        <v>0</v>
      </c>
      <c r="AB86">
        <v>115.4</v>
      </c>
      <c r="AC86">
        <v>13.5</v>
      </c>
      <c r="AD86">
        <v>0</v>
      </c>
      <c r="AE86">
        <v>0</v>
      </c>
      <c r="AF86">
        <v>115.4</v>
      </c>
      <c r="AG86">
        <v>13.5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0.13</v>
      </c>
      <c r="AU86" t="s">
        <v>111</v>
      </c>
      <c r="AV86">
        <v>0</v>
      </c>
      <c r="AW86">
        <v>2</v>
      </c>
      <c r="AX86">
        <v>55458171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Y86*Source!I93</f>
        <v>0.2769</v>
      </c>
      <c r="CY86">
        <f>AB86</f>
        <v>115.4</v>
      </c>
      <c r="CZ86">
        <f>AF86</f>
        <v>115.4</v>
      </c>
      <c r="DA86">
        <f>AJ86</f>
        <v>1</v>
      </c>
      <c r="DB86">
        <f>ROUND((ROUND(AT86*CZ86,2)*ROUND(1.25,7)),2)</f>
        <v>18.75</v>
      </c>
      <c r="DC86">
        <f>ROUND((ROUND(AT86*AG86,2)*ROUND(1.25,7)),2)</f>
        <v>2.2</v>
      </c>
    </row>
    <row r="87" spans="1:107" ht="12.75">
      <c r="A87">
        <f>ROW(Source!A93)</f>
        <v>93</v>
      </c>
      <c r="B87">
        <v>55457795</v>
      </c>
      <c r="C87">
        <v>55458153</v>
      </c>
      <c r="D87">
        <v>49621268</v>
      </c>
      <c r="E87">
        <v>1</v>
      </c>
      <c r="F87">
        <v>1</v>
      </c>
      <c r="G87">
        <v>1</v>
      </c>
      <c r="H87">
        <v>2</v>
      </c>
      <c r="I87" t="s">
        <v>325</v>
      </c>
      <c r="J87" t="s">
        <v>326</v>
      </c>
      <c r="K87" t="s">
        <v>327</v>
      </c>
      <c r="L87">
        <v>1368</v>
      </c>
      <c r="N87">
        <v>1011</v>
      </c>
      <c r="O87" t="s">
        <v>296</v>
      </c>
      <c r="P87" t="s">
        <v>296</v>
      </c>
      <c r="Q87">
        <v>1</v>
      </c>
      <c r="W87">
        <v>0</v>
      </c>
      <c r="X87">
        <v>1862470278</v>
      </c>
      <c r="Y87">
        <v>0.25</v>
      </c>
      <c r="AA87">
        <v>0</v>
      </c>
      <c r="AB87">
        <v>65.71</v>
      </c>
      <c r="AC87">
        <v>11.6</v>
      </c>
      <c r="AD87">
        <v>0</v>
      </c>
      <c r="AE87">
        <v>0</v>
      </c>
      <c r="AF87">
        <v>65.71</v>
      </c>
      <c r="AG87">
        <v>11.6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0.2</v>
      </c>
      <c r="AU87" t="s">
        <v>111</v>
      </c>
      <c r="AV87">
        <v>0</v>
      </c>
      <c r="AW87">
        <v>2</v>
      </c>
      <c r="AX87">
        <v>55458172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Y87*Source!I93</f>
        <v>0.426</v>
      </c>
      <c r="CY87">
        <f>AB87</f>
        <v>65.71</v>
      </c>
      <c r="CZ87">
        <f>AF87</f>
        <v>65.71</v>
      </c>
      <c r="DA87">
        <f>AJ87</f>
        <v>1</v>
      </c>
      <c r="DB87">
        <f>ROUND((ROUND(AT87*CZ87,2)*ROUND(1.25,7)),2)</f>
        <v>16.43</v>
      </c>
      <c r="DC87">
        <f>ROUND((ROUND(AT87*AG87,2)*ROUND(1.25,7)),2)</f>
        <v>2.9</v>
      </c>
    </row>
    <row r="88" spans="1:107" ht="12.75">
      <c r="A88">
        <f>ROW(Source!A93)</f>
        <v>93</v>
      </c>
      <c r="B88">
        <v>55457795</v>
      </c>
      <c r="C88">
        <v>55458153</v>
      </c>
      <c r="D88">
        <v>49470012</v>
      </c>
      <c r="E88">
        <v>1</v>
      </c>
      <c r="F88">
        <v>1</v>
      </c>
      <c r="G88">
        <v>1</v>
      </c>
      <c r="H88">
        <v>3</v>
      </c>
      <c r="I88" t="s">
        <v>336</v>
      </c>
      <c r="J88" t="s">
        <v>337</v>
      </c>
      <c r="K88" t="s">
        <v>338</v>
      </c>
      <c r="L88">
        <v>1346</v>
      </c>
      <c r="N88">
        <v>1009</v>
      </c>
      <c r="O88" t="s">
        <v>188</v>
      </c>
      <c r="P88" t="s">
        <v>188</v>
      </c>
      <c r="Q88">
        <v>1</v>
      </c>
      <c r="W88">
        <v>0</v>
      </c>
      <c r="X88">
        <v>795665641</v>
      </c>
      <c r="Y88">
        <v>24.52</v>
      </c>
      <c r="AA88">
        <v>6.09</v>
      </c>
      <c r="AB88">
        <v>0</v>
      </c>
      <c r="AC88">
        <v>0</v>
      </c>
      <c r="AD88">
        <v>0</v>
      </c>
      <c r="AE88">
        <v>6.09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24.52</v>
      </c>
      <c r="AV88">
        <v>0</v>
      </c>
      <c r="AW88">
        <v>2</v>
      </c>
      <c r="AX88">
        <v>55458173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Y88*Source!I93</f>
        <v>41.78208</v>
      </c>
      <c r="CY88">
        <f aca="true" t="shared" si="0" ref="CY88:CY95">AA88</f>
        <v>6.09</v>
      </c>
      <c r="CZ88">
        <f aca="true" t="shared" si="1" ref="CZ88:CZ95">AE88</f>
        <v>6.09</v>
      </c>
      <c r="DA88">
        <f aca="true" t="shared" si="2" ref="DA88:DA95">AI88</f>
        <v>1</v>
      </c>
      <c r="DB88">
        <f aca="true" t="shared" si="3" ref="DB88:DB95">ROUND(ROUND(AT88*CZ88,2),2)</f>
        <v>149.33</v>
      </c>
      <c r="DC88">
        <f aca="true" t="shared" si="4" ref="DC88:DC95">ROUND(ROUND(AT88*AG88,2),2)</f>
        <v>0</v>
      </c>
    </row>
    <row r="89" spans="1:107" ht="12.75">
      <c r="A89">
        <f>ROW(Source!A93)</f>
        <v>93</v>
      </c>
      <c r="B89">
        <v>55457795</v>
      </c>
      <c r="C89">
        <v>55458153</v>
      </c>
      <c r="D89">
        <v>49472012</v>
      </c>
      <c r="E89">
        <v>1</v>
      </c>
      <c r="F89">
        <v>1</v>
      </c>
      <c r="G89">
        <v>1</v>
      </c>
      <c r="H89">
        <v>3</v>
      </c>
      <c r="I89" t="s">
        <v>177</v>
      </c>
      <c r="J89" t="s">
        <v>180</v>
      </c>
      <c r="K89" t="s">
        <v>178</v>
      </c>
      <c r="L89">
        <v>1407</v>
      </c>
      <c r="N89">
        <v>1013</v>
      </c>
      <c r="O89" t="s">
        <v>179</v>
      </c>
      <c r="P89" t="s">
        <v>179</v>
      </c>
      <c r="Q89">
        <v>1</v>
      </c>
      <c r="W89">
        <v>1</v>
      </c>
      <c r="X89">
        <v>1208638123</v>
      </c>
      <c r="Y89">
        <v>-0.187</v>
      </c>
      <c r="AA89">
        <v>253.8</v>
      </c>
      <c r="AB89">
        <v>0</v>
      </c>
      <c r="AC89">
        <v>0</v>
      </c>
      <c r="AD89">
        <v>0</v>
      </c>
      <c r="AE89">
        <v>253.8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-0.187</v>
      </c>
      <c r="AV89">
        <v>0</v>
      </c>
      <c r="AW89">
        <v>2</v>
      </c>
      <c r="AX89">
        <v>55458174</v>
      </c>
      <c r="AY89">
        <v>1</v>
      </c>
      <c r="AZ89">
        <v>6144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Y89*Source!I93</f>
        <v>-0.318648</v>
      </c>
      <c r="CY89">
        <f t="shared" si="0"/>
        <v>253.8</v>
      </c>
      <c r="CZ89">
        <f t="shared" si="1"/>
        <v>253.8</v>
      </c>
      <c r="DA89">
        <f t="shared" si="2"/>
        <v>1</v>
      </c>
      <c r="DB89">
        <f t="shared" si="3"/>
        <v>-47.46</v>
      </c>
      <c r="DC89">
        <f t="shared" si="4"/>
        <v>0</v>
      </c>
    </row>
    <row r="90" spans="1:107" ht="12.75">
      <c r="A90">
        <f>ROW(Source!A93)</f>
        <v>93</v>
      </c>
      <c r="B90">
        <v>55457795</v>
      </c>
      <c r="C90">
        <v>55458153</v>
      </c>
      <c r="D90">
        <v>49473922</v>
      </c>
      <c r="E90">
        <v>1</v>
      </c>
      <c r="F90">
        <v>1</v>
      </c>
      <c r="G90">
        <v>1</v>
      </c>
      <c r="H90">
        <v>3</v>
      </c>
      <c r="I90" t="s">
        <v>173</v>
      </c>
      <c r="J90" t="s">
        <v>175</v>
      </c>
      <c r="K90" t="s">
        <v>174</v>
      </c>
      <c r="L90">
        <v>1348</v>
      </c>
      <c r="N90">
        <v>1009</v>
      </c>
      <c r="O90" t="s">
        <v>123</v>
      </c>
      <c r="P90" t="s">
        <v>123</v>
      </c>
      <c r="Q90">
        <v>1000</v>
      </c>
      <c r="W90">
        <v>1</v>
      </c>
      <c r="X90">
        <v>1646829026</v>
      </c>
      <c r="Y90">
        <v>-0.00159</v>
      </c>
      <c r="AA90">
        <v>22558</v>
      </c>
      <c r="AB90">
        <v>0</v>
      </c>
      <c r="AC90">
        <v>0</v>
      </c>
      <c r="AD90">
        <v>0</v>
      </c>
      <c r="AE90">
        <v>22558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-0.00159</v>
      </c>
      <c r="AV90">
        <v>0</v>
      </c>
      <c r="AW90">
        <v>2</v>
      </c>
      <c r="AX90">
        <v>55458175</v>
      </c>
      <c r="AY90">
        <v>1</v>
      </c>
      <c r="AZ90">
        <v>6144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Y90*Source!I93</f>
        <v>-0.00270936</v>
      </c>
      <c r="CY90">
        <f t="shared" si="0"/>
        <v>22558</v>
      </c>
      <c r="CZ90">
        <f t="shared" si="1"/>
        <v>22558</v>
      </c>
      <c r="DA90">
        <f t="shared" si="2"/>
        <v>1</v>
      </c>
      <c r="DB90">
        <f t="shared" si="3"/>
        <v>-35.87</v>
      </c>
      <c r="DC90">
        <f t="shared" si="4"/>
        <v>0</v>
      </c>
    </row>
    <row r="91" spans="1:107" ht="12.75">
      <c r="A91">
        <f>ROW(Source!A93)</f>
        <v>93</v>
      </c>
      <c r="B91">
        <v>55457795</v>
      </c>
      <c r="C91">
        <v>55458153</v>
      </c>
      <c r="D91">
        <v>49476762</v>
      </c>
      <c r="E91">
        <v>1</v>
      </c>
      <c r="F91">
        <v>1</v>
      </c>
      <c r="G91">
        <v>1</v>
      </c>
      <c r="H91">
        <v>3</v>
      </c>
      <c r="I91" t="s">
        <v>169</v>
      </c>
      <c r="J91" t="s">
        <v>171</v>
      </c>
      <c r="K91" t="s">
        <v>170</v>
      </c>
      <c r="L91">
        <v>1339</v>
      </c>
      <c r="N91">
        <v>1007</v>
      </c>
      <c r="O91" t="s">
        <v>47</v>
      </c>
      <c r="P91" t="s">
        <v>47</v>
      </c>
      <c r="Q91">
        <v>1</v>
      </c>
      <c r="W91">
        <v>1</v>
      </c>
      <c r="X91">
        <v>-1924676840</v>
      </c>
      <c r="Y91">
        <v>-0.51</v>
      </c>
      <c r="AA91">
        <v>519.8</v>
      </c>
      <c r="AB91">
        <v>0</v>
      </c>
      <c r="AC91">
        <v>0</v>
      </c>
      <c r="AD91">
        <v>0</v>
      </c>
      <c r="AE91">
        <v>519.8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-0.51</v>
      </c>
      <c r="AV91">
        <v>0</v>
      </c>
      <c r="AW91">
        <v>2</v>
      </c>
      <c r="AX91">
        <v>55458176</v>
      </c>
      <c r="AY91">
        <v>1</v>
      </c>
      <c r="AZ91">
        <v>6144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Y91*Source!I93</f>
        <v>-0.86904</v>
      </c>
      <c r="CY91">
        <f t="shared" si="0"/>
        <v>519.8</v>
      </c>
      <c r="CZ91">
        <f t="shared" si="1"/>
        <v>519.8</v>
      </c>
      <c r="DA91">
        <f t="shared" si="2"/>
        <v>1</v>
      </c>
      <c r="DB91">
        <f t="shared" si="3"/>
        <v>-265.1</v>
      </c>
      <c r="DC91">
        <f t="shared" si="4"/>
        <v>0</v>
      </c>
    </row>
    <row r="92" spans="1:107" ht="12.75">
      <c r="A92">
        <f>ROW(Source!A93)</f>
        <v>93</v>
      </c>
      <c r="B92">
        <v>55457795</v>
      </c>
      <c r="C92">
        <v>55458153</v>
      </c>
      <c r="D92">
        <v>49491136</v>
      </c>
      <c r="E92">
        <v>1</v>
      </c>
      <c r="F92">
        <v>1</v>
      </c>
      <c r="G92">
        <v>1</v>
      </c>
      <c r="H92">
        <v>3</v>
      </c>
      <c r="I92" t="s">
        <v>161</v>
      </c>
      <c r="J92" t="s">
        <v>163</v>
      </c>
      <c r="K92" t="s">
        <v>162</v>
      </c>
      <c r="L92">
        <v>1348</v>
      </c>
      <c r="N92">
        <v>1009</v>
      </c>
      <c r="O92" t="s">
        <v>123</v>
      </c>
      <c r="P92" t="s">
        <v>123</v>
      </c>
      <c r="Q92">
        <v>1000</v>
      </c>
      <c r="W92">
        <v>1</v>
      </c>
      <c r="X92">
        <v>-549891075</v>
      </c>
      <c r="Y92">
        <v>-0.2</v>
      </c>
      <c r="AA92">
        <v>11200</v>
      </c>
      <c r="AB92">
        <v>0</v>
      </c>
      <c r="AC92">
        <v>0</v>
      </c>
      <c r="AD92">
        <v>0</v>
      </c>
      <c r="AE92">
        <v>11200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-0.2</v>
      </c>
      <c r="AV92">
        <v>0</v>
      </c>
      <c r="AW92">
        <v>2</v>
      </c>
      <c r="AX92">
        <v>55458177</v>
      </c>
      <c r="AY92">
        <v>1</v>
      </c>
      <c r="AZ92">
        <v>6144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Y92*Source!I93</f>
        <v>-0.3408</v>
      </c>
      <c r="CY92">
        <f t="shared" si="0"/>
        <v>11200</v>
      </c>
      <c r="CZ92">
        <f t="shared" si="1"/>
        <v>11200</v>
      </c>
      <c r="DA92">
        <f t="shared" si="2"/>
        <v>1</v>
      </c>
      <c r="DB92">
        <f t="shared" si="3"/>
        <v>-2240</v>
      </c>
      <c r="DC92">
        <f t="shared" si="4"/>
        <v>0</v>
      </c>
    </row>
    <row r="93" spans="1:107" ht="12.75">
      <c r="A93">
        <f>ROW(Source!A93)</f>
        <v>93</v>
      </c>
      <c r="B93">
        <v>55457795</v>
      </c>
      <c r="C93">
        <v>55458153</v>
      </c>
      <c r="D93">
        <v>49491236</v>
      </c>
      <c r="E93">
        <v>1</v>
      </c>
      <c r="F93">
        <v>1</v>
      </c>
      <c r="G93">
        <v>1</v>
      </c>
      <c r="H93">
        <v>3</v>
      </c>
      <c r="I93" t="s">
        <v>165</v>
      </c>
      <c r="J93" t="s">
        <v>167</v>
      </c>
      <c r="K93" t="s">
        <v>166</v>
      </c>
      <c r="L93">
        <v>1348</v>
      </c>
      <c r="N93">
        <v>1009</v>
      </c>
      <c r="O93" t="s">
        <v>123</v>
      </c>
      <c r="P93" t="s">
        <v>123</v>
      </c>
      <c r="Q93">
        <v>1000</v>
      </c>
      <c r="W93">
        <v>1</v>
      </c>
      <c r="X93">
        <v>-1846459573</v>
      </c>
      <c r="Y93">
        <v>-0.013</v>
      </c>
      <c r="AA93">
        <v>5000</v>
      </c>
      <c r="AB93">
        <v>0</v>
      </c>
      <c r="AC93">
        <v>0</v>
      </c>
      <c r="AD93">
        <v>0</v>
      </c>
      <c r="AE93">
        <v>5000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-0.013</v>
      </c>
      <c r="AV93">
        <v>0</v>
      </c>
      <c r="AW93">
        <v>2</v>
      </c>
      <c r="AX93">
        <v>55458178</v>
      </c>
      <c r="AY93">
        <v>1</v>
      </c>
      <c r="AZ93">
        <v>6144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Y93*Source!I93</f>
        <v>-0.022151999999999998</v>
      </c>
      <c r="CY93">
        <f t="shared" si="0"/>
        <v>5000</v>
      </c>
      <c r="CZ93">
        <f t="shared" si="1"/>
        <v>5000</v>
      </c>
      <c r="DA93">
        <f t="shared" si="2"/>
        <v>1</v>
      </c>
      <c r="DB93">
        <f t="shared" si="3"/>
        <v>-65</v>
      </c>
      <c r="DC93">
        <f t="shared" si="4"/>
        <v>0</v>
      </c>
    </row>
    <row r="94" spans="1:107" ht="12.75">
      <c r="A94">
        <f>ROW(Source!A93)</f>
        <v>93</v>
      </c>
      <c r="B94">
        <v>55457795</v>
      </c>
      <c r="C94">
        <v>55458153</v>
      </c>
      <c r="D94">
        <v>53668689</v>
      </c>
      <c r="E94">
        <v>1</v>
      </c>
      <c r="F94">
        <v>1</v>
      </c>
      <c r="G94">
        <v>1</v>
      </c>
      <c r="H94">
        <v>3</v>
      </c>
      <c r="I94" t="s">
        <v>147</v>
      </c>
      <c r="J94" t="s">
        <v>149</v>
      </c>
      <c r="K94" t="s">
        <v>148</v>
      </c>
      <c r="L94">
        <v>1327</v>
      </c>
      <c r="N94">
        <v>1005</v>
      </c>
      <c r="O94" t="s">
        <v>144</v>
      </c>
      <c r="P94" t="s">
        <v>144</v>
      </c>
      <c r="Q94">
        <v>1</v>
      </c>
      <c r="W94">
        <v>0</v>
      </c>
      <c r="X94">
        <v>-583407189</v>
      </c>
      <c r="Y94">
        <v>116</v>
      </c>
      <c r="AA94">
        <v>19.75</v>
      </c>
      <c r="AB94">
        <v>0</v>
      </c>
      <c r="AC94">
        <v>0</v>
      </c>
      <c r="AD94">
        <v>0</v>
      </c>
      <c r="AE94">
        <v>19.75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116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Y94*Source!I93</f>
        <v>197.664</v>
      </c>
      <c r="CY94">
        <f t="shared" si="0"/>
        <v>19.75</v>
      </c>
      <c r="CZ94">
        <f t="shared" si="1"/>
        <v>19.75</v>
      </c>
      <c r="DA94">
        <f t="shared" si="2"/>
        <v>1</v>
      </c>
      <c r="DB94">
        <f t="shared" si="3"/>
        <v>2291</v>
      </c>
      <c r="DC94">
        <f t="shared" si="4"/>
        <v>0</v>
      </c>
    </row>
    <row r="95" spans="1:107" ht="12.75">
      <c r="A95">
        <f>ROW(Source!A93)</f>
        <v>93</v>
      </c>
      <c r="B95">
        <v>55457795</v>
      </c>
      <c r="C95">
        <v>55458153</v>
      </c>
      <c r="D95">
        <v>49503474</v>
      </c>
      <c r="E95">
        <v>1</v>
      </c>
      <c r="F95">
        <v>1</v>
      </c>
      <c r="G95">
        <v>1</v>
      </c>
      <c r="H95">
        <v>3</v>
      </c>
      <c r="I95" t="s">
        <v>341</v>
      </c>
      <c r="J95" t="s">
        <v>342</v>
      </c>
      <c r="K95" t="s">
        <v>343</v>
      </c>
      <c r="L95">
        <v>1346</v>
      </c>
      <c r="N95">
        <v>1009</v>
      </c>
      <c r="O95" t="s">
        <v>188</v>
      </c>
      <c r="P95" t="s">
        <v>188</v>
      </c>
      <c r="Q95">
        <v>1</v>
      </c>
      <c r="W95">
        <v>0</v>
      </c>
      <c r="X95">
        <v>1394592096</v>
      </c>
      <c r="Y95">
        <v>6.7</v>
      </c>
      <c r="AA95">
        <v>74.58</v>
      </c>
      <c r="AB95">
        <v>0</v>
      </c>
      <c r="AC95">
        <v>0</v>
      </c>
      <c r="AD95">
        <v>0</v>
      </c>
      <c r="AE95">
        <v>74.58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6.7</v>
      </c>
      <c r="AV95">
        <v>0</v>
      </c>
      <c r="AW95">
        <v>2</v>
      </c>
      <c r="AX95">
        <v>55458180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Y95*Source!I93</f>
        <v>11.4168</v>
      </c>
      <c r="CY95">
        <f t="shared" si="0"/>
        <v>74.58</v>
      </c>
      <c r="CZ95">
        <f t="shared" si="1"/>
        <v>74.58</v>
      </c>
      <c r="DA95">
        <f t="shared" si="2"/>
        <v>1</v>
      </c>
      <c r="DB95">
        <f t="shared" si="3"/>
        <v>499.69</v>
      </c>
      <c r="DC95">
        <f t="shared" si="4"/>
        <v>0</v>
      </c>
    </row>
    <row r="96" spans="1:107" ht="12.75">
      <c r="A96">
        <f>ROW(Source!A94)</f>
        <v>94</v>
      </c>
      <c r="B96">
        <v>55457796</v>
      </c>
      <c r="C96">
        <v>55458153</v>
      </c>
      <c r="D96">
        <v>49459409</v>
      </c>
      <c r="E96">
        <v>58</v>
      </c>
      <c r="F96">
        <v>1</v>
      </c>
      <c r="G96">
        <v>1</v>
      </c>
      <c r="H96">
        <v>1</v>
      </c>
      <c r="I96" t="s">
        <v>339</v>
      </c>
      <c r="K96" t="s">
        <v>340</v>
      </c>
      <c r="L96">
        <v>1191</v>
      </c>
      <c r="N96">
        <v>1013</v>
      </c>
      <c r="O96" t="s">
        <v>292</v>
      </c>
      <c r="P96" t="s">
        <v>292</v>
      </c>
      <c r="Q96">
        <v>1</v>
      </c>
      <c r="W96">
        <v>0</v>
      </c>
      <c r="X96">
        <v>-1027537862</v>
      </c>
      <c r="Y96">
        <v>60.0415</v>
      </c>
      <c r="AA96">
        <v>0</v>
      </c>
      <c r="AB96">
        <v>0</v>
      </c>
      <c r="AC96">
        <v>0</v>
      </c>
      <c r="AD96">
        <v>334.79</v>
      </c>
      <c r="AE96">
        <v>0</v>
      </c>
      <c r="AF96">
        <v>0</v>
      </c>
      <c r="AG96">
        <v>0</v>
      </c>
      <c r="AH96">
        <v>9.18</v>
      </c>
      <c r="AI96">
        <v>1</v>
      </c>
      <c r="AJ96">
        <v>1</v>
      </c>
      <c r="AK96">
        <v>1</v>
      </c>
      <c r="AL96">
        <v>36.47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52.21</v>
      </c>
      <c r="AU96" t="s">
        <v>112</v>
      </c>
      <c r="AV96">
        <v>1</v>
      </c>
      <c r="AW96">
        <v>2</v>
      </c>
      <c r="AX96">
        <v>55458168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Y96*Source!I94</f>
        <v>102.310716</v>
      </c>
      <c r="CY96">
        <f>AD96</f>
        <v>334.79</v>
      </c>
      <c r="CZ96">
        <f>AH96</f>
        <v>9.18</v>
      </c>
      <c r="DA96">
        <f>AL96</f>
        <v>36.47</v>
      </c>
      <c r="DB96">
        <f>ROUND((ROUND(AT96*CZ96,2)*ROUND(1.15,7)),2)</f>
        <v>551.18</v>
      </c>
      <c r="DC96">
        <f>ROUND((ROUND(AT96*AG96,2)*ROUND(1.15,7)),2)</f>
        <v>0</v>
      </c>
    </row>
    <row r="97" spans="1:107" ht="12.75">
      <c r="A97">
        <f>ROW(Source!A94)</f>
        <v>94</v>
      </c>
      <c r="B97">
        <v>55457796</v>
      </c>
      <c r="C97">
        <v>55458153</v>
      </c>
      <c r="D97">
        <v>49459566</v>
      </c>
      <c r="E97">
        <v>58</v>
      </c>
      <c r="F97">
        <v>1</v>
      </c>
      <c r="G97">
        <v>1</v>
      </c>
      <c r="H97">
        <v>1</v>
      </c>
      <c r="I97" t="s">
        <v>310</v>
      </c>
      <c r="K97" t="s">
        <v>300</v>
      </c>
      <c r="L97">
        <v>1191</v>
      </c>
      <c r="N97">
        <v>1013</v>
      </c>
      <c r="O97" t="s">
        <v>292</v>
      </c>
      <c r="P97" t="s">
        <v>292</v>
      </c>
      <c r="Q97">
        <v>1</v>
      </c>
      <c r="W97">
        <v>0</v>
      </c>
      <c r="X97">
        <v>-1173606021</v>
      </c>
      <c r="Y97">
        <v>1.0875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36.47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0.87</v>
      </c>
      <c r="AU97" t="s">
        <v>111</v>
      </c>
      <c r="AV97">
        <v>2</v>
      </c>
      <c r="AW97">
        <v>2</v>
      </c>
      <c r="AX97">
        <v>55458169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Y97*Source!I94</f>
        <v>1.8530999999999997</v>
      </c>
      <c r="CY97">
        <f>AD97</f>
        <v>0</v>
      </c>
      <c r="CZ97">
        <f>AH97</f>
        <v>0</v>
      </c>
      <c r="DA97">
        <f>AL97</f>
        <v>1</v>
      </c>
      <c r="DB97">
        <f>ROUND((ROUND(AT97*CZ97,2)*ROUND(1.25,7)),2)</f>
        <v>0</v>
      </c>
      <c r="DC97">
        <f>ROUND((ROUND(AT97*AG97,2)*ROUND(1.25,7)),2)</f>
        <v>0</v>
      </c>
    </row>
    <row r="98" spans="1:107" ht="12.75">
      <c r="A98">
        <f>ROW(Source!A94)</f>
        <v>94</v>
      </c>
      <c r="B98">
        <v>55457796</v>
      </c>
      <c r="C98">
        <v>55458153</v>
      </c>
      <c r="D98">
        <v>49620286</v>
      </c>
      <c r="E98">
        <v>1</v>
      </c>
      <c r="F98">
        <v>1</v>
      </c>
      <c r="G98">
        <v>1</v>
      </c>
      <c r="H98">
        <v>2</v>
      </c>
      <c r="I98" t="s">
        <v>311</v>
      </c>
      <c r="J98" t="s">
        <v>312</v>
      </c>
      <c r="K98" t="s">
        <v>313</v>
      </c>
      <c r="L98">
        <v>1368</v>
      </c>
      <c r="N98">
        <v>1011</v>
      </c>
      <c r="O98" t="s">
        <v>296</v>
      </c>
      <c r="P98" t="s">
        <v>296</v>
      </c>
      <c r="Q98">
        <v>1</v>
      </c>
      <c r="W98">
        <v>0</v>
      </c>
      <c r="X98">
        <v>-1554407757</v>
      </c>
      <c r="Y98">
        <v>0.675</v>
      </c>
      <c r="AA98">
        <v>0</v>
      </c>
      <c r="AB98">
        <v>1120.61</v>
      </c>
      <c r="AC98">
        <v>492.35</v>
      </c>
      <c r="AD98">
        <v>0</v>
      </c>
      <c r="AE98">
        <v>0</v>
      </c>
      <c r="AF98">
        <v>86.4</v>
      </c>
      <c r="AG98">
        <v>13.5</v>
      </c>
      <c r="AH98">
        <v>0</v>
      </c>
      <c r="AI98">
        <v>1</v>
      </c>
      <c r="AJ98">
        <v>12.97</v>
      </c>
      <c r="AK98">
        <v>36.47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0.54</v>
      </c>
      <c r="AU98" t="s">
        <v>111</v>
      </c>
      <c r="AV98">
        <v>0</v>
      </c>
      <c r="AW98">
        <v>2</v>
      </c>
      <c r="AX98">
        <v>55458170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Y98*Source!I94</f>
        <v>1.1502000000000001</v>
      </c>
      <c r="CY98">
        <f>AB98</f>
        <v>1120.61</v>
      </c>
      <c r="CZ98">
        <f>AF98</f>
        <v>86.4</v>
      </c>
      <c r="DA98">
        <f>AJ98</f>
        <v>12.97</v>
      </c>
      <c r="DB98">
        <f>ROUND((ROUND(AT98*CZ98,2)*ROUND(1.25,7)),2)</f>
        <v>58.33</v>
      </c>
      <c r="DC98">
        <f>ROUND((ROUND(AT98*AG98,2)*ROUND(1.25,7)),2)</f>
        <v>9.11</v>
      </c>
    </row>
    <row r="99" spans="1:107" ht="12.75">
      <c r="A99">
        <f>ROW(Source!A94)</f>
        <v>94</v>
      </c>
      <c r="B99">
        <v>55457796</v>
      </c>
      <c r="C99">
        <v>55458153</v>
      </c>
      <c r="D99">
        <v>49620344</v>
      </c>
      <c r="E99">
        <v>1</v>
      </c>
      <c r="F99">
        <v>1</v>
      </c>
      <c r="G99">
        <v>1</v>
      </c>
      <c r="H99">
        <v>2</v>
      </c>
      <c r="I99" t="s">
        <v>333</v>
      </c>
      <c r="J99" t="s">
        <v>334</v>
      </c>
      <c r="K99" t="s">
        <v>335</v>
      </c>
      <c r="L99">
        <v>1368</v>
      </c>
      <c r="N99">
        <v>1011</v>
      </c>
      <c r="O99" t="s">
        <v>296</v>
      </c>
      <c r="P99" t="s">
        <v>296</v>
      </c>
      <c r="Q99">
        <v>1</v>
      </c>
      <c r="W99">
        <v>0</v>
      </c>
      <c r="X99">
        <v>30216853</v>
      </c>
      <c r="Y99">
        <v>0.1625</v>
      </c>
      <c r="AA99">
        <v>0</v>
      </c>
      <c r="AB99">
        <v>1496.74</v>
      </c>
      <c r="AC99">
        <v>492.35</v>
      </c>
      <c r="AD99">
        <v>0</v>
      </c>
      <c r="AE99">
        <v>0</v>
      </c>
      <c r="AF99">
        <v>115.4</v>
      </c>
      <c r="AG99">
        <v>13.5</v>
      </c>
      <c r="AH99">
        <v>0</v>
      </c>
      <c r="AI99">
        <v>1</v>
      </c>
      <c r="AJ99">
        <v>12.97</v>
      </c>
      <c r="AK99">
        <v>36.47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0.13</v>
      </c>
      <c r="AU99" t="s">
        <v>111</v>
      </c>
      <c r="AV99">
        <v>0</v>
      </c>
      <c r="AW99">
        <v>2</v>
      </c>
      <c r="AX99">
        <v>55458171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Y99*Source!I94</f>
        <v>0.2769</v>
      </c>
      <c r="CY99">
        <f>AB99</f>
        <v>1496.74</v>
      </c>
      <c r="CZ99">
        <f>AF99</f>
        <v>115.4</v>
      </c>
      <c r="DA99">
        <f>AJ99</f>
        <v>12.97</v>
      </c>
      <c r="DB99">
        <f>ROUND((ROUND(AT99*CZ99,2)*ROUND(1.25,7)),2)</f>
        <v>18.75</v>
      </c>
      <c r="DC99">
        <f>ROUND((ROUND(AT99*AG99,2)*ROUND(1.25,7)),2)</f>
        <v>2.2</v>
      </c>
    </row>
    <row r="100" spans="1:107" ht="12.75">
      <c r="A100">
        <f>ROW(Source!A94)</f>
        <v>94</v>
      </c>
      <c r="B100">
        <v>55457796</v>
      </c>
      <c r="C100">
        <v>55458153</v>
      </c>
      <c r="D100">
        <v>49621268</v>
      </c>
      <c r="E100">
        <v>1</v>
      </c>
      <c r="F100">
        <v>1</v>
      </c>
      <c r="G100">
        <v>1</v>
      </c>
      <c r="H100">
        <v>2</v>
      </c>
      <c r="I100" t="s">
        <v>325</v>
      </c>
      <c r="J100" t="s">
        <v>326</v>
      </c>
      <c r="K100" t="s">
        <v>327</v>
      </c>
      <c r="L100">
        <v>1368</v>
      </c>
      <c r="N100">
        <v>1011</v>
      </c>
      <c r="O100" t="s">
        <v>296</v>
      </c>
      <c r="P100" t="s">
        <v>296</v>
      </c>
      <c r="Q100">
        <v>1</v>
      </c>
      <c r="W100">
        <v>0</v>
      </c>
      <c r="X100">
        <v>1862470278</v>
      </c>
      <c r="Y100">
        <v>0.25</v>
      </c>
      <c r="AA100">
        <v>0</v>
      </c>
      <c r="AB100">
        <v>852.26</v>
      </c>
      <c r="AC100">
        <v>423.05</v>
      </c>
      <c r="AD100">
        <v>0</v>
      </c>
      <c r="AE100">
        <v>0</v>
      </c>
      <c r="AF100">
        <v>65.71</v>
      </c>
      <c r="AG100">
        <v>11.6</v>
      </c>
      <c r="AH100">
        <v>0</v>
      </c>
      <c r="AI100">
        <v>1</v>
      </c>
      <c r="AJ100">
        <v>12.97</v>
      </c>
      <c r="AK100">
        <v>36.47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0.2</v>
      </c>
      <c r="AU100" t="s">
        <v>111</v>
      </c>
      <c r="AV100">
        <v>0</v>
      </c>
      <c r="AW100">
        <v>2</v>
      </c>
      <c r="AX100">
        <v>55458172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Y100*Source!I94</f>
        <v>0.426</v>
      </c>
      <c r="CY100">
        <f>AB100</f>
        <v>852.26</v>
      </c>
      <c r="CZ100">
        <f>AF100</f>
        <v>65.71</v>
      </c>
      <c r="DA100">
        <f>AJ100</f>
        <v>12.97</v>
      </c>
      <c r="DB100">
        <f>ROUND((ROUND(AT100*CZ100,2)*ROUND(1.25,7)),2)</f>
        <v>16.43</v>
      </c>
      <c r="DC100">
        <f>ROUND((ROUND(AT100*AG100,2)*ROUND(1.25,7)),2)</f>
        <v>2.9</v>
      </c>
    </row>
    <row r="101" spans="1:107" ht="12.75">
      <c r="A101">
        <f>ROW(Source!A94)</f>
        <v>94</v>
      </c>
      <c r="B101">
        <v>55457796</v>
      </c>
      <c r="C101">
        <v>55458153</v>
      </c>
      <c r="D101">
        <v>49470012</v>
      </c>
      <c r="E101">
        <v>1</v>
      </c>
      <c r="F101">
        <v>1</v>
      </c>
      <c r="G101">
        <v>1</v>
      </c>
      <c r="H101">
        <v>3</v>
      </c>
      <c r="I101" t="s">
        <v>336</v>
      </c>
      <c r="J101" t="s">
        <v>337</v>
      </c>
      <c r="K101" t="s">
        <v>338</v>
      </c>
      <c r="L101">
        <v>1346</v>
      </c>
      <c r="N101">
        <v>1009</v>
      </c>
      <c r="O101" t="s">
        <v>188</v>
      </c>
      <c r="P101" t="s">
        <v>188</v>
      </c>
      <c r="Q101">
        <v>1</v>
      </c>
      <c r="W101">
        <v>0</v>
      </c>
      <c r="X101">
        <v>795665641</v>
      </c>
      <c r="Y101">
        <v>24.52</v>
      </c>
      <c r="AA101">
        <v>41.53</v>
      </c>
      <c r="AB101">
        <v>0</v>
      </c>
      <c r="AC101">
        <v>0</v>
      </c>
      <c r="AD101">
        <v>0</v>
      </c>
      <c r="AE101">
        <v>6.09</v>
      </c>
      <c r="AF101">
        <v>0</v>
      </c>
      <c r="AG101">
        <v>0</v>
      </c>
      <c r="AH101">
        <v>0</v>
      </c>
      <c r="AI101">
        <v>6.82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24.52</v>
      </c>
      <c r="AV101">
        <v>0</v>
      </c>
      <c r="AW101">
        <v>2</v>
      </c>
      <c r="AX101">
        <v>55458173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Y101*Source!I94</f>
        <v>41.78208</v>
      </c>
      <c r="CY101">
        <f aca="true" t="shared" si="5" ref="CY101:CY108">AA101</f>
        <v>41.53</v>
      </c>
      <c r="CZ101">
        <f aca="true" t="shared" si="6" ref="CZ101:CZ108">AE101</f>
        <v>6.09</v>
      </c>
      <c r="DA101">
        <f aca="true" t="shared" si="7" ref="DA101:DA108">AI101</f>
        <v>6.82</v>
      </c>
      <c r="DB101">
        <f aca="true" t="shared" si="8" ref="DB101:DB122">ROUND(ROUND(AT101*CZ101,2),2)</f>
        <v>149.33</v>
      </c>
      <c r="DC101">
        <f aca="true" t="shared" si="9" ref="DC101:DC122">ROUND(ROUND(AT101*AG101,2),2)</f>
        <v>0</v>
      </c>
    </row>
    <row r="102" spans="1:107" ht="12.75">
      <c r="A102">
        <f>ROW(Source!A94)</f>
        <v>94</v>
      </c>
      <c r="B102">
        <v>55457796</v>
      </c>
      <c r="C102">
        <v>55458153</v>
      </c>
      <c r="D102">
        <v>49472012</v>
      </c>
      <c r="E102">
        <v>1</v>
      </c>
      <c r="F102">
        <v>1</v>
      </c>
      <c r="G102">
        <v>1</v>
      </c>
      <c r="H102">
        <v>3</v>
      </c>
      <c r="I102" t="s">
        <v>177</v>
      </c>
      <c r="J102" t="s">
        <v>180</v>
      </c>
      <c r="K102" t="s">
        <v>178</v>
      </c>
      <c r="L102">
        <v>1407</v>
      </c>
      <c r="N102">
        <v>1013</v>
      </c>
      <c r="O102" t="s">
        <v>179</v>
      </c>
      <c r="P102" t="s">
        <v>179</v>
      </c>
      <c r="Q102">
        <v>1</v>
      </c>
      <c r="W102">
        <v>1</v>
      </c>
      <c r="X102">
        <v>1208638123</v>
      </c>
      <c r="Y102">
        <v>-0.187</v>
      </c>
      <c r="AA102">
        <v>1730.92</v>
      </c>
      <c r="AB102">
        <v>0</v>
      </c>
      <c r="AC102">
        <v>0</v>
      </c>
      <c r="AD102">
        <v>0</v>
      </c>
      <c r="AE102">
        <v>253.8</v>
      </c>
      <c r="AF102">
        <v>0</v>
      </c>
      <c r="AG102">
        <v>0</v>
      </c>
      <c r="AH102">
        <v>0</v>
      </c>
      <c r="AI102">
        <v>6.82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-0.187</v>
      </c>
      <c r="AV102">
        <v>0</v>
      </c>
      <c r="AW102">
        <v>2</v>
      </c>
      <c r="AX102">
        <v>55458174</v>
      </c>
      <c r="AY102">
        <v>1</v>
      </c>
      <c r="AZ102">
        <v>6144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Y102*Source!I94</f>
        <v>-0.318648</v>
      </c>
      <c r="CY102">
        <f t="shared" si="5"/>
        <v>1730.92</v>
      </c>
      <c r="CZ102">
        <f t="shared" si="6"/>
        <v>253.8</v>
      </c>
      <c r="DA102">
        <f t="shared" si="7"/>
        <v>6.82</v>
      </c>
      <c r="DB102">
        <f t="shared" si="8"/>
        <v>-47.46</v>
      </c>
      <c r="DC102">
        <f t="shared" si="9"/>
        <v>0</v>
      </c>
    </row>
    <row r="103" spans="1:107" ht="12.75">
      <c r="A103">
        <f>ROW(Source!A94)</f>
        <v>94</v>
      </c>
      <c r="B103">
        <v>55457796</v>
      </c>
      <c r="C103">
        <v>55458153</v>
      </c>
      <c r="D103">
        <v>49473922</v>
      </c>
      <c r="E103">
        <v>1</v>
      </c>
      <c r="F103">
        <v>1</v>
      </c>
      <c r="G103">
        <v>1</v>
      </c>
      <c r="H103">
        <v>3</v>
      </c>
      <c r="I103" t="s">
        <v>173</v>
      </c>
      <c r="J103" t="s">
        <v>175</v>
      </c>
      <c r="K103" t="s">
        <v>174</v>
      </c>
      <c r="L103">
        <v>1348</v>
      </c>
      <c r="N103">
        <v>1009</v>
      </c>
      <c r="O103" t="s">
        <v>123</v>
      </c>
      <c r="P103" t="s">
        <v>123</v>
      </c>
      <c r="Q103">
        <v>1000</v>
      </c>
      <c r="W103">
        <v>1</v>
      </c>
      <c r="X103">
        <v>1646829026</v>
      </c>
      <c r="Y103">
        <v>-0.00159</v>
      </c>
      <c r="AA103">
        <v>153845.56</v>
      </c>
      <c r="AB103">
        <v>0</v>
      </c>
      <c r="AC103">
        <v>0</v>
      </c>
      <c r="AD103">
        <v>0</v>
      </c>
      <c r="AE103">
        <v>22558</v>
      </c>
      <c r="AF103">
        <v>0</v>
      </c>
      <c r="AG103">
        <v>0</v>
      </c>
      <c r="AH103">
        <v>0</v>
      </c>
      <c r="AI103">
        <v>6.82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-0.00159</v>
      </c>
      <c r="AV103">
        <v>0</v>
      </c>
      <c r="AW103">
        <v>2</v>
      </c>
      <c r="AX103">
        <v>55458175</v>
      </c>
      <c r="AY103">
        <v>1</v>
      </c>
      <c r="AZ103">
        <v>6144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Y103*Source!I94</f>
        <v>-0.00270936</v>
      </c>
      <c r="CY103">
        <f t="shared" si="5"/>
        <v>153845.56</v>
      </c>
      <c r="CZ103">
        <f t="shared" si="6"/>
        <v>22558</v>
      </c>
      <c r="DA103">
        <f t="shared" si="7"/>
        <v>6.82</v>
      </c>
      <c r="DB103">
        <f t="shared" si="8"/>
        <v>-35.87</v>
      </c>
      <c r="DC103">
        <f t="shared" si="9"/>
        <v>0</v>
      </c>
    </row>
    <row r="104" spans="1:107" ht="12.75">
      <c r="A104">
        <f>ROW(Source!A94)</f>
        <v>94</v>
      </c>
      <c r="B104">
        <v>55457796</v>
      </c>
      <c r="C104">
        <v>55458153</v>
      </c>
      <c r="D104">
        <v>49476762</v>
      </c>
      <c r="E104">
        <v>1</v>
      </c>
      <c r="F104">
        <v>1</v>
      </c>
      <c r="G104">
        <v>1</v>
      </c>
      <c r="H104">
        <v>3</v>
      </c>
      <c r="I104" t="s">
        <v>169</v>
      </c>
      <c r="J104" t="s">
        <v>171</v>
      </c>
      <c r="K104" t="s">
        <v>170</v>
      </c>
      <c r="L104">
        <v>1339</v>
      </c>
      <c r="N104">
        <v>1007</v>
      </c>
      <c r="O104" t="s">
        <v>47</v>
      </c>
      <c r="P104" t="s">
        <v>47</v>
      </c>
      <c r="Q104">
        <v>1</v>
      </c>
      <c r="W104">
        <v>1</v>
      </c>
      <c r="X104">
        <v>-1924676840</v>
      </c>
      <c r="Y104">
        <v>-0.51</v>
      </c>
      <c r="AA104">
        <v>3545.04</v>
      </c>
      <c r="AB104">
        <v>0</v>
      </c>
      <c r="AC104">
        <v>0</v>
      </c>
      <c r="AD104">
        <v>0</v>
      </c>
      <c r="AE104">
        <v>519.8</v>
      </c>
      <c r="AF104">
        <v>0</v>
      </c>
      <c r="AG104">
        <v>0</v>
      </c>
      <c r="AH104">
        <v>0</v>
      </c>
      <c r="AI104">
        <v>6.82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-0.51</v>
      </c>
      <c r="AV104">
        <v>0</v>
      </c>
      <c r="AW104">
        <v>2</v>
      </c>
      <c r="AX104">
        <v>55458176</v>
      </c>
      <c r="AY104">
        <v>1</v>
      </c>
      <c r="AZ104">
        <v>6144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Y104*Source!I94</f>
        <v>-0.86904</v>
      </c>
      <c r="CY104">
        <f t="shared" si="5"/>
        <v>3545.04</v>
      </c>
      <c r="CZ104">
        <f t="shared" si="6"/>
        <v>519.8</v>
      </c>
      <c r="DA104">
        <f t="shared" si="7"/>
        <v>6.82</v>
      </c>
      <c r="DB104">
        <f t="shared" si="8"/>
        <v>-265.1</v>
      </c>
      <c r="DC104">
        <f t="shared" si="9"/>
        <v>0</v>
      </c>
    </row>
    <row r="105" spans="1:107" ht="12.75">
      <c r="A105">
        <f>ROW(Source!A94)</f>
        <v>94</v>
      </c>
      <c r="B105">
        <v>55457796</v>
      </c>
      <c r="C105">
        <v>55458153</v>
      </c>
      <c r="D105">
        <v>49491136</v>
      </c>
      <c r="E105">
        <v>1</v>
      </c>
      <c r="F105">
        <v>1</v>
      </c>
      <c r="G105">
        <v>1</v>
      </c>
      <c r="H105">
        <v>3</v>
      </c>
      <c r="I105" t="s">
        <v>161</v>
      </c>
      <c r="J105" t="s">
        <v>163</v>
      </c>
      <c r="K105" t="s">
        <v>162</v>
      </c>
      <c r="L105">
        <v>1348</v>
      </c>
      <c r="N105">
        <v>1009</v>
      </c>
      <c r="O105" t="s">
        <v>123</v>
      </c>
      <c r="P105" t="s">
        <v>123</v>
      </c>
      <c r="Q105">
        <v>1000</v>
      </c>
      <c r="W105">
        <v>1</v>
      </c>
      <c r="X105">
        <v>-549891075</v>
      </c>
      <c r="Y105">
        <v>-0.2</v>
      </c>
      <c r="AA105">
        <v>76384</v>
      </c>
      <c r="AB105">
        <v>0</v>
      </c>
      <c r="AC105">
        <v>0</v>
      </c>
      <c r="AD105">
        <v>0</v>
      </c>
      <c r="AE105">
        <v>11200</v>
      </c>
      <c r="AF105">
        <v>0</v>
      </c>
      <c r="AG105">
        <v>0</v>
      </c>
      <c r="AH105">
        <v>0</v>
      </c>
      <c r="AI105">
        <v>6.82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-0.2</v>
      </c>
      <c r="AV105">
        <v>0</v>
      </c>
      <c r="AW105">
        <v>2</v>
      </c>
      <c r="AX105">
        <v>55458177</v>
      </c>
      <c r="AY105">
        <v>1</v>
      </c>
      <c r="AZ105">
        <v>6144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Y105*Source!I94</f>
        <v>-0.3408</v>
      </c>
      <c r="CY105">
        <f t="shared" si="5"/>
        <v>76384</v>
      </c>
      <c r="CZ105">
        <f t="shared" si="6"/>
        <v>11200</v>
      </c>
      <c r="DA105">
        <f t="shared" si="7"/>
        <v>6.82</v>
      </c>
      <c r="DB105">
        <f t="shared" si="8"/>
        <v>-2240</v>
      </c>
      <c r="DC105">
        <f t="shared" si="9"/>
        <v>0</v>
      </c>
    </row>
    <row r="106" spans="1:107" ht="12.75">
      <c r="A106">
        <f>ROW(Source!A94)</f>
        <v>94</v>
      </c>
      <c r="B106">
        <v>55457796</v>
      </c>
      <c r="C106">
        <v>55458153</v>
      </c>
      <c r="D106">
        <v>49491236</v>
      </c>
      <c r="E106">
        <v>1</v>
      </c>
      <c r="F106">
        <v>1</v>
      </c>
      <c r="G106">
        <v>1</v>
      </c>
      <c r="H106">
        <v>3</v>
      </c>
      <c r="I106" t="s">
        <v>165</v>
      </c>
      <c r="J106" t="s">
        <v>167</v>
      </c>
      <c r="K106" t="s">
        <v>166</v>
      </c>
      <c r="L106">
        <v>1348</v>
      </c>
      <c r="N106">
        <v>1009</v>
      </c>
      <c r="O106" t="s">
        <v>123</v>
      </c>
      <c r="P106" t="s">
        <v>123</v>
      </c>
      <c r="Q106">
        <v>1000</v>
      </c>
      <c r="W106">
        <v>1</v>
      </c>
      <c r="X106">
        <v>-1846459573</v>
      </c>
      <c r="Y106">
        <v>-0.013</v>
      </c>
      <c r="AA106">
        <v>34100</v>
      </c>
      <c r="AB106">
        <v>0</v>
      </c>
      <c r="AC106">
        <v>0</v>
      </c>
      <c r="AD106">
        <v>0</v>
      </c>
      <c r="AE106">
        <v>5000</v>
      </c>
      <c r="AF106">
        <v>0</v>
      </c>
      <c r="AG106">
        <v>0</v>
      </c>
      <c r="AH106">
        <v>0</v>
      </c>
      <c r="AI106">
        <v>6.82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-0.013</v>
      </c>
      <c r="AV106">
        <v>0</v>
      </c>
      <c r="AW106">
        <v>2</v>
      </c>
      <c r="AX106">
        <v>55458178</v>
      </c>
      <c r="AY106">
        <v>1</v>
      </c>
      <c r="AZ106">
        <v>6144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Y106*Source!I94</f>
        <v>-0.022151999999999998</v>
      </c>
      <c r="CY106">
        <f t="shared" si="5"/>
        <v>34100</v>
      </c>
      <c r="CZ106">
        <f t="shared" si="6"/>
        <v>5000</v>
      </c>
      <c r="DA106">
        <f t="shared" si="7"/>
        <v>6.82</v>
      </c>
      <c r="DB106">
        <f t="shared" si="8"/>
        <v>-65</v>
      </c>
      <c r="DC106">
        <f t="shared" si="9"/>
        <v>0</v>
      </c>
    </row>
    <row r="107" spans="1:107" ht="12.75">
      <c r="A107">
        <f>ROW(Source!A94)</f>
        <v>94</v>
      </c>
      <c r="B107">
        <v>55457796</v>
      </c>
      <c r="C107">
        <v>55458153</v>
      </c>
      <c r="D107">
        <v>53668689</v>
      </c>
      <c r="E107">
        <v>1</v>
      </c>
      <c r="F107">
        <v>1</v>
      </c>
      <c r="G107">
        <v>1</v>
      </c>
      <c r="H107">
        <v>3</v>
      </c>
      <c r="I107" t="s">
        <v>147</v>
      </c>
      <c r="J107" t="s">
        <v>149</v>
      </c>
      <c r="K107" t="s">
        <v>148</v>
      </c>
      <c r="L107">
        <v>1327</v>
      </c>
      <c r="N107">
        <v>1005</v>
      </c>
      <c r="O107" t="s">
        <v>144</v>
      </c>
      <c r="P107" t="s">
        <v>144</v>
      </c>
      <c r="Q107">
        <v>1</v>
      </c>
      <c r="W107">
        <v>0</v>
      </c>
      <c r="X107">
        <v>-583407189</v>
      </c>
      <c r="Y107">
        <v>116</v>
      </c>
      <c r="AA107">
        <v>134.7</v>
      </c>
      <c r="AB107">
        <v>0</v>
      </c>
      <c r="AC107">
        <v>0</v>
      </c>
      <c r="AD107">
        <v>0</v>
      </c>
      <c r="AE107">
        <v>19.75</v>
      </c>
      <c r="AF107">
        <v>0</v>
      </c>
      <c r="AG107">
        <v>0</v>
      </c>
      <c r="AH107">
        <v>0</v>
      </c>
      <c r="AI107">
        <v>6.82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116</v>
      </c>
      <c r="AV107">
        <v>0</v>
      </c>
      <c r="AW107">
        <v>1</v>
      </c>
      <c r="AX107">
        <v>-1</v>
      </c>
      <c r="AY107">
        <v>0</v>
      </c>
      <c r="AZ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Y107*Source!I94</f>
        <v>197.664</v>
      </c>
      <c r="CY107">
        <f t="shared" si="5"/>
        <v>134.7</v>
      </c>
      <c r="CZ107">
        <f t="shared" si="6"/>
        <v>19.75</v>
      </c>
      <c r="DA107">
        <f t="shared" si="7"/>
        <v>6.82</v>
      </c>
      <c r="DB107">
        <f t="shared" si="8"/>
        <v>2291</v>
      </c>
      <c r="DC107">
        <f t="shared" si="9"/>
        <v>0</v>
      </c>
    </row>
    <row r="108" spans="1:107" ht="12.75">
      <c r="A108">
        <f>ROW(Source!A94)</f>
        <v>94</v>
      </c>
      <c r="B108">
        <v>55457796</v>
      </c>
      <c r="C108">
        <v>55458153</v>
      </c>
      <c r="D108">
        <v>49503474</v>
      </c>
      <c r="E108">
        <v>1</v>
      </c>
      <c r="F108">
        <v>1</v>
      </c>
      <c r="G108">
        <v>1</v>
      </c>
      <c r="H108">
        <v>3</v>
      </c>
      <c r="I108" t="s">
        <v>341</v>
      </c>
      <c r="J108" t="s">
        <v>342</v>
      </c>
      <c r="K108" t="s">
        <v>343</v>
      </c>
      <c r="L108">
        <v>1346</v>
      </c>
      <c r="N108">
        <v>1009</v>
      </c>
      <c r="O108" t="s">
        <v>188</v>
      </c>
      <c r="P108" t="s">
        <v>188</v>
      </c>
      <c r="Q108">
        <v>1</v>
      </c>
      <c r="W108">
        <v>0</v>
      </c>
      <c r="X108">
        <v>1394592096</v>
      </c>
      <c r="Y108">
        <v>6.7</v>
      </c>
      <c r="AA108">
        <v>508.64</v>
      </c>
      <c r="AB108">
        <v>0</v>
      </c>
      <c r="AC108">
        <v>0</v>
      </c>
      <c r="AD108">
        <v>0</v>
      </c>
      <c r="AE108">
        <v>74.58</v>
      </c>
      <c r="AF108">
        <v>0</v>
      </c>
      <c r="AG108">
        <v>0</v>
      </c>
      <c r="AH108">
        <v>0</v>
      </c>
      <c r="AI108">
        <v>6.82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6.7</v>
      </c>
      <c r="AV108">
        <v>0</v>
      </c>
      <c r="AW108">
        <v>2</v>
      </c>
      <c r="AX108">
        <v>55458180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Y108*Source!I94</f>
        <v>11.4168</v>
      </c>
      <c r="CY108">
        <f t="shared" si="5"/>
        <v>508.64</v>
      </c>
      <c r="CZ108">
        <f t="shared" si="6"/>
        <v>74.58</v>
      </c>
      <c r="DA108">
        <f t="shared" si="7"/>
        <v>6.82</v>
      </c>
      <c r="DB108">
        <f t="shared" si="8"/>
        <v>499.69</v>
      </c>
      <c r="DC108">
        <f t="shared" si="9"/>
        <v>0</v>
      </c>
    </row>
    <row r="109" spans="1:107" ht="12.75">
      <c r="A109">
        <f>ROW(Source!A107)</f>
        <v>107</v>
      </c>
      <c r="B109">
        <v>55457795</v>
      </c>
      <c r="C109">
        <v>55466894</v>
      </c>
      <c r="D109">
        <v>37822915</v>
      </c>
      <c r="E109">
        <v>70</v>
      </c>
      <c r="F109">
        <v>1</v>
      </c>
      <c r="G109">
        <v>1</v>
      </c>
      <c r="H109">
        <v>1</v>
      </c>
      <c r="I109" t="s">
        <v>344</v>
      </c>
      <c r="K109" t="s">
        <v>345</v>
      </c>
      <c r="L109">
        <v>1191</v>
      </c>
      <c r="N109">
        <v>1013</v>
      </c>
      <c r="O109" t="s">
        <v>292</v>
      </c>
      <c r="P109" t="s">
        <v>292</v>
      </c>
      <c r="Q109">
        <v>1</v>
      </c>
      <c r="W109">
        <v>0</v>
      </c>
      <c r="X109">
        <v>-1111239348</v>
      </c>
      <c r="Y109">
        <v>3.28</v>
      </c>
      <c r="AA109">
        <v>0</v>
      </c>
      <c r="AB109">
        <v>0</v>
      </c>
      <c r="AC109">
        <v>0</v>
      </c>
      <c r="AD109">
        <v>9.62</v>
      </c>
      <c r="AE109">
        <v>0</v>
      </c>
      <c r="AF109">
        <v>0</v>
      </c>
      <c r="AG109">
        <v>0</v>
      </c>
      <c r="AH109">
        <v>9.62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3.28</v>
      </c>
      <c r="AV109">
        <v>1</v>
      </c>
      <c r="AW109">
        <v>2</v>
      </c>
      <c r="AX109">
        <v>55466900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Y109*Source!I107</f>
        <v>1.64</v>
      </c>
      <c r="CY109">
        <f>AD109</f>
        <v>9.62</v>
      </c>
      <c r="CZ109">
        <f>AH109</f>
        <v>9.62</v>
      </c>
      <c r="DA109">
        <f>AL109</f>
        <v>1</v>
      </c>
      <c r="DB109">
        <f t="shared" si="8"/>
        <v>31.55</v>
      </c>
      <c r="DC109">
        <f t="shared" si="9"/>
        <v>0</v>
      </c>
    </row>
    <row r="110" spans="1:107" ht="12.75">
      <c r="A110">
        <f>ROW(Source!A107)</f>
        <v>107</v>
      </c>
      <c r="B110">
        <v>55457795</v>
      </c>
      <c r="C110">
        <v>55466894</v>
      </c>
      <c r="D110">
        <v>37822850</v>
      </c>
      <c r="E110">
        <v>70</v>
      </c>
      <c r="F110">
        <v>1</v>
      </c>
      <c r="G110">
        <v>1</v>
      </c>
      <c r="H110">
        <v>1</v>
      </c>
      <c r="I110" t="s">
        <v>299</v>
      </c>
      <c r="K110" t="s">
        <v>300</v>
      </c>
      <c r="L110">
        <v>1191</v>
      </c>
      <c r="N110">
        <v>1013</v>
      </c>
      <c r="O110" t="s">
        <v>292</v>
      </c>
      <c r="P110" t="s">
        <v>292</v>
      </c>
      <c r="Q110">
        <v>1</v>
      </c>
      <c r="W110">
        <v>0</v>
      </c>
      <c r="X110">
        <v>-1417349443</v>
      </c>
      <c r="Y110">
        <v>0.35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0.35</v>
      </c>
      <c r="AV110">
        <v>2</v>
      </c>
      <c r="AW110">
        <v>2</v>
      </c>
      <c r="AX110">
        <v>55466901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Y110*Source!I107</f>
        <v>0.175</v>
      </c>
      <c r="CY110">
        <f>AD110</f>
        <v>0</v>
      </c>
      <c r="CZ110">
        <f>AH110</f>
        <v>0</v>
      </c>
      <c r="DA110">
        <f>AL110</f>
        <v>1</v>
      </c>
      <c r="DB110">
        <f t="shared" si="8"/>
        <v>0</v>
      </c>
      <c r="DC110">
        <f t="shared" si="9"/>
        <v>0</v>
      </c>
    </row>
    <row r="111" spans="1:107" ht="12.75">
      <c r="A111">
        <f>ROW(Source!A107)</f>
        <v>107</v>
      </c>
      <c r="B111">
        <v>55457795</v>
      </c>
      <c r="C111">
        <v>55466894</v>
      </c>
      <c r="D111">
        <v>53792927</v>
      </c>
      <c r="E111">
        <v>1</v>
      </c>
      <c r="F111">
        <v>1</v>
      </c>
      <c r="G111">
        <v>1</v>
      </c>
      <c r="H111">
        <v>2</v>
      </c>
      <c r="I111" t="s">
        <v>325</v>
      </c>
      <c r="J111" t="s">
        <v>326</v>
      </c>
      <c r="K111" t="s">
        <v>327</v>
      </c>
      <c r="L111">
        <v>1367</v>
      </c>
      <c r="N111">
        <v>1011</v>
      </c>
      <c r="O111" t="s">
        <v>304</v>
      </c>
      <c r="P111" t="s">
        <v>304</v>
      </c>
      <c r="Q111">
        <v>1</v>
      </c>
      <c r="W111">
        <v>0</v>
      </c>
      <c r="X111">
        <v>509054691</v>
      </c>
      <c r="Y111">
        <v>0.35</v>
      </c>
      <c r="AA111">
        <v>0</v>
      </c>
      <c r="AB111">
        <v>65.71</v>
      </c>
      <c r="AC111">
        <v>11.6</v>
      </c>
      <c r="AD111">
        <v>0</v>
      </c>
      <c r="AE111">
        <v>0</v>
      </c>
      <c r="AF111">
        <v>65.71</v>
      </c>
      <c r="AG111">
        <v>11.6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0.35</v>
      </c>
      <c r="AV111">
        <v>0</v>
      </c>
      <c r="AW111">
        <v>2</v>
      </c>
      <c r="AX111">
        <v>55466902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Y111*Source!I107</f>
        <v>0.175</v>
      </c>
      <c r="CY111">
        <f>AB111</f>
        <v>65.71</v>
      </c>
      <c r="CZ111">
        <f>AF111</f>
        <v>65.71</v>
      </c>
      <c r="DA111">
        <f>AJ111</f>
        <v>1</v>
      </c>
      <c r="DB111">
        <f t="shared" si="8"/>
        <v>23</v>
      </c>
      <c r="DC111">
        <f t="shared" si="9"/>
        <v>4.06</v>
      </c>
    </row>
    <row r="112" spans="1:107" ht="12.75">
      <c r="A112">
        <f>ROW(Source!A107)</f>
        <v>107</v>
      </c>
      <c r="B112">
        <v>55457795</v>
      </c>
      <c r="C112">
        <v>55466894</v>
      </c>
      <c r="D112">
        <v>53793158</v>
      </c>
      <c r="E112">
        <v>1</v>
      </c>
      <c r="F112">
        <v>1</v>
      </c>
      <c r="G112">
        <v>1</v>
      </c>
      <c r="H112">
        <v>2</v>
      </c>
      <c r="I112" t="s">
        <v>346</v>
      </c>
      <c r="J112" t="s">
        <v>347</v>
      </c>
      <c r="K112" t="s">
        <v>348</v>
      </c>
      <c r="L112">
        <v>1367</v>
      </c>
      <c r="N112">
        <v>1011</v>
      </c>
      <c r="O112" t="s">
        <v>304</v>
      </c>
      <c r="P112" t="s">
        <v>304</v>
      </c>
      <c r="Q112">
        <v>1</v>
      </c>
      <c r="W112">
        <v>0</v>
      </c>
      <c r="X112">
        <v>-727905792</v>
      </c>
      <c r="Y112">
        <v>2.35</v>
      </c>
      <c r="AA112">
        <v>0</v>
      </c>
      <c r="AB112">
        <v>32.5</v>
      </c>
      <c r="AC112">
        <v>0</v>
      </c>
      <c r="AD112">
        <v>0</v>
      </c>
      <c r="AE112">
        <v>0</v>
      </c>
      <c r="AF112">
        <v>32.5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2.35</v>
      </c>
      <c r="AV112">
        <v>0</v>
      </c>
      <c r="AW112">
        <v>2</v>
      </c>
      <c r="AX112">
        <v>55466903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Y112*Source!I107</f>
        <v>1.175</v>
      </c>
      <c r="CY112">
        <f>AB112</f>
        <v>32.5</v>
      </c>
      <c r="CZ112">
        <f>AF112</f>
        <v>32.5</v>
      </c>
      <c r="DA112">
        <f>AJ112</f>
        <v>1</v>
      </c>
      <c r="DB112">
        <f t="shared" si="8"/>
        <v>76.38</v>
      </c>
      <c r="DC112">
        <f t="shared" si="9"/>
        <v>0</v>
      </c>
    </row>
    <row r="113" spans="1:107" ht="12.75">
      <c r="A113">
        <f>ROW(Source!A107)</f>
        <v>107</v>
      </c>
      <c r="B113">
        <v>55457795</v>
      </c>
      <c r="C113">
        <v>55466894</v>
      </c>
      <c r="D113">
        <v>53642783</v>
      </c>
      <c r="E113">
        <v>1</v>
      </c>
      <c r="F113">
        <v>1</v>
      </c>
      <c r="G113">
        <v>1</v>
      </c>
      <c r="H113">
        <v>3</v>
      </c>
      <c r="I113" t="s">
        <v>186</v>
      </c>
      <c r="J113" t="s">
        <v>189</v>
      </c>
      <c r="K113" t="s">
        <v>187</v>
      </c>
      <c r="L113">
        <v>1346</v>
      </c>
      <c r="N113">
        <v>1009</v>
      </c>
      <c r="O113" t="s">
        <v>188</v>
      </c>
      <c r="P113" t="s">
        <v>188</v>
      </c>
      <c r="Q113">
        <v>1</v>
      </c>
      <c r="W113">
        <v>0</v>
      </c>
      <c r="X113">
        <v>624972744</v>
      </c>
      <c r="Y113">
        <v>19.5</v>
      </c>
      <c r="AA113">
        <v>31.08</v>
      </c>
      <c r="AB113">
        <v>0</v>
      </c>
      <c r="AC113">
        <v>0</v>
      </c>
      <c r="AD113">
        <v>0</v>
      </c>
      <c r="AE113">
        <v>31.08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T113">
        <v>19.5</v>
      </c>
      <c r="AV113">
        <v>0</v>
      </c>
      <c r="AW113">
        <v>1</v>
      </c>
      <c r="AX113">
        <v>-1</v>
      </c>
      <c r="AY113">
        <v>0</v>
      </c>
      <c r="AZ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Y113*Source!I107</f>
        <v>9.75</v>
      </c>
      <c r="CY113">
        <f>AA113</f>
        <v>31.08</v>
      </c>
      <c r="CZ113">
        <f>AE113</f>
        <v>31.08</v>
      </c>
      <c r="DA113">
        <f>AI113</f>
        <v>1</v>
      </c>
      <c r="DB113">
        <f t="shared" si="8"/>
        <v>606.06</v>
      </c>
      <c r="DC113">
        <f t="shared" si="9"/>
        <v>0</v>
      </c>
    </row>
    <row r="114" spans="1:107" ht="12.75">
      <c r="A114">
        <f>ROW(Source!A108)</f>
        <v>108</v>
      </c>
      <c r="B114">
        <v>55457796</v>
      </c>
      <c r="C114">
        <v>55466894</v>
      </c>
      <c r="D114">
        <v>37822915</v>
      </c>
      <c r="E114">
        <v>70</v>
      </c>
      <c r="F114">
        <v>1</v>
      </c>
      <c r="G114">
        <v>1</v>
      </c>
      <c r="H114">
        <v>1</v>
      </c>
      <c r="I114" t="s">
        <v>344</v>
      </c>
      <c r="K114" t="s">
        <v>345</v>
      </c>
      <c r="L114">
        <v>1191</v>
      </c>
      <c r="N114">
        <v>1013</v>
      </c>
      <c r="O114" t="s">
        <v>292</v>
      </c>
      <c r="P114" t="s">
        <v>292</v>
      </c>
      <c r="Q114">
        <v>1</v>
      </c>
      <c r="W114">
        <v>0</v>
      </c>
      <c r="X114">
        <v>-1111239348</v>
      </c>
      <c r="Y114">
        <v>3.28</v>
      </c>
      <c r="AA114">
        <v>0</v>
      </c>
      <c r="AB114">
        <v>0</v>
      </c>
      <c r="AC114">
        <v>0</v>
      </c>
      <c r="AD114">
        <v>350.84</v>
      </c>
      <c r="AE114">
        <v>0</v>
      </c>
      <c r="AF114">
        <v>0</v>
      </c>
      <c r="AG114">
        <v>0</v>
      </c>
      <c r="AH114">
        <v>9.62</v>
      </c>
      <c r="AI114">
        <v>1</v>
      </c>
      <c r="AJ114">
        <v>1</v>
      </c>
      <c r="AK114">
        <v>1</v>
      </c>
      <c r="AL114">
        <v>36.47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3.28</v>
      </c>
      <c r="AV114">
        <v>1</v>
      </c>
      <c r="AW114">
        <v>2</v>
      </c>
      <c r="AX114">
        <v>55466900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Y114*Source!I108</f>
        <v>1.64</v>
      </c>
      <c r="CY114">
        <f>AD114</f>
        <v>350.84</v>
      </c>
      <c r="CZ114">
        <f>AH114</f>
        <v>9.62</v>
      </c>
      <c r="DA114">
        <f>AL114</f>
        <v>36.47</v>
      </c>
      <c r="DB114">
        <f t="shared" si="8"/>
        <v>31.55</v>
      </c>
      <c r="DC114">
        <f t="shared" si="9"/>
        <v>0</v>
      </c>
    </row>
    <row r="115" spans="1:107" ht="12.75">
      <c r="A115">
        <f>ROW(Source!A108)</f>
        <v>108</v>
      </c>
      <c r="B115">
        <v>55457796</v>
      </c>
      <c r="C115">
        <v>55466894</v>
      </c>
      <c r="D115">
        <v>37822850</v>
      </c>
      <c r="E115">
        <v>70</v>
      </c>
      <c r="F115">
        <v>1</v>
      </c>
      <c r="G115">
        <v>1</v>
      </c>
      <c r="H115">
        <v>1</v>
      </c>
      <c r="I115" t="s">
        <v>299</v>
      </c>
      <c r="K115" t="s">
        <v>300</v>
      </c>
      <c r="L115">
        <v>1191</v>
      </c>
      <c r="N115">
        <v>1013</v>
      </c>
      <c r="O115" t="s">
        <v>292</v>
      </c>
      <c r="P115" t="s">
        <v>292</v>
      </c>
      <c r="Q115">
        <v>1</v>
      </c>
      <c r="W115">
        <v>0</v>
      </c>
      <c r="X115">
        <v>-1417349443</v>
      </c>
      <c r="Y115">
        <v>0.35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36.47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0.35</v>
      </c>
      <c r="AV115">
        <v>2</v>
      </c>
      <c r="AW115">
        <v>2</v>
      </c>
      <c r="AX115">
        <v>55466901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Y115*Source!I108</f>
        <v>0.175</v>
      </c>
      <c r="CY115">
        <f>AD115</f>
        <v>0</v>
      </c>
      <c r="CZ115">
        <f>AH115</f>
        <v>0</v>
      </c>
      <c r="DA115">
        <f>AL115</f>
        <v>1</v>
      </c>
      <c r="DB115">
        <f t="shared" si="8"/>
        <v>0</v>
      </c>
      <c r="DC115">
        <f t="shared" si="9"/>
        <v>0</v>
      </c>
    </row>
    <row r="116" spans="1:107" ht="12.75">
      <c r="A116">
        <f>ROW(Source!A108)</f>
        <v>108</v>
      </c>
      <c r="B116">
        <v>55457796</v>
      </c>
      <c r="C116">
        <v>55466894</v>
      </c>
      <c r="D116">
        <v>53792927</v>
      </c>
      <c r="E116">
        <v>1</v>
      </c>
      <c r="F116">
        <v>1</v>
      </c>
      <c r="G116">
        <v>1</v>
      </c>
      <c r="H116">
        <v>2</v>
      </c>
      <c r="I116" t="s">
        <v>325</v>
      </c>
      <c r="J116" t="s">
        <v>326</v>
      </c>
      <c r="K116" t="s">
        <v>327</v>
      </c>
      <c r="L116">
        <v>1367</v>
      </c>
      <c r="N116">
        <v>1011</v>
      </c>
      <c r="O116" t="s">
        <v>304</v>
      </c>
      <c r="P116" t="s">
        <v>304</v>
      </c>
      <c r="Q116">
        <v>1</v>
      </c>
      <c r="W116">
        <v>0</v>
      </c>
      <c r="X116">
        <v>509054691</v>
      </c>
      <c r="Y116">
        <v>0.35</v>
      </c>
      <c r="AA116">
        <v>0</v>
      </c>
      <c r="AB116">
        <v>852.26</v>
      </c>
      <c r="AC116">
        <v>423.05</v>
      </c>
      <c r="AD116">
        <v>0</v>
      </c>
      <c r="AE116">
        <v>0</v>
      </c>
      <c r="AF116">
        <v>65.71</v>
      </c>
      <c r="AG116">
        <v>11.6</v>
      </c>
      <c r="AH116">
        <v>0</v>
      </c>
      <c r="AI116">
        <v>1</v>
      </c>
      <c r="AJ116">
        <v>12.97</v>
      </c>
      <c r="AK116">
        <v>36.47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0.35</v>
      </c>
      <c r="AV116">
        <v>0</v>
      </c>
      <c r="AW116">
        <v>2</v>
      </c>
      <c r="AX116">
        <v>55466902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Y116*Source!I108</f>
        <v>0.175</v>
      </c>
      <c r="CY116">
        <f>AB116</f>
        <v>852.26</v>
      </c>
      <c r="CZ116">
        <f>AF116</f>
        <v>65.71</v>
      </c>
      <c r="DA116">
        <f>AJ116</f>
        <v>12.97</v>
      </c>
      <c r="DB116">
        <f t="shared" si="8"/>
        <v>23</v>
      </c>
      <c r="DC116">
        <f t="shared" si="9"/>
        <v>4.06</v>
      </c>
    </row>
    <row r="117" spans="1:107" ht="12.75">
      <c r="A117">
        <f>ROW(Source!A108)</f>
        <v>108</v>
      </c>
      <c r="B117">
        <v>55457796</v>
      </c>
      <c r="C117">
        <v>55466894</v>
      </c>
      <c r="D117">
        <v>53793158</v>
      </c>
      <c r="E117">
        <v>1</v>
      </c>
      <c r="F117">
        <v>1</v>
      </c>
      <c r="G117">
        <v>1</v>
      </c>
      <c r="H117">
        <v>2</v>
      </c>
      <c r="I117" t="s">
        <v>346</v>
      </c>
      <c r="J117" t="s">
        <v>347</v>
      </c>
      <c r="K117" t="s">
        <v>348</v>
      </c>
      <c r="L117">
        <v>1367</v>
      </c>
      <c r="N117">
        <v>1011</v>
      </c>
      <c r="O117" t="s">
        <v>304</v>
      </c>
      <c r="P117" t="s">
        <v>304</v>
      </c>
      <c r="Q117">
        <v>1</v>
      </c>
      <c r="W117">
        <v>0</v>
      </c>
      <c r="X117">
        <v>-727905792</v>
      </c>
      <c r="Y117">
        <v>2.35</v>
      </c>
      <c r="AA117">
        <v>0</v>
      </c>
      <c r="AB117">
        <v>421.53</v>
      </c>
      <c r="AC117">
        <v>0</v>
      </c>
      <c r="AD117">
        <v>0</v>
      </c>
      <c r="AE117">
        <v>0</v>
      </c>
      <c r="AF117">
        <v>32.5</v>
      </c>
      <c r="AG117">
        <v>0</v>
      </c>
      <c r="AH117">
        <v>0</v>
      </c>
      <c r="AI117">
        <v>1</v>
      </c>
      <c r="AJ117">
        <v>12.97</v>
      </c>
      <c r="AK117">
        <v>36.47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2.35</v>
      </c>
      <c r="AV117">
        <v>0</v>
      </c>
      <c r="AW117">
        <v>2</v>
      </c>
      <c r="AX117">
        <v>55466903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Y117*Source!I108</f>
        <v>1.175</v>
      </c>
      <c r="CY117">
        <f>AB117</f>
        <v>421.53</v>
      </c>
      <c r="CZ117">
        <f>AF117</f>
        <v>32.5</v>
      </c>
      <c r="DA117">
        <f>AJ117</f>
        <v>12.97</v>
      </c>
      <c r="DB117">
        <f t="shared" si="8"/>
        <v>76.38</v>
      </c>
      <c r="DC117">
        <f t="shared" si="9"/>
        <v>0</v>
      </c>
    </row>
    <row r="118" spans="1:107" ht="12.75">
      <c r="A118">
        <f>ROW(Source!A108)</f>
        <v>108</v>
      </c>
      <c r="B118">
        <v>55457796</v>
      </c>
      <c r="C118">
        <v>55466894</v>
      </c>
      <c r="D118">
        <v>53642783</v>
      </c>
      <c r="E118">
        <v>1</v>
      </c>
      <c r="F118">
        <v>1</v>
      </c>
      <c r="G118">
        <v>1</v>
      </c>
      <c r="H118">
        <v>3</v>
      </c>
      <c r="I118" t="s">
        <v>186</v>
      </c>
      <c r="J118" t="s">
        <v>189</v>
      </c>
      <c r="K118" t="s">
        <v>187</v>
      </c>
      <c r="L118">
        <v>1346</v>
      </c>
      <c r="N118">
        <v>1009</v>
      </c>
      <c r="O118" t="s">
        <v>188</v>
      </c>
      <c r="P118" t="s">
        <v>188</v>
      </c>
      <c r="Q118">
        <v>1</v>
      </c>
      <c r="W118">
        <v>0</v>
      </c>
      <c r="X118">
        <v>624972744</v>
      </c>
      <c r="Y118">
        <v>19.5</v>
      </c>
      <c r="AA118">
        <v>211.97</v>
      </c>
      <c r="AB118">
        <v>0</v>
      </c>
      <c r="AC118">
        <v>0</v>
      </c>
      <c r="AD118">
        <v>0</v>
      </c>
      <c r="AE118">
        <v>31.08</v>
      </c>
      <c r="AF118">
        <v>0</v>
      </c>
      <c r="AG118">
        <v>0</v>
      </c>
      <c r="AH118">
        <v>0</v>
      </c>
      <c r="AI118">
        <v>6.82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T118">
        <v>19.5</v>
      </c>
      <c r="AV118">
        <v>0</v>
      </c>
      <c r="AW118">
        <v>1</v>
      </c>
      <c r="AX118">
        <v>-1</v>
      </c>
      <c r="AY118">
        <v>0</v>
      </c>
      <c r="AZ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Y118*Source!I108</f>
        <v>9.75</v>
      </c>
      <c r="CY118">
        <f>AA118</f>
        <v>211.97</v>
      </c>
      <c r="CZ118">
        <f>AE118</f>
        <v>31.08</v>
      </c>
      <c r="DA118">
        <f>AI118</f>
        <v>6.82</v>
      </c>
      <c r="DB118">
        <f t="shared" si="8"/>
        <v>606.06</v>
      </c>
      <c r="DC118">
        <f t="shared" si="9"/>
        <v>0</v>
      </c>
    </row>
    <row r="119" spans="1:107" ht="12.75">
      <c r="A119">
        <f>ROW(Source!A146)</f>
        <v>146</v>
      </c>
      <c r="B119">
        <v>55457795</v>
      </c>
      <c r="C119">
        <v>55458198</v>
      </c>
      <c r="D119">
        <v>44800161</v>
      </c>
      <c r="E119">
        <v>54</v>
      </c>
      <c r="F119">
        <v>1</v>
      </c>
      <c r="G119">
        <v>1</v>
      </c>
      <c r="H119">
        <v>1</v>
      </c>
      <c r="I119" t="s">
        <v>349</v>
      </c>
      <c r="K119" t="s">
        <v>350</v>
      </c>
      <c r="L119">
        <v>1191</v>
      </c>
      <c r="N119">
        <v>1013</v>
      </c>
      <c r="O119" t="s">
        <v>292</v>
      </c>
      <c r="P119" t="s">
        <v>292</v>
      </c>
      <c r="Q119">
        <v>1</v>
      </c>
      <c r="W119">
        <v>0</v>
      </c>
      <c r="X119">
        <v>-576067263</v>
      </c>
      <c r="Y119">
        <v>1.03</v>
      </c>
      <c r="AA119">
        <v>0</v>
      </c>
      <c r="AB119">
        <v>0</v>
      </c>
      <c r="AC119">
        <v>0</v>
      </c>
      <c r="AD119">
        <v>7.19</v>
      </c>
      <c r="AE119">
        <v>0</v>
      </c>
      <c r="AF119">
        <v>0</v>
      </c>
      <c r="AG119">
        <v>0</v>
      </c>
      <c r="AH119">
        <v>7.19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1.03</v>
      </c>
      <c r="AV119">
        <v>1</v>
      </c>
      <c r="AW119">
        <v>2</v>
      </c>
      <c r="AX119">
        <v>55458201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Y119*Source!I146</f>
        <v>12.6587</v>
      </c>
      <c r="CY119">
        <f>AD119</f>
        <v>7.19</v>
      </c>
      <c r="CZ119">
        <f>AH119</f>
        <v>7.19</v>
      </c>
      <c r="DA119">
        <f>AL119</f>
        <v>1</v>
      </c>
      <c r="DB119">
        <f t="shared" si="8"/>
        <v>7.41</v>
      </c>
      <c r="DC119">
        <f t="shared" si="9"/>
        <v>0</v>
      </c>
    </row>
    <row r="120" spans="1:107" ht="12.75">
      <c r="A120">
        <f>ROW(Source!A146)</f>
        <v>146</v>
      </c>
      <c r="B120">
        <v>55457795</v>
      </c>
      <c r="C120">
        <v>55458198</v>
      </c>
      <c r="D120">
        <v>44816375</v>
      </c>
      <c r="E120">
        <v>1</v>
      </c>
      <c r="F120">
        <v>1</v>
      </c>
      <c r="G120">
        <v>1</v>
      </c>
      <c r="H120">
        <v>3</v>
      </c>
      <c r="I120" t="s">
        <v>351</v>
      </c>
      <c r="J120" t="s">
        <v>352</v>
      </c>
      <c r="K120" t="s">
        <v>353</v>
      </c>
      <c r="L120">
        <v>1425</v>
      </c>
      <c r="N120">
        <v>1013</v>
      </c>
      <c r="O120" t="s">
        <v>354</v>
      </c>
      <c r="P120" t="s">
        <v>354</v>
      </c>
      <c r="Q120">
        <v>1</v>
      </c>
      <c r="W120">
        <v>0</v>
      </c>
      <c r="X120">
        <v>1143101474</v>
      </c>
      <c r="Y120">
        <v>0.2</v>
      </c>
      <c r="AA120">
        <v>82</v>
      </c>
      <c r="AB120">
        <v>0</v>
      </c>
      <c r="AC120">
        <v>0</v>
      </c>
      <c r="AD120">
        <v>0</v>
      </c>
      <c r="AE120">
        <v>82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0.2</v>
      </c>
      <c r="AV120">
        <v>0</v>
      </c>
      <c r="AW120">
        <v>2</v>
      </c>
      <c r="AX120">
        <v>55458202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Y120*Source!I146</f>
        <v>2.458</v>
      </c>
      <c r="CY120">
        <f>AA120</f>
        <v>82</v>
      </c>
      <c r="CZ120">
        <f>AE120</f>
        <v>82</v>
      </c>
      <c r="DA120">
        <f>AI120</f>
        <v>1</v>
      </c>
      <c r="DB120">
        <f t="shared" si="8"/>
        <v>16.4</v>
      </c>
      <c r="DC120">
        <f t="shared" si="9"/>
        <v>0</v>
      </c>
    </row>
    <row r="121" spans="1:107" ht="12.75">
      <c r="A121">
        <f>ROW(Source!A147)</f>
        <v>147</v>
      </c>
      <c r="B121">
        <v>55457796</v>
      </c>
      <c r="C121">
        <v>55458198</v>
      </c>
      <c r="D121">
        <v>44800161</v>
      </c>
      <c r="E121">
        <v>54</v>
      </c>
      <c r="F121">
        <v>1</v>
      </c>
      <c r="G121">
        <v>1</v>
      </c>
      <c r="H121">
        <v>1</v>
      </c>
      <c r="I121" t="s">
        <v>349</v>
      </c>
      <c r="K121" t="s">
        <v>350</v>
      </c>
      <c r="L121">
        <v>1191</v>
      </c>
      <c r="N121">
        <v>1013</v>
      </c>
      <c r="O121" t="s">
        <v>292</v>
      </c>
      <c r="P121" t="s">
        <v>292</v>
      </c>
      <c r="Q121">
        <v>1</v>
      </c>
      <c r="W121">
        <v>0</v>
      </c>
      <c r="X121">
        <v>-576067263</v>
      </c>
      <c r="Y121">
        <v>1.03</v>
      </c>
      <c r="AA121">
        <v>0</v>
      </c>
      <c r="AB121">
        <v>0</v>
      </c>
      <c r="AC121">
        <v>0</v>
      </c>
      <c r="AD121">
        <v>262.22</v>
      </c>
      <c r="AE121">
        <v>0</v>
      </c>
      <c r="AF121">
        <v>0</v>
      </c>
      <c r="AG121">
        <v>0</v>
      </c>
      <c r="AH121">
        <v>7.19</v>
      </c>
      <c r="AI121">
        <v>1</v>
      </c>
      <c r="AJ121">
        <v>1</v>
      </c>
      <c r="AK121">
        <v>1</v>
      </c>
      <c r="AL121">
        <v>36.47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1.03</v>
      </c>
      <c r="AV121">
        <v>1</v>
      </c>
      <c r="AW121">
        <v>2</v>
      </c>
      <c r="AX121">
        <v>55458201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Y121*Source!I147</f>
        <v>12.6587</v>
      </c>
      <c r="CY121">
        <f>AD121</f>
        <v>262.22</v>
      </c>
      <c r="CZ121">
        <f>AH121</f>
        <v>7.19</v>
      </c>
      <c r="DA121">
        <f>AL121</f>
        <v>36.47</v>
      </c>
      <c r="DB121">
        <f t="shared" si="8"/>
        <v>7.41</v>
      </c>
      <c r="DC121">
        <f t="shared" si="9"/>
        <v>0</v>
      </c>
    </row>
    <row r="122" spans="1:107" ht="12.75">
      <c r="A122">
        <f>ROW(Source!A147)</f>
        <v>147</v>
      </c>
      <c r="B122">
        <v>55457796</v>
      </c>
      <c r="C122">
        <v>55458198</v>
      </c>
      <c r="D122">
        <v>44816375</v>
      </c>
      <c r="E122">
        <v>1</v>
      </c>
      <c r="F122">
        <v>1</v>
      </c>
      <c r="G122">
        <v>1</v>
      </c>
      <c r="H122">
        <v>3</v>
      </c>
      <c r="I122" t="s">
        <v>351</v>
      </c>
      <c r="J122" t="s">
        <v>352</v>
      </c>
      <c r="K122" t="s">
        <v>353</v>
      </c>
      <c r="L122">
        <v>1425</v>
      </c>
      <c r="N122">
        <v>1013</v>
      </c>
      <c r="O122" t="s">
        <v>354</v>
      </c>
      <c r="P122" t="s">
        <v>354</v>
      </c>
      <c r="Q122">
        <v>1</v>
      </c>
      <c r="W122">
        <v>0</v>
      </c>
      <c r="X122">
        <v>1143101474</v>
      </c>
      <c r="Y122">
        <v>0.2</v>
      </c>
      <c r="AA122">
        <v>559.24</v>
      </c>
      <c r="AB122">
        <v>0</v>
      </c>
      <c r="AC122">
        <v>0</v>
      </c>
      <c r="AD122">
        <v>0</v>
      </c>
      <c r="AE122">
        <v>82</v>
      </c>
      <c r="AF122">
        <v>0</v>
      </c>
      <c r="AG122">
        <v>0</v>
      </c>
      <c r="AH122">
        <v>0</v>
      </c>
      <c r="AI122">
        <v>6.82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0.2</v>
      </c>
      <c r="AV122">
        <v>0</v>
      </c>
      <c r="AW122">
        <v>2</v>
      </c>
      <c r="AX122">
        <v>55458202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Y122*Source!I147</f>
        <v>2.458</v>
      </c>
      <c r="CY122">
        <f>AA122</f>
        <v>559.24</v>
      </c>
      <c r="CZ122">
        <f>AE122</f>
        <v>82</v>
      </c>
      <c r="DA122">
        <f>AI122</f>
        <v>6.82</v>
      </c>
      <c r="DB122">
        <f t="shared" si="8"/>
        <v>16.4</v>
      </c>
      <c r="DC122">
        <f t="shared" si="9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55458037</v>
      </c>
      <c r="C1">
        <v>55458034</v>
      </c>
      <c r="D1">
        <v>44800219</v>
      </c>
      <c r="E1">
        <v>54</v>
      </c>
      <c r="F1">
        <v>1</v>
      </c>
      <c r="G1">
        <v>1</v>
      </c>
      <c r="H1">
        <v>1</v>
      </c>
      <c r="I1" t="s">
        <v>290</v>
      </c>
      <c r="K1" t="s">
        <v>291</v>
      </c>
      <c r="L1">
        <v>1191</v>
      </c>
      <c r="N1">
        <v>1013</v>
      </c>
      <c r="O1" t="s">
        <v>292</v>
      </c>
      <c r="P1" t="s">
        <v>292</v>
      </c>
      <c r="Q1">
        <v>1</v>
      </c>
      <c r="X1">
        <v>14.38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14.38</v>
      </c>
      <c r="AH1">
        <v>2</v>
      </c>
      <c r="AI1">
        <v>55458035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55458038</v>
      </c>
      <c r="C2">
        <v>55458034</v>
      </c>
      <c r="D2">
        <v>44976395</v>
      </c>
      <c r="E2">
        <v>1</v>
      </c>
      <c r="F2">
        <v>1</v>
      </c>
      <c r="G2">
        <v>1</v>
      </c>
      <c r="H2">
        <v>2</v>
      </c>
      <c r="I2" t="s">
        <v>293</v>
      </c>
      <c r="J2" t="s">
        <v>294</v>
      </c>
      <c r="K2" t="s">
        <v>295</v>
      </c>
      <c r="L2">
        <v>1368</v>
      </c>
      <c r="N2">
        <v>1011</v>
      </c>
      <c r="O2" t="s">
        <v>296</v>
      </c>
      <c r="P2" t="s">
        <v>296</v>
      </c>
      <c r="Q2">
        <v>1</v>
      </c>
      <c r="X2">
        <v>6.22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6.22</v>
      </c>
      <c r="AH2">
        <v>2</v>
      </c>
      <c r="AI2">
        <v>55458036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55458037</v>
      </c>
      <c r="C3">
        <v>55458034</v>
      </c>
      <c r="D3">
        <v>44800219</v>
      </c>
      <c r="E3">
        <v>54</v>
      </c>
      <c r="F3">
        <v>1</v>
      </c>
      <c r="G3">
        <v>1</v>
      </c>
      <c r="H3">
        <v>1</v>
      </c>
      <c r="I3" t="s">
        <v>290</v>
      </c>
      <c r="K3" t="s">
        <v>291</v>
      </c>
      <c r="L3">
        <v>1191</v>
      </c>
      <c r="N3">
        <v>1013</v>
      </c>
      <c r="O3" t="s">
        <v>292</v>
      </c>
      <c r="P3" t="s">
        <v>292</v>
      </c>
      <c r="Q3">
        <v>1</v>
      </c>
      <c r="X3">
        <v>14.38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14.38</v>
      </c>
      <c r="AH3">
        <v>2</v>
      </c>
      <c r="AI3">
        <v>55458035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55458038</v>
      </c>
      <c r="C4">
        <v>55458034</v>
      </c>
      <c r="D4">
        <v>44976395</v>
      </c>
      <c r="E4">
        <v>1</v>
      </c>
      <c r="F4">
        <v>1</v>
      </c>
      <c r="G4">
        <v>1</v>
      </c>
      <c r="H4">
        <v>2</v>
      </c>
      <c r="I4" t="s">
        <v>293</v>
      </c>
      <c r="J4" t="s">
        <v>294</v>
      </c>
      <c r="K4" t="s">
        <v>295</v>
      </c>
      <c r="L4">
        <v>1368</v>
      </c>
      <c r="N4">
        <v>1011</v>
      </c>
      <c r="O4" t="s">
        <v>296</v>
      </c>
      <c r="P4" t="s">
        <v>296</v>
      </c>
      <c r="Q4">
        <v>1</v>
      </c>
      <c r="X4">
        <v>6.22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6.22</v>
      </c>
      <c r="AH4">
        <v>2</v>
      </c>
      <c r="AI4">
        <v>55458036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55466885</v>
      </c>
      <c r="C5">
        <v>55466884</v>
      </c>
      <c r="D5">
        <v>53630041</v>
      </c>
      <c r="E5">
        <v>70</v>
      </c>
      <c r="F5">
        <v>1</v>
      </c>
      <c r="G5">
        <v>1</v>
      </c>
      <c r="H5">
        <v>1</v>
      </c>
      <c r="I5" t="s">
        <v>297</v>
      </c>
      <c r="K5" t="s">
        <v>298</v>
      </c>
      <c r="L5">
        <v>1191</v>
      </c>
      <c r="N5">
        <v>1013</v>
      </c>
      <c r="O5" t="s">
        <v>292</v>
      </c>
      <c r="P5" t="s">
        <v>292</v>
      </c>
      <c r="Q5">
        <v>1</v>
      </c>
      <c r="X5">
        <v>35.6</v>
      </c>
      <c r="Y5">
        <v>0</v>
      </c>
      <c r="Z5">
        <v>0</v>
      </c>
      <c r="AA5">
        <v>0</v>
      </c>
      <c r="AB5">
        <v>7.94</v>
      </c>
      <c r="AC5">
        <v>0</v>
      </c>
      <c r="AD5">
        <v>1</v>
      </c>
      <c r="AE5">
        <v>1</v>
      </c>
      <c r="AF5" t="s">
        <v>38</v>
      </c>
      <c r="AG5">
        <v>28.480000000000004</v>
      </c>
      <c r="AH5">
        <v>2</v>
      </c>
      <c r="AI5">
        <v>55466885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55466886</v>
      </c>
      <c r="C6">
        <v>55466884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299</v>
      </c>
      <c r="K6" t="s">
        <v>300</v>
      </c>
      <c r="L6">
        <v>1191</v>
      </c>
      <c r="N6">
        <v>1013</v>
      </c>
      <c r="O6" t="s">
        <v>292</v>
      </c>
      <c r="P6" t="s">
        <v>292</v>
      </c>
      <c r="Q6">
        <v>1</v>
      </c>
      <c r="X6">
        <v>1.27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38</v>
      </c>
      <c r="AG6">
        <v>1.016</v>
      </c>
      <c r="AH6">
        <v>2</v>
      </c>
      <c r="AI6">
        <v>55466886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55466887</v>
      </c>
      <c r="C7">
        <v>55466884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301</v>
      </c>
      <c r="J7" t="s">
        <v>302</v>
      </c>
      <c r="K7" t="s">
        <v>303</v>
      </c>
      <c r="L7">
        <v>1367</v>
      </c>
      <c r="N7">
        <v>1011</v>
      </c>
      <c r="O7" t="s">
        <v>304</v>
      </c>
      <c r="P7" t="s">
        <v>304</v>
      </c>
      <c r="Q7">
        <v>1</v>
      </c>
      <c r="X7">
        <v>1.27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38</v>
      </c>
      <c r="AG7">
        <v>1.016</v>
      </c>
      <c r="AH7">
        <v>2</v>
      </c>
      <c r="AI7">
        <v>55466887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55466888</v>
      </c>
      <c r="C8">
        <v>55466884</v>
      </c>
      <c r="D8">
        <v>53792275</v>
      </c>
      <c r="E8">
        <v>1</v>
      </c>
      <c r="F8">
        <v>1</v>
      </c>
      <c r="G8">
        <v>1</v>
      </c>
      <c r="H8">
        <v>2</v>
      </c>
      <c r="I8" t="s">
        <v>305</v>
      </c>
      <c r="J8" t="s">
        <v>306</v>
      </c>
      <c r="K8" t="s">
        <v>307</v>
      </c>
      <c r="L8">
        <v>1367</v>
      </c>
      <c r="N8">
        <v>1011</v>
      </c>
      <c r="O8" t="s">
        <v>304</v>
      </c>
      <c r="P8" t="s">
        <v>304</v>
      </c>
      <c r="Q8">
        <v>1</v>
      </c>
      <c r="X8">
        <v>7.82</v>
      </c>
      <c r="Y8">
        <v>0</v>
      </c>
      <c r="Z8">
        <v>0.5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38</v>
      </c>
      <c r="AG8">
        <v>6.256</v>
      </c>
      <c r="AH8">
        <v>2</v>
      </c>
      <c r="AI8">
        <v>55466888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55466889</v>
      </c>
      <c r="C9">
        <v>55466884</v>
      </c>
      <c r="D9">
        <v>53642555</v>
      </c>
      <c r="E9">
        <v>1</v>
      </c>
      <c r="F9">
        <v>1</v>
      </c>
      <c r="G9">
        <v>1</v>
      </c>
      <c r="H9">
        <v>3</v>
      </c>
      <c r="I9" t="s">
        <v>49</v>
      </c>
      <c r="J9" t="s">
        <v>51</v>
      </c>
      <c r="K9" t="s">
        <v>50</v>
      </c>
      <c r="L9">
        <v>1339</v>
      </c>
      <c r="N9">
        <v>1007</v>
      </c>
      <c r="O9" t="s">
        <v>47</v>
      </c>
      <c r="P9" t="s">
        <v>47</v>
      </c>
      <c r="Q9">
        <v>1</v>
      </c>
      <c r="X9">
        <v>3.5</v>
      </c>
      <c r="Y9">
        <v>2.44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37</v>
      </c>
      <c r="AG9">
        <v>0</v>
      </c>
      <c r="AH9">
        <v>2</v>
      </c>
      <c r="AI9">
        <v>55466889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55466890</v>
      </c>
      <c r="C10">
        <v>55466884</v>
      </c>
      <c r="D10">
        <v>53631145</v>
      </c>
      <c r="E10">
        <v>70</v>
      </c>
      <c r="F10">
        <v>1</v>
      </c>
      <c r="G10">
        <v>1</v>
      </c>
      <c r="H10">
        <v>3</v>
      </c>
      <c r="I10" t="s">
        <v>45</v>
      </c>
      <c r="K10" t="s">
        <v>46</v>
      </c>
      <c r="L10">
        <v>1339</v>
      </c>
      <c r="N10">
        <v>1007</v>
      </c>
      <c r="O10" t="s">
        <v>47</v>
      </c>
      <c r="P10" t="s">
        <v>47</v>
      </c>
      <c r="Q10">
        <v>1</v>
      </c>
      <c r="X10">
        <v>2.04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37</v>
      </c>
      <c r="AG10">
        <v>0</v>
      </c>
      <c r="AH10">
        <v>2</v>
      </c>
      <c r="AI10">
        <v>55466890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ROW(Source!A31)</f>
        <v>31</v>
      </c>
      <c r="B11">
        <v>55466885</v>
      </c>
      <c r="C11">
        <v>55466884</v>
      </c>
      <c r="D11">
        <v>53630041</v>
      </c>
      <c r="E11">
        <v>70</v>
      </c>
      <c r="F11">
        <v>1</v>
      </c>
      <c r="G11">
        <v>1</v>
      </c>
      <c r="H11">
        <v>1</v>
      </c>
      <c r="I11" t="s">
        <v>297</v>
      </c>
      <c r="K11" t="s">
        <v>298</v>
      </c>
      <c r="L11">
        <v>1191</v>
      </c>
      <c r="N11">
        <v>1013</v>
      </c>
      <c r="O11" t="s">
        <v>292</v>
      </c>
      <c r="P11" t="s">
        <v>292</v>
      </c>
      <c r="Q11">
        <v>1</v>
      </c>
      <c r="X11">
        <v>35.6</v>
      </c>
      <c r="Y11">
        <v>0</v>
      </c>
      <c r="Z11">
        <v>0</v>
      </c>
      <c r="AA11">
        <v>0</v>
      </c>
      <c r="AB11">
        <v>7.94</v>
      </c>
      <c r="AC11">
        <v>0</v>
      </c>
      <c r="AD11">
        <v>1</v>
      </c>
      <c r="AE11">
        <v>1</v>
      </c>
      <c r="AF11" t="s">
        <v>38</v>
      </c>
      <c r="AG11">
        <v>28.480000000000004</v>
      </c>
      <c r="AH11">
        <v>2</v>
      </c>
      <c r="AI11">
        <v>55466885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ROW(Source!A31)</f>
        <v>31</v>
      </c>
      <c r="B12">
        <v>55466886</v>
      </c>
      <c r="C12">
        <v>55466884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299</v>
      </c>
      <c r="K12" t="s">
        <v>300</v>
      </c>
      <c r="L12">
        <v>1191</v>
      </c>
      <c r="N12">
        <v>1013</v>
      </c>
      <c r="O12" t="s">
        <v>292</v>
      </c>
      <c r="P12" t="s">
        <v>292</v>
      </c>
      <c r="Q12">
        <v>1</v>
      </c>
      <c r="X12">
        <v>1.27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38</v>
      </c>
      <c r="AG12">
        <v>1.016</v>
      </c>
      <c r="AH12">
        <v>2</v>
      </c>
      <c r="AI12">
        <v>55466886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ROW(Source!A31)</f>
        <v>31</v>
      </c>
      <c r="B13">
        <v>55466887</v>
      </c>
      <c r="C13">
        <v>55466884</v>
      </c>
      <c r="D13">
        <v>53792191</v>
      </c>
      <c r="E13">
        <v>1</v>
      </c>
      <c r="F13">
        <v>1</v>
      </c>
      <c r="G13">
        <v>1</v>
      </c>
      <c r="H13">
        <v>2</v>
      </c>
      <c r="I13" t="s">
        <v>301</v>
      </c>
      <c r="J13" t="s">
        <v>302</v>
      </c>
      <c r="K13" t="s">
        <v>303</v>
      </c>
      <c r="L13">
        <v>1367</v>
      </c>
      <c r="N13">
        <v>1011</v>
      </c>
      <c r="O13" t="s">
        <v>304</v>
      </c>
      <c r="P13" t="s">
        <v>304</v>
      </c>
      <c r="Q13">
        <v>1</v>
      </c>
      <c r="X13">
        <v>1.27</v>
      </c>
      <c r="Y13">
        <v>0</v>
      </c>
      <c r="Z13">
        <v>31.26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38</v>
      </c>
      <c r="AG13">
        <v>1.016</v>
      </c>
      <c r="AH13">
        <v>2</v>
      </c>
      <c r="AI13">
        <v>55466887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ROW(Source!A31)</f>
        <v>31</v>
      </c>
      <c r="B14">
        <v>55466888</v>
      </c>
      <c r="C14">
        <v>55466884</v>
      </c>
      <c r="D14">
        <v>53792275</v>
      </c>
      <c r="E14">
        <v>1</v>
      </c>
      <c r="F14">
        <v>1</v>
      </c>
      <c r="G14">
        <v>1</v>
      </c>
      <c r="H14">
        <v>2</v>
      </c>
      <c r="I14" t="s">
        <v>305</v>
      </c>
      <c r="J14" t="s">
        <v>306</v>
      </c>
      <c r="K14" t="s">
        <v>307</v>
      </c>
      <c r="L14">
        <v>1367</v>
      </c>
      <c r="N14">
        <v>1011</v>
      </c>
      <c r="O14" t="s">
        <v>304</v>
      </c>
      <c r="P14" t="s">
        <v>304</v>
      </c>
      <c r="Q14">
        <v>1</v>
      </c>
      <c r="X14">
        <v>7.82</v>
      </c>
      <c r="Y14">
        <v>0</v>
      </c>
      <c r="Z14">
        <v>0.5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38</v>
      </c>
      <c r="AG14">
        <v>6.256</v>
      </c>
      <c r="AH14">
        <v>2</v>
      </c>
      <c r="AI14">
        <v>55466888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55466889</v>
      </c>
      <c r="C15">
        <v>55466884</v>
      </c>
      <c r="D15">
        <v>53642555</v>
      </c>
      <c r="E15">
        <v>1</v>
      </c>
      <c r="F15">
        <v>1</v>
      </c>
      <c r="G15">
        <v>1</v>
      </c>
      <c r="H15">
        <v>3</v>
      </c>
      <c r="I15" t="s">
        <v>49</v>
      </c>
      <c r="J15" t="s">
        <v>51</v>
      </c>
      <c r="K15" t="s">
        <v>50</v>
      </c>
      <c r="L15">
        <v>1339</v>
      </c>
      <c r="N15">
        <v>1007</v>
      </c>
      <c r="O15" t="s">
        <v>47</v>
      </c>
      <c r="P15" t="s">
        <v>47</v>
      </c>
      <c r="Q15">
        <v>1</v>
      </c>
      <c r="X15">
        <v>3.5</v>
      </c>
      <c r="Y15">
        <v>2.44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37</v>
      </c>
      <c r="AG15">
        <v>0</v>
      </c>
      <c r="AH15">
        <v>2</v>
      </c>
      <c r="AI15">
        <v>55466889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55466890</v>
      </c>
      <c r="C16">
        <v>55466884</v>
      </c>
      <c r="D16">
        <v>53631145</v>
      </c>
      <c r="E16">
        <v>70</v>
      </c>
      <c r="F16">
        <v>1</v>
      </c>
      <c r="G16">
        <v>1</v>
      </c>
      <c r="H16">
        <v>3</v>
      </c>
      <c r="I16" t="s">
        <v>45</v>
      </c>
      <c r="K16" t="s">
        <v>46</v>
      </c>
      <c r="L16">
        <v>1339</v>
      </c>
      <c r="N16">
        <v>1007</v>
      </c>
      <c r="O16" t="s">
        <v>47</v>
      </c>
      <c r="P16" t="s">
        <v>47</v>
      </c>
      <c r="Q16">
        <v>1</v>
      </c>
      <c r="X16">
        <v>2.04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37</v>
      </c>
      <c r="AG16">
        <v>0</v>
      </c>
      <c r="AH16">
        <v>2</v>
      </c>
      <c r="AI16">
        <v>55466890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ROW(Source!A71)</f>
        <v>71</v>
      </c>
      <c r="B17">
        <v>55458061</v>
      </c>
      <c r="C17">
        <v>55458052</v>
      </c>
      <c r="D17">
        <v>49459389</v>
      </c>
      <c r="E17">
        <v>58</v>
      </c>
      <c r="F17">
        <v>1</v>
      </c>
      <c r="G17">
        <v>1</v>
      </c>
      <c r="H17">
        <v>1</v>
      </c>
      <c r="I17" t="s">
        <v>308</v>
      </c>
      <c r="K17" t="s">
        <v>309</v>
      </c>
      <c r="L17">
        <v>1191</v>
      </c>
      <c r="N17">
        <v>1013</v>
      </c>
      <c r="O17" t="s">
        <v>292</v>
      </c>
      <c r="P17" t="s">
        <v>292</v>
      </c>
      <c r="Q17">
        <v>1</v>
      </c>
      <c r="X17">
        <v>24.3</v>
      </c>
      <c r="Y17">
        <v>0</v>
      </c>
      <c r="Z17">
        <v>0</v>
      </c>
      <c r="AA17">
        <v>0</v>
      </c>
      <c r="AB17">
        <v>8.64</v>
      </c>
      <c r="AC17">
        <v>0</v>
      </c>
      <c r="AD17">
        <v>1</v>
      </c>
      <c r="AE17">
        <v>1</v>
      </c>
      <c r="AF17" t="s">
        <v>112</v>
      </c>
      <c r="AG17">
        <v>27.945</v>
      </c>
      <c r="AH17">
        <v>2</v>
      </c>
      <c r="AI17">
        <v>55458053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ROW(Source!A71)</f>
        <v>71</v>
      </c>
      <c r="B18">
        <v>55458062</v>
      </c>
      <c r="C18">
        <v>55458052</v>
      </c>
      <c r="D18">
        <v>49459566</v>
      </c>
      <c r="E18">
        <v>58</v>
      </c>
      <c r="F18">
        <v>1</v>
      </c>
      <c r="G18">
        <v>1</v>
      </c>
      <c r="H18">
        <v>1</v>
      </c>
      <c r="I18" t="s">
        <v>310</v>
      </c>
      <c r="K18" t="s">
        <v>300</v>
      </c>
      <c r="L18">
        <v>1191</v>
      </c>
      <c r="N18">
        <v>1013</v>
      </c>
      <c r="O18" t="s">
        <v>292</v>
      </c>
      <c r="P18" t="s">
        <v>292</v>
      </c>
      <c r="Q18">
        <v>1</v>
      </c>
      <c r="X18">
        <v>1.94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111</v>
      </c>
      <c r="AG18">
        <v>2.425</v>
      </c>
      <c r="AH18">
        <v>2</v>
      </c>
      <c r="AI18">
        <v>55458054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ROW(Source!A71)</f>
        <v>71</v>
      </c>
      <c r="B19">
        <v>55458063</v>
      </c>
      <c r="C19">
        <v>55458052</v>
      </c>
      <c r="D19">
        <v>49620286</v>
      </c>
      <c r="E19">
        <v>1</v>
      </c>
      <c r="F19">
        <v>1</v>
      </c>
      <c r="G19">
        <v>1</v>
      </c>
      <c r="H19">
        <v>2</v>
      </c>
      <c r="I19" t="s">
        <v>311</v>
      </c>
      <c r="J19" t="s">
        <v>312</v>
      </c>
      <c r="K19" t="s">
        <v>313</v>
      </c>
      <c r="L19">
        <v>1368</v>
      </c>
      <c r="N19">
        <v>1011</v>
      </c>
      <c r="O19" t="s">
        <v>296</v>
      </c>
      <c r="P19" t="s">
        <v>296</v>
      </c>
      <c r="Q19">
        <v>1</v>
      </c>
      <c r="X19">
        <v>0.68</v>
      </c>
      <c r="Y19">
        <v>0</v>
      </c>
      <c r="Z19">
        <v>86.4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111</v>
      </c>
      <c r="AG19">
        <v>0.8500000000000001</v>
      </c>
      <c r="AH19">
        <v>2</v>
      </c>
      <c r="AI19">
        <v>55458055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ROW(Source!A71)</f>
        <v>71</v>
      </c>
      <c r="B20">
        <v>55458064</v>
      </c>
      <c r="C20">
        <v>55458052</v>
      </c>
      <c r="D20">
        <v>49620499</v>
      </c>
      <c r="E20">
        <v>1</v>
      </c>
      <c r="F20">
        <v>1</v>
      </c>
      <c r="G20">
        <v>1</v>
      </c>
      <c r="H20">
        <v>2</v>
      </c>
      <c r="I20" t="s">
        <v>314</v>
      </c>
      <c r="J20" t="s">
        <v>315</v>
      </c>
      <c r="K20" t="s">
        <v>316</v>
      </c>
      <c r="L20">
        <v>1368</v>
      </c>
      <c r="N20">
        <v>1011</v>
      </c>
      <c r="O20" t="s">
        <v>296</v>
      </c>
      <c r="P20" t="s">
        <v>296</v>
      </c>
      <c r="Q20">
        <v>1</v>
      </c>
      <c r="X20">
        <v>1.26</v>
      </c>
      <c r="Y20">
        <v>0</v>
      </c>
      <c r="Z20">
        <v>89.99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111</v>
      </c>
      <c r="AG20">
        <v>1.575</v>
      </c>
      <c r="AH20">
        <v>2</v>
      </c>
      <c r="AI20">
        <v>55458056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ROW(Source!A71)</f>
        <v>71</v>
      </c>
      <c r="B21">
        <v>55458065</v>
      </c>
      <c r="C21">
        <v>55458052</v>
      </c>
      <c r="D21">
        <v>49620642</v>
      </c>
      <c r="E21">
        <v>1</v>
      </c>
      <c r="F21">
        <v>1</v>
      </c>
      <c r="G21">
        <v>1</v>
      </c>
      <c r="H21">
        <v>2</v>
      </c>
      <c r="I21" t="s">
        <v>317</v>
      </c>
      <c r="J21" t="s">
        <v>318</v>
      </c>
      <c r="K21" t="s">
        <v>319</v>
      </c>
      <c r="L21">
        <v>1368</v>
      </c>
      <c r="N21">
        <v>1011</v>
      </c>
      <c r="O21" t="s">
        <v>296</v>
      </c>
      <c r="P21" t="s">
        <v>296</v>
      </c>
      <c r="Q21">
        <v>1</v>
      </c>
      <c r="X21">
        <v>2.29</v>
      </c>
      <c r="Y21">
        <v>0</v>
      </c>
      <c r="Z21">
        <v>7.77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111</v>
      </c>
      <c r="AG21">
        <v>2.8625</v>
      </c>
      <c r="AH21">
        <v>2</v>
      </c>
      <c r="AI21">
        <v>55458057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ROW(Source!A71)</f>
        <v>71</v>
      </c>
      <c r="B22">
        <v>55458066</v>
      </c>
      <c r="C22">
        <v>55458052</v>
      </c>
      <c r="D22">
        <v>49471536</v>
      </c>
      <c r="E22">
        <v>1</v>
      </c>
      <c r="F22">
        <v>1</v>
      </c>
      <c r="G22">
        <v>1</v>
      </c>
      <c r="H22">
        <v>3</v>
      </c>
      <c r="I22" t="s">
        <v>49</v>
      </c>
      <c r="J22" t="s">
        <v>51</v>
      </c>
      <c r="K22" t="s">
        <v>50</v>
      </c>
      <c r="L22">
        <v>1339</v>
      </c>
      <c r="N22">
        <v>1007</v>
      </c>
      <c r="O22" t="s">
        <v>47</v>
      </c>
      <c r="P22" t="s">
        <v>47</v>
      </c>
      <c r="Q22">
        <v>1</v>
      </c>
      <c r="X22">
        <v>3.85</v>
      </c>
      <c r="Y22">
        <v>2.44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3.85</v>
      </c>
      <c r="AH22">
        <v>2</v>
      </c>
      <c r="AI22">
        <v>55458058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ROW(Source!A71)</f>
        <v>71</v>
      </c>
      <c r="B23">
        <v>55458067</v>
      </c>
      <c r="C23">
        <v>55458052</v>
      </c>
      <c r="D23">
        <v>49460378</v>
      </c>
      <c r="E23">
        <v>58</v>
      </c>
      <c r="F23">
        <v>1</v>
      </c>
      <c r="G23">
        <v>1</v>
      </c>
      <c r="H23">
        <v>3</v>
      </c>
      <c r="I23" t="s">
        <v>45</v>
      </c>
      <c r="K23" t="s">
        <v>46</v>
      </c>
      <c r="L23">
        <v>1339</v>
      </c>
      <c r="N23">
        <v>1007</v>
      </c>
      <c r="O23" t="s">
        <v>47</v>
      </c>
      <c r="P23" t="s">
        <v>47</v>
      </c>
      <c r="Q23">
        <v>1</v>
      </c>
      <c r="X23">
        <v>1.53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1.53</v>
      </c>
      <c r="AH23">
        <v>3</v>
      </c>
      <c r="AI23">
        <v>-1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ROW(Source!A71)</f>
        <v>71</v>
      </c>
      <c r="B24">
        <v>55458068</v>
      </c>
      <c r="C24">
        <v>55458052</v>
      </c>
      <c r="D24">
        <v>49497472</v>
      </c>
      <c r="E24">
        <v>1</v>
      </c>
      <c r="F24">
        <v>1</v>
      </c>
      <c r="G24">
        <v>1</v>
      </c>
      <c r="H24">
        <v>3</v>
      </c>
      <c r="I24" t="s">
        <v>320</v>
      </c>
      <c r="J24" t="s">
        <v>321</v>
      </c>
      <c r="K24" t="s">
        <v>322</v>
      </c>
      <c r="L24">
        <v>1327</v>
      </c>
      <c r="N24">
        <v>1005</v>
      </c>
      <c r="O24" t="s">
        <v>144</v>
      </c>
      <c r="P24" t="s">
        <v>144</v>
      </c>
      <c r="Q24">
        <v>1</v>
      </c>
      <c r="X24">
        <v>4.4</v>
      </c>
      <c r="Y24">
        <v>6.2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4.4</v>
      </c>
      <c r="AH24">
        <v>2</v>
      </c>
      <c r="AI24">
        <v>55458059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ROW(Source!A72)</f>
        <v>72</v>
      </c>
      <c r="B25">
        <v>55458061</v>
      </c>
      <c r="C25">
        <v>55458052</v>
      </c>
      <c r="D25">
        <v>49459389</v>
      </c>
      <c r="E25">
        <v>58</v>
      </c>
      <c r="F25">
        <v>1</v>
      </c>
      <c r="G25">
        <v>1</v>
      </c>
      <c r="H25">
        <v>1</v>
      </c>
      <c r="I25" t="s">
        <v>308</v>
      </c>
      <c r="K25" t="s">
        <v>309</v>
      </c>
      <c r="L25">
        <v>1191</v>
      </c>
      <c r="N25">
        <v>1013</v>
      </c>
      <c r="O25" t="s">
        <v>292</v>
      </c>
      <c r="P25" t="s">
        <v>292</v>
      </c>
      <c r="Q25">
        <v>1</v>
      </c>
      <c r="X25">
        <v>24.3</v>
      </c>
      <c r="Y25">
        <v>0</v>
      </c>
      <c r="Z25">
        <v>0</v>
      </c>
      <c r="AA25">
        <v>0</v>
      </c>
      <c r="AB25">
        <v>8.64</v>
      </c>
      <c r="AC25">
        <v>0</v>
      </c>
      <c r="AD25">
        <v>1</v>
      </c>
      <c r="AE25">
        <v>1</v>
      </c>
      <c r="AF25" t="s">
        <v>112</v>
      </c>
      <c r="AG25">
        <v>27.945</v>
      </c>
      <c r="AH25">
        <v>2</v>
      </c>
      <c r="AI25">
        <v>55458053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ROW(Source!A72)</f>
        <v>72</v>
      </c>
      <c r="B26">
        <v>55458062</v>
      </c>
      <c r="C26">
        <v>55458052</v>
      </c>
      <c r="D26">
        <v>49459566</v>
      </c>
      <c r="E26">
        <v>58</v>
      </c>
      <c r="F26">
        <v>1</v>
      </c>
      <c r="G26">
        <v>1</v>
      </c>
      <c r="H26">
        <v>1</v>
      </c>
      <c r="I26" t="s">
        <v>310</v>
      </c>
      <c r="K26" t="s">
        <v>300</v>
      </c>
      <c r="L26">
        <v>1191</v>
      </c>
      <c r="N26">
        <v>1013</v>
      </c>
      <c r="O26" t="s">
        <v>292</v>
      </c>
      <c r="P26" t="s">
        <v>292</v>
      </c>
      <c r="Q26">
        <v>1</v>
      </c>
      <c r="X26">
        <v>1.94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111</v>
      </c>
      <c r="AG26">
        <v>2.425</v>
      </c>
      <c r="AH26">
        <v>2</v>
      </c>
      <c r="AI26">
        <v>55458054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ROW(Source!A72)</f>
        <v>72</v>
      </c>
      <c r="B27">
        <v>55458063</v>
      </c>
      <c r="C27">
        <v>55458052</v>
      </c>
      <c r="D27">
        <v>49620286</v>
      </c>
      <c r="E27">
        <v>1</v>
      </c>
      <c r="F27">
        <v>1</v>
      </c>
      <c r="G27">
        <v>1</v>
      </c>
      <c r="H27">
        <v>2</v>
      </c>
      <c r="I27" t="s">
        <v>311</v>
      </c>
      <c r="J27" t="s">
        <v>312</v>
      </c>
      <c r="K27" t="s">
        <v>313</v>
      </c>
      <c r="L27">
        <v>1368</v>
      </c>
      <c r="N27">
        <v>1011</v>
      </c>
      <c r="O27" t="s">
        <v>296</v>
      </c>
      <c r="P27" t="s">
        <v>296</v>
      </c>
      <c r="Q27">
        <v>1</v>
      </c>
      <c r="X27">
        <v>0.68</v>
      </c>
      <c r="Y27">
        <v>0</v>
      </c>
      <c r="Z27">
        <v>86.4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111</v>
      </c>
      <c r="AG27">
        <v>0.8500000000000001</v>
      </c>
      <c r="AH27">
        <v>2</v>
      </c>
      <c r="AI27">
        <v>55458055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ROW(Source!A72)</f>
        <v>72</v>
      </c>
      <c r="B28">
        <v>55458064</v>
      </c>
      <c r="C28">
        <v>55458052</v>
      </c>
      <c r="D28">
        <v>49620499</v>
      </c>
      <c r="E28">
        <v>1</v>
      </c>
      <c r="F28">
        <v>1</v>
      </c>
      <c r="G28">
        <v>1</v>
      </c>
      <c r="H28">
        <v>2</v>
      </c>
      <c r="I28" t="s">
        <v>314</v>
      </c>
      <c r="J28" t="s">
        <v>315</v>
      </c>
      <c r="K28" t="s">
        <v>316</v>
      </c>
      <c r="L28">
        <v>1368</v>
      </c>
      <c r="N28">
        <v>1011</v>
      </c>
      <c r="O28" t="s">
        <v>296</v>
      </c>
      <c r="P28" t="s">
        <v>296</v>
      </c>
      <c r="Q28">
        <v>1</v>
      </c>
      <c r="X28">
        <v>1.26</v>
      </c>
      <c r="Y28">
        <v>0</v>
      </c>
      <c r="Z28">
        <v>89.99</v>
      </c>
      <c r="AA28">
        <v>10.06</v>
      </c>
      <c r="AB28">
        <v>0</v>
      </c>
      <c r="AC28">
        <v>0</v>
      </c>
      <c r="AD28">
        <v>1</v>
      </c>
      <c r="AE28">
        <v>0</v>
      </c>
      <c r="AF28" t="s">
        <v>111</v>
      </c>
      <c r="AG28">
        <v>1.575</v>
      </c>
      <c r="AH28">
        <v>2</v>
      </c>
      <c r="AI28">
        <v>55458056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ROW(Source!A72)</f>
        <v>72</v>
      </c>
      <c r="B29">
        <v>55458065</v>
      </c>
      <c r="C29">
        <v>55458052</v>
      </c>
      <c r="D29">
        <v>49620642</v>
      </c>
      <c r="E29">
        <v>1</v>
      </c>
      <c r="F29">
        <v>1</v>
      </c>
      <c r="G29">
        <v>1</v>
      </c>
      <c r="H29">
        <v>2</v>
      </c>
      <c r="I29" t="s">
        <v>317</v>
      </c>
      <c r="J29" t="s">
        <v>318</v>
      </c>
      <c r="K29" t="s">
        <v>319</v>
      </c>
      <c r="L29">
        <v>1368</v>
      </c>
      <c r="N29">
        <v>1011</v>
      </c>
      <c r="O29" t="s">
        <v>296</v>
      </c>
      <c r="P29" t="s">
        <v>296</v>
      </c>
      <c r="Q29">
        <v>1</v>
      </c>
      <c r="X29">
        <v>2.29</v>
      </c>
      <c r="Y29">
        <v>0</v>
      </c>
      <c r="Z29">
        <v>7.77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111</v>
      </c>
      <c r="AG29">
        <v>2.8625</v>
      </c>
      <c r="AH29">
        <v>2</v>
      </c>
      <c r="AI29">
        <v>55458057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ROW(Source!A72)</f>
        <v>72</v>
      </c>
      <c r="B30">
        <v>55458066</v>
      </c>
      <c r="C30">
        <v>55458052</v>
      </c>
      <c r="D30">
        <v>49471536</v>
      </c>
      <c r="E30">
        <v>1</v>
      </c>
      <c r="F30">
        <v>1</v>
      </c>
      <c r="G30">
        <v>1</v>
      </c>
      <c r="H30">
        <v>3</v>
      </c>
      <c r="I30" t="s">
        <v>49</v>
      </c>
      <c r="J30" t="s">
        <v>51</v>
      </c>
      <c r="K30" t="s">
        <v>50</v>
      </c>
      <c r="L30">
        <v>1339</v>
      </c>
      <c r="N30">
        <v>1007</v>
      </c>
      <c r="O30" t="s">
        <v>47</v>
      </c>
      <c r="P30" t="s">
        <v>47</v>
      </c>
      <c r="Q30">
        <v>1</v>
      </c>
      <c r="X30">
        <v>3.85</v>
      </c>
      <c r="Y30">
        <v>2.44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3.85</v>
      </c>
      <c r="AH30">
        <v>2</v>
      </c>
      <c r="AI30">
        <v>55458058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ROW(Source!A72)</f>
        <v>72</v>
      </c>
      <c r="B31">
        <v>55458067</v>
      </c>
      <c r="C31">
        <v>55458052</v>
      </c>
      <c r="D31">
        <v>49460378</v>
      </c>
      <c r="E31">
        <v>58</v>
      </c>
      <c r="F31">
        <v>1</v>
      </c>
      <c r="G31">
        <v>1</v>
      </c>
      <c r="H31">
        <v>3</v>
      </c>
      <c r="I31" t="s">
        <v>45</v>
      </c>
      <c r="K31" t="s">
        <v>46</v>
      </c>
      <c r="L31">
        <v>1339</v>
      </c>
      <c r="N31">
        <v>1007</v>
      </c>
      <c r="O31" t="s">
        <v>47</v>
      </c>
      <c r="P31" t="s">
        <v>47</v>
      </c>
      <c r="Q31">
        <v>1</v>
      </c>
      <c r="X31">
        <v>1.53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v>1.53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ROW(Source!A72)</f>
        <v>72</v>
      </c>
      <c r="B32">
        <v>55458068</v>
      </c>
      <c r="C32">
        <v>55458052</v>
      </c>
      <c r="D32">
        <v>49497472</v>
      </c>
      <c r="E32">
        <v>1</v>
      </c>
      <c r="F32">
        <v>1</v>
      </c>
      <c r="G32">
        <v>1</v>
      </c>
      <c r="H32">
        <v>3</v>
      </c>
      <c r="I32" t="s">
        <v>320</v>
      </c>
      <c r="J32" t="s">
        <v>321</v>
      </c>
      <c r="K32" t="s">
        <v>322</v>
      </c>
      <c r="L32">
        <v>1327</v>
      </c>
      <c r="N32">
        <v>1005</v>
      </c>
      <c r="O32" t="s">
        <v>144</v>
      </c>
      <c r="P32" t="s">
        <v>144</v>
      </c>
      <c r="Q32">
        <v>1</v>
      </c>
      <c r="X32">
        <v>4.4</v>
      </c>
      <c r="Y32">
        <v>6.2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4.4</v>
      </c>
      <c r="AH32">
        <v>2</v>
      </c>
      <c r="AI32">
        <v>55458059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ROW(Source!A75)</f>
        <v>75</v>
      </c>
      <c r="B33">
        <v>55458076</v>
      </c>
      <c r="C33">
        <v>55458070</v>
      </c>
      <c r="D33">
        <v>49459389</v>
      </c>
      <c r="E33">
        <v>58</v>
      </c>
      <c r="F33">
        <v>1</v>
      </c>
      <c r="G33">
        <v>1</v>
      </c>
      <c r="H33">
        <v>1</v>
      </c>
      <c r="I33" t="s">
        <v>308</v>
      </c>
      <c r="K33" t="s">
        <v>309</v>
      </c>
      <c r="L33">
        <v>1191</v>
      </c>
      <c r="N33">
        <v>1013</v>
      </c>
      <c r="O33" t="s">
        <v>292</v>
      </c>
      <c r="P33" t="s">
        <v>292</v>
      </c>
      <c r="Q33">
        <v>1</v>
      </c>
      <c r="X33">
        <v>1</v>
      </c>
      <c r="Y33">
        <v>0</v>
      </c>
      <c r="Z33">
        <v>0</v>
      </c>
      <c r="AA33">
        <v>0</v>
      </c>
      <c r="AB33">
        <v>8.64</v>
      </c>
      <c r="AC33">
        <v>0</v>
      </c>
      <c r="AD33">
        <v>1</v>
      </c>
      <c r="AE33">
        <v>1</v>
      </c>
      <c r="AF33" t="s">
        <v>131</v>
      </c>
      <c r="AG33">
        <v>5.75</v>
      </c>
      <c r="AH33">
        <v>2</v>
      </c>
      <c r="AI33">
        <v>55458071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ROW(Source!A75)</f>
        <v>75</v>
      </c>
      <c r="B34">
        <v>55458077</v>
      </c>
      <c r="C34">
        <v>55458070</v>
      </c>
      <c r="D34">
        <v>49459566</v>
      </c>
      <c r="E34">
        <v>58</v>
      </c>
      <c r="F34">
        <v>1</v>
      </c>
      <c r="G34">
        <v>1</v>
      </c>
      <c r="H34">
        <v>1</v>
      </c>
      <c r="I34" t="s">
        <v>310</v>
      </c>
      <c r="K34" t="s">
        <v>300</v>
      </c>
      <c r="L34">
        <v>1191</v>
      </c>
      <c r="N34">
        <v>1013</v>
      </c>
      <c r="O34" t="s">
        <v>292</v>
      </c>
      <c r="P34" t="s">
        <v>292</v>
      </c>
      <c r="Q34">
        <v>1</v>
      </c>
      <c r="X34">
        <v>0.03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130</v>
      </c>
      <c r="AG34">
        <v>0.1875</v>
      </c>
      <c r="AH34">
        <v>2</v>
      </c>
      <c r="AI34">
        <v>55458072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ROW(Source!A75)</f>
        <v>75</v>
      </c>
      <c r="B35">
        <v>55458078</v>
      </c>
      <c r="C35">
        <v>55458070</v>
      </c>
      <c r="D35">
        <v>49620286</v>
      </c>
      <c r="E35">
        <v>1</v>
      </c>
      <c r="F35">
        <v>1</v>
      </c>
      <c r="G35">
        <v>1</v>
      </c>
      <c r="H35">
        <v>2</v>
      </c>
      <c r="I35" t="s">
        <v>311</v>
      </c>
      <c r="J35" t="s">
        <v>312</v>
      </c>
      <c r="K35" t="s">
        <v>313</v>
      </c>
      <c r="L35">
        <v>1368</v>
      </c>
      <c r="N35">
        <v>1011</v>
      </c>
      <c r="O35" t="s">
        <v>296</v>
      </c>
      <c r="P35" t="s">
        <v>296</v>
      </c>
      <c r="Q35">
        <v>1</v>
      </c>
      <c r="X35">
        <v>0.01</v>
      </c>
      <c r="Y35">
        <v>0</v>
      </c>
      <c r="Z35">
        <v>86.4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130</v>
      </c>
      <c r="AG35">
        <v>0.0625</v>
      </c>
      <c r="AH35">
        <v>2</v>
      </c>
      <c r="AI35">
        <v>55458073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ROW(Source!A75)</f>
        <v>75</v>
      </c>
      <c r="B36">
        <v>55458079</v>
      </c>
      <c r="C36">
        <v>55458070</v>
      </c>
      <c r="D36">
        <v>49620499</v>
      </c>
      <c r="E36">
        <v>1</v>
      </c>
      <c r="F36">
        <v>1</v>
      </c>
      <c r="G36">
        <v>1</v>
      </c>
      <c r="H36">
        <v>2</v>
      </c>
      <c r="I36" t="s">
        <v>314</v>
      </c>
      <c r="J36" t="s">
        <v>315</v>
      </c>
      <c r="K36" t="s">
        <v>316</v>
      </c>
      <c r="L36">
        <v>1368</v>
      </c>
      <c r="N36">
        <v>1011</v>
      </c>
      <c r="O36" t="s">
        <v>296</v>
      </c>
      <c r="P36" t="s">
        <v>296</v>
      </c>
      <c r="Q36">
        <v>1</v>
      </c>
      <c r="X36">
        <v>0.02</v>
      </c>
      <c r="Y36">
        <v>0</v>
      </c>
      <c r="Z36">
        <v>89.99</v>
      </c>
      <c r="AA36">
        <v>10.06</v>
      </c>
      <c r="AB36">
        <v>0</v>
      </c>
      <c r="AC36">
        <v>0</v>
      </c>
      <c r="AD36">
        <v>1</v>
      </c>
      <c r="AE36">
        <v>0</v>
      </c>
      <c r="AF36" t="s">
        <v>130</v>
      </c>
      <c r="AG36">
        <v>0.125</v>
      </c>
      <c r="AH36">
        <v>2</v>
      </c>
      <c r="AI36">
        <v>55458074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ROW(Source!A75)</f>
        <v>75</v>
      </c>
      <c r="B37">
        <v>55458080</v>
      </c>
      <c r="C37">
        <v>55458070</v>
      </c>
      <c r="D37">
        <v>49460378</v>
      </c>
      <c r="E37">
        <v>58</v>
      </c>
      <c r="F37">
        <v>1</v>
      </c>
      <c r="G37">
        <v>1</v>
      </c>
      <c r="H37">
        <v>3</v>
      </c>
      <c r="I37" t="s">
        <v>45</v>
      </c>
      <c r="K37" t="s">
        <v>46</v>
      </c>
      <c r="L37">
        <v>1339</v>
      </c>
      <c r="N37">
        <v>1007</v>
      </c>
      <c r="O37" t="s">
        <v>47</v>
      </c>
      <c r="P37" t="s">
        <v>47</v>
      </c>
      <c r="Q37">
        <v>1</v>
      </c>
      <c r="X37">
        <v>0.102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129</v>
      </c>
      <c r="AG37">
        <v>0.51</v>
      </c>
      <c r="AH37">
        <v>3</v>
      </c>
      <c r="AI37">
        <v>-1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ROW(Source!A76)</f>
        <v>76</v>
      </c>
      <c r="B38">
        <v>55458076</v>
      </c>
      <c r="C38">
        <v>55458070</v>
      </c>
      <c r="D38">
        <v>49459389</v>
      </c>
      <c r="E38">
        <v>58</v>
      </c>
      <c r="F38">
        <v>1</v>
      </c>
      <c r="G38">
        <v>1</v>
      </c>
      <c r="H38">
        <v>1</v>
      </c>
      <c r="I38" t="s">
        <v>308</v>
      </c>
      <c r="K38" t="s">
        <v>309</v>
      </c>
      <c r="L38">
        <v>1191</v>
      </c>
      <c r="N38">
        <v>1013</v>
      </c>
      <c r="O38" t="s">
        <v>292</v>
      </c>
      <c r="P38" t="s">
        <v>292</v>
      </c>
      <c r="Q38">
        <v>1</v>
      </c>
      <c r="X38">
        <v>1</v>
      </c>
      <c r="Y38">
        <v>0</v>
      </c>
      <c r="Z38">
        <v>0</v>
      </c>
      <c r="AA38">
        <v>0</v>
      </c>
      <c r="AB38">
        <v>8.64</v>
      </c>
      <c r="AC38">
        <v>0</v>
      </c>
      <c r="AD38">
        <v>1</v>
      </c>
      <c r="AE38">
        <v>1</v>
      </c>
      <c r="AF38" t="s">
        <v>131</v>
      </c>
      <c r="AG38">
        <v>5.75</v>
      </c>
      <c r="AH38">
        <v>2</v>
      </c>
      <c r="AI38">
        <v>55458071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ROW(Source!A76)</f>
        <v>76</v>
      </c>
      <c r="B39">
        <v>55458077</v>
      </c>
      <c r="C39">
        <v>55458070</v>
      </c>
      <c r="D39">
        <v>49459566</v>
      </c>
      <c r="E39">
        <v>58</v>
      </c>
      <c r="F39">
        <v>1</v>
      </c>
      <c r="G39">
        <v>1</v>
      </c>
      <c r="H39">
        <v>1</v>
      </c>
      <c r="I39" t="s">
        <v>310</v>
      </c>
      <c r="K39" t="s">
        <v>300</v>
      </c>
      <c r="L39">
        <v>1191</v>
      </c>
      <c r="N39">
        <v>1013</v>
      </c>
      <c r="O39" t="s">
        <v>292</v>
      </c>
      <c r="P39" t="s">
        <v>292</v>
      </c>
      <c r="Q39">
        <v>1</v>
      </c>
      <c r="X39">
        <v>0.03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130</v>
      </c>
      <c r="AG39">
        <v>0.1875</v>
      </c>
      <c r="AH39">
        <v>2</v>
      </c>
      <c r="AI39">
        <v>55458072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ROW(Source!A76)</f>
        <v>76</v>
      </c>
      <c r="B40">
        <v>55458078</v>
      </c>
      <c r="C40">
        <v>55458070</v>
      </c>
      <c r="D40">
        <v>49620286</v>
      </c>
      <c r="E40">
        <v>1</v>
      </c>
      <c r="F40">
        <v>1</v>
      </c>
      <c r="G40">
        <v>1</v>
      </c>
      <c r="H40">
        <v>2</v>
      </c>
      <c r="I40" t="s">
        <v>311</v>
      </c>
      <c r="J40" t="s">
        <v>312</v>
      </c>
      <c r="K40" t="s">
        <v>313</v>
      </c>
      <c r="L40">
        <v>1368</v>
      </c>
      <c r="N40">
        <v>1011</v>
      </c>
      <c r="O40" t="s">
        <v>296</v>
      </c>
      <c r="P40" t="s">
        <v>296</v>
      </c>
      <c r="Q40">
        <v>1</v>
      </c>
      <c r="X40">
        <v>0.01</v>
      </c>
      <c r="Y40">
        <v>0</v>
      </c>
      <c r="Z40">
        <v>86.4</v>
      </c>
      <c r="AA40">
        <v>13.5</v>
      </c>
      <c r="AB40">
        <v>0</v>
      </c>
      <c r="AC40">
        <v>0</v>
      </c>
      <c r="AD40">
        <v>1</v>
      </c>
      <c r="AE40">
        <v>0</v>
      </c>
      <c r="AF40" t="s">
        <v>130</v>
      </c>
      <c r="AG40">
        <v>0.0625</v>
      </c>
      <c r="AH40">
        <v>2</v>
      </c>
      <c r="AI40">
        <v>55458073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ROW(Source!A76)</f>
        <v>76</v>
      </c>
      <c r="B41">
        <v>55458079</v>
      </c>
      <c r="C41">
        <v>55458070</v>
      </c>
      <c r="D41">
        <v>49620499</v>
      </c>
      <c r="E41">
        <v>1</v>
      </c>
      <c r="F41">
        <v>1</v>
      </c>
      <c r="G41">
        <v>1</v>
      </c>
      <c r="H41">
        <v>2</v>
      </c>
      <c r="I41" t="s">
        <v>314</v>
      </c>
      <c r="J41" t="s">
        <v>315</v>
      </c>
      <c r="K41" t="s">
        <v>316</v>
      </c>
      <c r="L41">
        <v>1368</v>
      </c>
      <c r="N41">
        <v>1011</v>
      </c>
      <c r="O41" t="s">
        <v>296</v>
      </c>
      <c r="P41" t="s">
        <v>296</v>
      </c>
      <c r="Q41">
        <v>1</v>
      </c>
      <c r="X41">
        <v>0.02</v>
      </c>
      <c r="Y41">
        <v>0</v>
      </c>
      <c r="Z41">
        <v>89.99</v>
      </c>
      <c r="AA41">
        <v>10.06</v>
      </c>
      <c r="AB41">
        <v>0</v>
      </c>
      <c r="AC41">
        <v>0</v>
      </c>
      <c r="AD41">
        <v>1</v>
      </c>
      <c r="AE41">
        <v>0</v>
      </c>
      <c r="AF41" t="s">
        <v>130</v>
      </c>
      <c r="AG41">
        <v>0.125</v>
      </c>
      <c r="AH41">
        <v>2</v>
      </c>
      <c r="AI41">
        <v>55458074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ROW(Source!A76)</f>
        <v>76</v>
      </c>
      <c r="B42">
        <v>55458080</v>
      </c>
      <c r="C42">
        <v>55458070</v>
      </c>
      <c r="D42">
        <v>49460378</v>
      </c>
      <c r="E42">
        <v>58</v>
      </c>
      <c r="F42">
        <v>1</v>
      </c>
      <c r="G42">
        <v>1</v>
      </c>
      <c r="H42">
        <v>3</v>
      </c>
      <c r="I42" t="s">
        <v>45</v>
      </c>
      <c r="K42" t="s">
        <v>46</v>
      </c>
      <c r="L42">
        <v>1339</v>
      </c>
      <c r="N42">
        <v>1007</v>
      </c>
      <c r="O42" t="s">
        <v>47</v>
      </c>
      <c r="P42" t="s">
        <v>47</v>
      </c>
      <c r="Q42">
        <v>1</v>
      </c>
      <c r="X42">
        <v>0.102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129</v>
      </c>
      <c r="AG42">
        <v>0.51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ROW(Source!A79)</f>
        <v>79</v>
      </c>
      <c r="B43">
        <v>55468396</v>
      </c>
      <c r="C43">
        <v>55468395</v>
      </c>
      <c r="D43">
        <v>49459391</v>
      </c>
      <c r="E43">
        <v>58</v>
      </c>
      <c r="F43">
        <v>1</v>
      </c>
      <c r="G43">
        <v>1</v>
      </c>
      <c r="H43">
        <v>1</v>
      </c>
      <c r="I43" t="s">
        <v>323</v>
      </c>
      <c r="K43" t="s">
        <v>324</v>
      </c>
      <c r="L43">
        <v>1191</v>
      </c>
      <c r="N43">
        <v>1013</v>
      </c>
      <c r="O43" t="s">
        <v>292</v>
      </c>
      <c r="P43" t="s">
        <v>292</v>
      </c>
      <c r="Q43">
        <v>1</v>
      </c>
      <c r="X43">
        <v>2.8</v>
      </c>
      <c r="Y43">
        <v>0</v>
      </c>
      <c r="Z43">
        <v>0</v>
      </c>
      <c r="AA43">
        <v>0</v>
      </c>
      <c r="AB43">
        <v>8.74</v>
      </c>
      <c r="AC43">
        <v>0</v>
      </c>
      <c r="AD43">
        <v>1</v>
      </c>
      <c r="AE43">
        <v>1</v>
      </c>
      <c r="AF43" t="s">
        <v>112</v>
      </c>
      <c r="AG43">
        <v>3.2199999999999998</v>
      </c>
      <c r="AH43">
        <v>2</v>
      </c>
      <c r="AI43">
        <v>55468396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ROW(Source!A79)</f>
        <v>79</v>
      </c>
      <c r="B44">
        <v>55468397</v>
      </c>
      <c r="C44">
        <v>55468395</v>
      </c>
      <c r="D44">
        <v>49459566</v>
      </c>
      <c r="E44">
        <v>58</v>
      </c>
      <c r="F44">
        <v>1</v>
      </c>
      <c r="G44">
        <v>1</v>
      </c>
      <c r="H44">
        <v>1</v>
      </c>
      <c r="I44" t="s">
        <v>310</v>
      </c>
      <c r="K44" t="s">
        <v>300</v>
      </c>
      <c r="L44">
        <v>1191</v>
      </c>
      <c r="N44">
        <v>1013</v>
      </c>
      <c r="O44" t="s">
        <v>292</v>
      </c>
      <c r="P44" t="s">
        <v>292</v>
      </c>
      <c r="Q44">
        <v>1</v>
      </c>
      <c r="X44">
        <v>0.04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111</v>
      </c>
      <c r="AG44">
        <v>0.05</v>
      </c>
      <c r="AH44">
        <v>2</v>
      </c>
      <c r="AI44">
        <v>55468397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ROW(Source!A79)</f>
        <v>79</v>
      </c>
      <c r="B45">
        <v>55468398</v>
      </c>
      <c r="C45">
        <v>55468395</v>
      </c>
      <c r="D45">
        <v>49621268</v>
      </c>
      <c r="E45">
        <v>1</v>
      </c>
      <c r="F45">
        <v>1</v>
      </c>
      <c r="G45">
        <v>1</v>
      </c>
      <c r="H45">
        <v>2</v>
      </c>
      <c r="I45" t="s">
        <v>325</v>
      </c>
      <c r="J45" t="s">
        <v>326</v>
      </c>
      <c r="K45" t="s">
        <v>327</v>
      </c>
      <c r="L45">
        <v>1368</v>
      </c>
      <c r="N45">
        <v>1011</v>
      </c>
      <c r="O45" t="s">
        <v>296</v>
      </c>
      <c r="P45" t="s">
        <v>296</v>
      </c>
      <c r="Q45">
        <v>1</v>
      </c>
      <c r="X45">
        <v>0.04</v>
      </c>
      <c r="Y45">
        <v>0</v>
      </c>
      <c r="Z45">
        <v>65.71</v>
      </c>
      <c r="AA45">
        <v>11.6</v>
      </c>
      <c r="AB45">
        <v>0</v>
      </c>
      <c r="AC45">
        <v>0</v>
      </c>
      <c r="AD45">
        <v>1</v>
      </c>
      <c r="AE45">
        <v>0</v>
      </c>
      <c r="AF45" t="s">
        <v>111</v>
      </c>
      <c r="AG45">
        <v>0.05</v>
      </c>
      <c r="AH45">
        <v>2</v>
      </c>
      <c r="AI45">
        <v>55468398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ROW(Source!A79)</f>
        <v>79</v>
      </c>
      <c r="B46">
        <v>55468399</v>
      </c>
      <c r="C46">
        <v>55468395</v>
      </c>
      <c r="D46">
        <v>49469859</v>
      </c>
      <c r="E46">
        <v>1</v>
      </c>
      <c r="F46">
        <v>1</v>
      </c>
      <c r="G46">
        <v>1</v>
      </c>
      <c r="H46">
        <v>3</v>
      </c>
      <c r="I46" t="s">
        <v>328</v>
      </c>
      <c r="J46" t="s">
        <v>329</v>
      </c>
      <c r="K46" t="s">
        <v>330</v>
      </c>
      <c r="L46">
        <v>1348</v>
      </c>
      <c r="N46">
        <v>1009</v>
      </c>
      <c r="O46" t="s">
        <v>123</v>
      </c>
      <c r="P46" t="s">
        <v>123</v>
      </c>
      <c r="Q46">
        <v>1000</v>
      </c>
      <c r="X46">
        <v>0.045</v>
      </c>
      <c r="Y46">
        <v>2000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0.045</v>
      </c>
      <c r="AH46">
        <v>2</v>
      </c>
      <c r="AI46">
        <v>55468399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ROW(Source!A80)</f>
        <v>80</v>
      </c>
      <c r="B47">
        <v>55468396</v>
      </c>
      <c r="C47">
        <v>55468395</v>
      </c>
      <c r="D47">
        <v>49459391</v>
      </c>
      <c r="E47">
        <v>58</v>
      </c>
      <c r="F47">
        <v>1</v>
      </c>
      <c r="G47">
        <v>1</v>
      </c>
      <c r="H47">
        <v>1</v>
      </c>
      <c r="I47" t="s">
        <v>323</v>
      </c>
      <c r="K47" t="s">
        <v>324</v>
      </c>
      <c r="L47">
        <v>1191</v>
      </c>
      <c r="N47">
        <v>1013</v>
      </c>
      <c r="O47" t="s">
        <v>292</v>
      </c>
      <c r="P47" t="s">
        <v>292</v>
      </c>
      <c r="Q47">
        <v>1</v>
      </c>
      <c r="X47">
        <v>2.8</v>
      </c>
      <c r="Y47">
        <v>0</v>
      </c>
      <c r="Z47">
        <v>0</v>
      </c>
      <c r="AA47">
        <v>0</v>
      </c>
      <c r="AB47">
        <v>8.74</v>
      </c>
      <c r="AC47">
        <v>0</v>
      </c>
      <c r="AD47">
        <v>1</v>
      </c>
      <c r="AE47">
        <v>1</v>
      </c>
      <c r="AF47" t="s">
        <v>112</v>
      </c>
      <c r="AG47">
        <v>3.2199999999999998</v>
      </c>
      <c r="AH47">
        <v>2</v>
      </c>
      <c r="AI47">
        <v>55468396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ROW(Source!A80)</f>
        <v>80</v>
      </c>
      <c r="B48">
        <v>55468397</v>
      </c>
      <c r="C48">
        <v>55468395</v>
      </c>
      <c r="D48">
        <v>49459566</v>
      </c>
      <c r="E48">
        <v>58</v>
      </c>
      <c r="F48">
        <v>1</v>
      </c>
      <c r="G48">
        <v>1</v>
      </c>
      <c r="H48">
        <v>1</v>
      </c>
      <c r="I48" t="s">
        <v>310</v>
      </c>
      <c r="K48" t="s">
        <v>300</v>
      </c>
      <c r="L48">
        <v>1191</v>
      </c>
      <c r="N48">
        <v>1013</v>
      </c>
      <c r="O48" t="s">
        <v>292</v>
      </c>
      <c r="P48" t="s">
        <v>292</v>
      </c>
      <c r="Q48">
        <v>1</v>
      </c>
      <c r="X48">
        <v>0.04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111</v>
      </c>
      <c r="AG48">
        <v>0.05</v>
      </c>
      <c r="AH48">
        <v>2</v>
      </c>
      <c r="AI48">
        <v>55468397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ROW(Source!A80)</f>
        <v>80</v>
      </c>
      <c r="B49">
        <v>55468398</v>
      </c>
      <c r="C49">
        <v>55468395</v>
      </c>
      <c r="D49">
        <v>49621268</v>
      </c>
      <c r="E49">
        <v>1</v>
      </c>
      <c r="F49">
        <v>1</v>
      </c>
      <c r="G49">
        <v>1</v>
      </c>
      <c r="H49">
        <v>2</v>
      </c>
      <c r="I49" t="s">
        <v>325</v>
      </c>
      <c r="J49" t="s">
        <v>326</v>
      </c>
      <c r="K49" t="s">
        <v>327</v>
      </c>
      <c r="L49">
        <v>1368</v>
      </c>
      <c r="N49">
        <v>1011</v>
      </c>
      <c r="O49" t="s">
        <v>296</v>
      </c>
      <c r="P49" t="s">
        <v>296</v>
      </c>
      <c r="Q49">
        <v>1</v>
      </c>
      <c r="X49">
        <v>0.04</v>
      </c>
      <c r="Y49">
        <v>0</v>
      </c>
      <c r="Z49">
        <v>65.71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111</v>
      </c>
      <c r="AG49">
        <v>0.05</v>
      </c>
      <c r="AH49">
        <v>2</v>
      </c>
      <c r="AI49">
        <v>55468398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ROW(Source!A80)</f>
        <v>80</v>
      </c>
      <c r="B50">
        <v>55468399</v>
      </c>
      <c r="C50">
        <v>55468395</v>
      </c>
      <c r="D50">
        <v>49469859</v>
      </c>
      <c r="E50">
        <v>1</v>
      </c>
      <c r="F50">
        <v>1</v>
      </c>
      <c r="G50">
        <v>1</v>
      </c>
      <c r="H50">
        <v>3</v>
      </c>
      <c r="I50" t="s">
        <v>328</v>
      </c>
      <c r="J50" t="s">
        <v>329</v>
      </c>
      <c r="K50" t="s">
        <v>330</v>
      </c>
      <c r="L50">
        <v>1348</v>
      </c>
      <c r="N50">
        <v>1009</v>
      </c>
      <c r="O50" t="s">
        <v>123</v>
      </c>
      <c r="P50" t="s">
        <v>123</v>
      </c>
      <c r="Q50">
        <v>1000</v>
      </c>
      <c r="X50">
        <v>0.045</v>
      </c>
      <c r="Y50">
        <v>2000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0.045</v>
      </c>
      <c r="AH50">
        <v>2</v>
      </c>
      <c r="AI50">
        <v>55468399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ROW(Source!A81)</f>
        <v>81</v>
      </c>
      <c r="B51">
        <v>55458103</v>
      </c>
      <c r="C51">
        <v>55458094</v>
      </c>
      <c r="D51">
        <v>49459419</v>
      </c>
      <c r="E51">
        <v>58</v>
      </c>
      <c r="F51">
        <v>1</v>
      </c>
      <c r="G51">
        <v>1</v>
      </c>
      <c r="H51">
        <v>1</v>
      </c>
      <c r="I51" t="s">
        <v>331</v>
      </c>
      <c r="K51" t="s">
        <v>332</v>
      </c>
      <c r="L51">
        <v>1191</v>
      </c>
      <c r="N51">
        <v>1013</v>
      </c>
      <c r="O51" t="s">
        <v>292</v>
      </c>
      <c r="P51" t="s">
        <v>292</v>
      </c>
      <c r="Q51">
        <v>1</v>
      </c>
      <c r="X51">
        <v>14.36</v>
      </c>
      <c r="Y51">
        <v>0</v>
      </c>
      <c r="Z51">
        <v>0</v>
      </c>
      <c r="AA51">
        <v>0</v>
      </c>
      <c r="AB51">
        <v>9.4</v>
      </c>
      <c r="AC51">
        <v>0</v>
      </c>
      <c r="AD51">
        <v>1</v>
      </c>
      <c r="AE51">
        <v>1</v>
      </c>
      <c r="AF51" t="s">
        <v>112</v>
      </c>
      <c r="AG51">
        <v>16.514</v>
      </c>
      <c r="AH51">
        <v>2</v>
      </c>
      <c r="AI51">
        <v>55458095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ROW(Source!A81)</f>
        <v>81</v>
      </c>
      <c r="B52">
        <v>55458104</v>
      </c>
      <c r="C52">
        <v>55458094</v>
      </c>
      <c r="D52">
        <v>49459566</v>
      </c>
      <c r="E52">
        <v>58</v>
      </c>
      <c r="F52">
        <v>1</v>
      </c>
      <c r="G52">
        <v>1</v>
      </c>
      <c r="H52">
        <v>1</v>
      </c>
      <c r="I52" t="s">
        <v>310</v>
      </c>
      <c r="K52" t="s">
        <v>300</v>
      </c>
      <c r="L52">
        <v>1191</v>
      </c>
      <c r="N52">
        <v>1013</v>
      </c>
      <c r="O52" t="s">
        <v>292</v>
      </c>
      <c r="P52" t="s">
        <v>292</v>
      </c>
      <c r="Q52">
        <v>1</v>
      </c>
      <c r="X52">
        <v>0.29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111</v>
      </c>
      <c r="AG52">
        <v>0.3625</v>
      </c>
      <c r="AH52">
        <v>2</v>
      </c>
      <c r="AI52">
        <v>55458096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ROW(Source!A81)</f>
        <v>81</v>
      </c>
      <c r="B53">
        <v>55458105</v>
      </c>
      <c r="C53">
        <v>55458094</v>
      </c>
      <c r="D53">
        <v>49620286</v>
      </c>
      <c r="E53">
        <v>1</v>
      </c>
      <c r="F53">
        <v>1</v>
      </c>
      <c r="G53">
        <v>1</v>
      </c>
      <c r="H53">
        <v>2</v>
      </c>
      <c r="I53" t="s">
        <v>311</v>
      </c>
      <c r="J53" t="s">
        <v>312</v>
      </c>
      <c r="K53" t="s">
        <v>313</v>
      </c>
      <c r="L53">
        <v>1368</v>
      </c>
      <c r="N53">
        <v>1011</v>
      </c>
      <c r="O53" t="s">
        <v>296</v>
      </c>
      <c r="P53" t="s">
        <v>296</v>
      </c>
      <c r="Q53">
        <v>1</v>
      </c>
      <c r="X53">
        <v>0.15</v>
      </c>
      <c r="Y53">
        <v>0</v>
      </c>
      <c r="Z53">
        <v>86.4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111</v>
      </c>
      <c r="AG53">
        <v>0.1875</v>
      </c>
      <c r="AH53">
        <v>2</v>
      </c>
      <c r="AI53">
        <v>55458097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ROW(Source!A81)</f>
        <v>81</v>
      </c>
      <c r="B54">
        <v>55458106</v>
      </c>
      <c r="C54">
        <v>55458094</v>
      </c>
      <c r="D54">
        <v>49620344</v>
      </c>
      <c r="E54">
        <v>1</v>
      </c>
      <c r="F54">
        <v>1</v>
      </c>
      <c r="G54">
        <v>1</v>
      </c>
      <c r="H54">
        <v>2</v>
      </c>
      <c r="I54" t="s">
        <v>333</v>
      </c>
      <c r="J54" t="s">
        <v>334</v>
      </c>
      <c r="K54" t="s">
        <v>335</v>
      </c>
      <c r="L54">
        <v>1368</v>
      </c>
      <c r="N54">
        <v>1011</v>
      </c>
      <c r="O54" t="s">
        <v>296</v>
      </c>
      <c r="P54" t="s">
        <v>296</v>
      </c>
      <c r="Q54">
        <v>1</v>
      </c>
      <c r="X54">
        <v>0.05</v>
      </c>
      <c r="Y54">
        <v>0</v>
      </c>
      <c r="Z54">
        <v>115.4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111</v>
      </c>
      <c r="AG54">
        <v>0.0625</v>
      </c>
      <c r="AH54">
        <v>2</v>
      </c>
      <c r="AI54">
        <v>55458098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ROW(Source!A81)</f>
        <v>81</v>
      </c>
      <c r="B55">
        <v>55458107</v>
      </c>
      <c r="C55">
        <v>55458094</v>
      </c>
      <c r="D55">
        <v>49621268</v>
      </c>
      <c r="E55">
        <v>1</v>
      </c>
      <c r="F55">
        <v>1</v>
      </c>
      <c r="G55">
        <v>1</v>
      </c>
      <c r="H55">
        <v>2</v>
      </c>
      <c r="I55" t="s">
        <v>325</v>
      </c>
      <c r="J55" t="s">
        <v>326</v>
      </c>
      <c r="K55" t="s">
        <v>327</v>
      </c>
      <c r="L55">
        <v>1368</v>
      </c>
      <c r="N55">
        <v>1011</v>
      </c>
      <c r="O55" t="s">
        <v>296</v>
      </c>
      <c r="P55" t="s">
        <v>296</v>
      </c>
      <c r="Q55">
        <v>1</v>
      </c>
      <c r="X55">
        <v>0.09</v>
      </c>
      <c r="Y55">
        <v>0</v>
      </c>
      <c r="Z55">
        <v>65.71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111</v>
      </c>
      <c r="AG55">
        <v>0.11249999999999999</v>
      </c>
      <c r="AH55">
        <v>2</v>
      </c>
      <c r="AI55">
        <v>55458099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ROW(Source!A81)</f>
        <v>81</v>
      </c>
      <c r="B56">
        <v>55458108</v>
      </c>
      <c r="C56">
        <v>55458094</v>
      </c>
      <c r="D56">
        <v>49470012</v>
      </c>
      <c r="E56">
        <v>1</v>
      </c>
      <c r="F56">
        <v>1</v>
      </c>
      <c r="G56">
        <v>1</v>
      </c>
      <c r="H56">
        <v>3</v>
      </c>
      <c r="I56" t="s">
        <v>336</v>
      </c>
      <c r="J56" t="s">
        <v>337</v>
      </c>
      <c r="K56" t="s">
        <v>338</v>
      </c>
      <c r="L56">
        <v>1346</v>
      </c>
      <c r="N56">
        <v>1009</v>
      </c>
      <c r="O56" t="s">
        <v>188</v>
      </c>
      <c r="P56" t="s">
        <v>188</v>
      </c>
      <c r="Q56">
        <v>1</v>
      </c>
      <c r="X56">
        <v>29.94</v>
      </c>
      <c r="Y56">
        <v>6.09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29.94</v>
      </c>
      <c r="AH56">
        <v>2</v>
      </c>
      <c r="AI56">
        <v>55458100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ROW(Source!A81)</f>
        <v>81</v>
      </c>
      <c r="B57">
        <v>55458109</v>
      </c>
      <c r="C57">
        <v>55458094</v>
      </c>
      <c r="D57">
        <v>49461975</v>
      </c>
      <c r="E57">
        <v>58</v>
      </c>
      <c r="F57">
        <v>1</v>
      </c>
      <c r="G57">
        <v>1</v>
      </c>
      <c r="H57">
        <v>3</v>
      </c>
      <c r="I57" t="s">
        <v>355</v>
      </c>
      <c r="K57" t="s">
        <v>356</v>
      </c>
      <c r="L57">
        <v>1327</v>
      </c>
      <c r="N57">
        <v>1005</v>
      </c>
      <c r="O57" t="s">
        <v>144</v>
      </c>
      <c r="P57" t="s">
        <v>144</v>
      </c>
      <c r="Q57">
        <v>1</v>
      </c>
      <c r="X57">
        <v>114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G57">
        <v>114</v>
      </c>
      <c r="AH57">
        <v>3</v>
      </c>
      <c r="AI57">
        <v>-1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ROW(Source!A81)</f>
        <v>81</v>
      </c>
      <c r="B58">
        <v>55458110</v>
      </c>
      <c r="C58">
        <v>55458094</v>
      </c>
      <c r="D58">
        <v>49461975</v>
      </c>
      <c r="E58">
        <v>58</v>
      </c>
      <c r="F58">
        <v>1</v>
      </c>
      <c r="G58">
        <v>1</v>
      </c>
      <c r="H58">
        <v>3</v>
      </c>
      <c r="I58" t="s">
        <v>355</v>
      </c>
      <c r="K58" t="s">
        <v>357</v>
      </c>
      <c r="L58">
        <v>1327</v>
      </c>
      <c r="N58">
        <v>1005</v>
      </c>
      <c r="O58" t="s">
        <v>144</v>
      </c>
      <c r="P58" t="s">
        <v>144</v>
      </c>
      <c r="Q58">
        <v>1</v>
      </c>
      <c r="X58">
        <v>116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116</v>
      </c>
      <c r="AH58">
        <v>3</v>
      </c>
      <c r="AI58">
        <v>-1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ROW(Source!A82)</f>
        <v>82</v>
      </c>
      <c r="B59">
        <v>55458103</v>
      </c>
      <c r="C59">
        <v>55458094</v>
      </c>
      <c r="D59">
        <v>49459419</v>
      </c>
      <c r="E59">
        <v>58</v>
      </c>
      <c r="F59">
        <v>1</v>
      </c>
      <c r="G59">
        <v>1</v>
      </c>
      <c r="H59">
        <v>1</v>
      </c>
      <c r="I59" t="s">
        <v>331</v>
      </c>
      <c r="K59" t="s">
        <v>332</v>
      </c>
      <c r="L59">
        <v>1191</v>
      </c>
      <c r="N59">
        <v>1013</v>
      </c>
      <c r="O59" t="s">
        <v>292</v>
      </c>
      <c r="P59" t="s">
        <v>292</v>
      </c>
      <c r="Q59">
        <v>1</v>
      </c>
      <c r="X59">
        <v>14.36</v>
      </c>
      <c r="Y59">
        <v>0</v>
      </c>
      <c r="Z59">
        <v>0</v>
      </c>
      <c r="AA59">
        <v>0</v>
      </c>
      <c r="AB59">
        <v>9.4</v>
      </c>
      <c r="AC59">
        <v>0</v>
      </c>
      <c r="AD59">
        <v>1</v>
      </c>
      <c r="AE59">
        <v>1</v>
      </c>
      <c r="AF59" t="s">
        <v>112</v>
      </c>
      <c r="AG59">
        <v>16.514</v>
      </c>
      <c r="AH59">
        <v>2</v>
      </c>
      <c r="AI59">
        <v>55458095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ROW(Source!A82)</f>
        <v>82</v>
      </c>
      <c r="B60">
        <v>55458104</v>
      </c>
      <c r="C60">
        <v>55458094</v>
      </c>
      <c r="D60">
        <v>49459566</v>
      </c>
      <c r="E60">
        <v>58</v>
      </c>
      <c r="F60">
        <v>1</v>
      </c>
      <c r="G60">
        <v>1</v>
      </c>
      <c r="H60">
        <v>1</v>
      </c>
      <c r="I60" t="s">
        <v>310</v>
      </c>
      <c r="K60" t="s">
        <v>300</v>
      </c>
      <c r="L60">
        <v>1191</v>
      </c>
      <c r="N60">
        <v>1013</v>
      </c>
      <c r="O60" t="s">
        <v>292</v>
      </c>
      <c r="P60" t="s">
        <v>292</v>
      </c>
      <c r="Q60">
        <v>1</v>
      </c>
      <c r="X60">
        <v>0.29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111</v>
      </c>
      <c r="AG60">
        <v>0.3625</v>
      </c>
      <c r="AH60">
        <v>2</v>
      </c>
      <c r="AI60">
        <v>55458096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ROW(Source!A82)</f>
        <v>82</v>
      </c>
      <c r="B61">
        <v>55458105</v>
      </c>
      <c r="C61">
        <v>55458094</v>
      </c>
      <c r="D61">
        <v>49620286</v>
      </c>
      <c r="E61">
        <v>1</v>
      </c>
      <c r="F61">
        <v>1</v>
      </c>
      <c r="G61">
        <v>1</v>
      </c>
      <c r="H61">
        <v>2</v>
      </c>
      <c r="I61" t="s">
        <v>311</v>
      </c>
      <c r="J61" t="s">
        <v>312</v>
      </c>
      <c r="K61" t="s">
        <v>313</v>
      </c>
      <c r="L61">
        <v>1368</v>
      </c>
      <c r="N61">
        <v>1011</v>
      </c>
      <c r="O61" t="s">
        <v>296</v>
      </c>
      <c r="P61" t="s">
        <v>296</v>
      </c>
      <c r="Q61">
        <v>1</v>
      </c>
      <c r="X61">
        <v>0.15</v>
      </c>
      <c r="Y61">
        <v>0</v>
      </c>
      <c r="Z61">
        <v>86.4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111</v>
      </c>
      <c r="AG61">
        <v>0.1875</v>
      </c>
      <c r="AH61">
        <v>2</v>
      </c>
      <c r="AI61">
        <v>55458097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ROW(Source!A82)</f>
        <v>82</v>
      </c>
      <c r="B62">
        <v>55458106</v>
      </c>
      <c r="C62">
        <v>55458094</v>
      </c>
      <c r="D62">
        <v>49620344</v>
      </c>
      <c r="E62">
        <v>1</v>
      </c>
      <c r="F62">
        <v>1</v>
      </c>
      <c r="G62">
        <v>1</v>
      </c>
      <c r="H62">
        <v>2</v>
      </c>
      <c r="I62" t="s">
        <v>333</v>
      </c>
      <c r="J62" t="s">
        <v>334</v>
      </c>
      <c r="K62" t="s">
        <v>335</v>
      </c>
      <c r="L62">
        <v>1368</v>
      </c>
      <c r="N62">
        <v>1011</v>
      </c>
      <c r="O62" t="s">
        <v>296</v>
      </c>
      <c r="P62" t="s">
        <v>296</v>
      </c>
      <c r="Q62">
        <v>1</v>
      </c>
      <c r="X62">
        <v>0.05</v>
      </c>
      <c r="Y62">
        <v>0</v>
      </c>
      <c r="Z62">
        <v>115.4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111</v>
      </c>
      <c r="AG62">
        <v>0.0625</v>
      </c>
      <c r="AH62">
        <v>2</v>
      </c>
      <c r="AI62">
        <v>55458098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ROW(Source!A82)</f>
        <v>82</v>
      </c>
      <c r="B63">
        <v>55458107</v>
      </c>
      <c r="C63">
        <v>55458094</v>
      </c>
      <c r="D63">
        <v>49621268</v>
      </c>
      <c r="E63">
        <v>1</v>
      </c>
      <c r="F63">
        <v>1</v>
      </c>
      <c r="G63">
        <v>1</v>
      </c>
      <c r="H63">
        <v>2</v>
      </c>
      <c r="I63" t="s">
        <v>325</v>
      </c>
      <c r="J63" t="s">
        <v>326</v>
      </c>
      <c r="K63" t="s">
        <v>327</v>
      </c>
      <c r="L63">
        <v>1368</v>
      </c>
      <c r="N63">
        <v>1011</v>
      </c>
      <c r="O63" t="s">
        <v>296</v>
      </c>
      <c r="P63" t="s">
        <v>296</v>
      </c>
      <c r="Q63">
        <v>1</v>
      </c>
      <c r="X63">
        <v>0.09</v>
      </c>
      <c r="Y63">
        <v>0</v>
      </c>
      <c r="Z63">
        <v>65.71</v>
      </c>
      <c r="AA63">
        <v>11.6</v>
      </c>
      <c r="AB63">
        <v>0</v>
      </c>
      <c r="AC63">
        <v>0</v>
      </c>
      <c r="AD63">
        <v>1</v>
      </c>
      <c r="AE63">
        <v>0</v>
      </c>
      <c r="AF63" t="s">
        <v>111</v>
      </c>
      <c r="AG63">
        <v>0.11249999999999999</v>
      </c>
      <c r="AH63">
        <v>2</v>
      </c>
      <c r="AI63">
        <v>55458099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ROW(Source!A82)</f>
        <v>82</v>
      </c>
      <c r="B64">
        <v>55458108</v>
      </c>
      <c r="C64">
        <v>55458094</v>
      </c>
      <c r="D64">
        <v>49470012</v>
      </c>
      <c r="E64">
        <v>1</v>
      </c>
      <c r="F64">
        <v>1</v>
      </c>
      <c r="G64">
        <v>1</v>
      </c>
      <c r="H64">
        <v>3</v>
      </c>
      <c r="I64" t="s">
        <v>336</v>
      </c>
      <c r="J64" t="s">
        <v>337</v>
      </c>
      <c r="K64" t="s">
        <v>338</v>
      </c>
      <c r="L64">
        <v>1346</v>
      </c>
      <c r="N64">
        <v>1009</v>
      </c>
      <c r="O64" t="s">
        <v>188</v>
      </c>
      <c r="P64" t="s">
        <v>188</v>
      </c>
      <c r="Q64">
        <v>1</v>
      </c>
      <c r="X64">
        <v>29.94</v>
      </c>
      <c r="Y64">
        <v>6.09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29.94</v>
      </c>
      <c r="AH64">
        <v>2</v>
      </c>
      <c r="AI64">
        <v>55458100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ROW(Source!A82)</f>
        <v>82</v>
      </c>
      <c r="B65">
        <v>55458109</v>
      </c>
      <c r="C65">
        <v>55458094</v>
      </c>
      <c r="D65">
        <v>49461975</v>
      </c>
      <c r="E65">
        <v>58</v>
      </c>
      <c r="F65">
        <v>1</v>
      </c>
      <c r="G65">
        <v>1</v>
      </c>
      <c r="H65">
        <v>3</v>
      </c>
      <c r="I65" t="s">
        <v>355</v>
      </c>
      <c r="K65" t="s">
        <v>356</v>
      </c>
      <c r="L65">
        <v>1327</v>
      </c>
      <c r="N65">
        <v>1005</v>
      </c>
      <c r="O65" t="s">
        <v>144</v>
      </c>
      <c r="P65" t="s">
        <v>144</v>
      </c>
      <c r="Q65">
        <v>1</v>
      </c>
      <c r="X65">
        <v>114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114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ROW(Source!A82)</f>
        <v>82</v>
      </c>
      <c r="B66">
        <v>55458110</v>
      </c>
      <c r="C66">
        <v>55458094</v>
      </c>
      <c r="D66">
        <v>49461975</v>
      </c>
      <c r="E66">
        <v>58</v>
      </c>
      <c r="F66">
        <v>1</v>
      </c>
      <c r="G66">
        <v>1</v>
      </c>
      <c r="H66">
        <v>3</v>
      </c>
      <c r="I66" t="s">
        <v>355</v>
      </c>
      <c r="K66" t="s">
        <v>357</v>
      </c>
      <c r="L66">
        <v>1327</v>
      </c>
      <c r="N66">
        <v>1005</v>
      </c>
      <c r="O66" t="s">
        <v>144</v>
      </c>
      <c r="P66" t="s">
        <v>144</v>
      </c>
      <c r="Q66">
        <v>1</v>
      </c>
      <c r="X66">
        <v>116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>
        <v>116</v>
      </c>
      <c r="AH66">
        <v>3</v>
      </c>
      <c r="AI66">
        <v>-1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ROW(Source!A87)</f>
        <v>87</v>
      </c>
      <c r="B67">
        <v>55458122</v>
      </c>
      <c r="C67">
        <v>55458113</v>
      </c>
      <c r="D67">
        <v>49459419</v>
      </c>
      <c r="E67">
        <v>58</v>
      </c>
      <c r="F67">
        <v>1</v>
      </c>
      <c r="G67">
        <v>1</v>
      </c>
      <c r="H67">
        <v>1</v>
      </c>
      <c r="I67" t="s">
        <v>331</v>
      </c>
      <c r="K67" t="s">
        <v>332</v>
      </c>
      <c r="L67">
        <v>1191</v>
      </c>
      <c r="N67">
        <v>1013</v>
      </c>
      <c r="O67" t="s">
        <v>292</v>
      </c>
      <c r="P67" t="s">
        <v>292</v>
      </c>
      <c r="Q67">
        <v>1</v>
      </c>
      <c r="X67">
        <v>14.36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112</v>
      </c>
      <c r="AG67">
        <v>16.514</v>
      </c>
      <c r="AH67">
        <v>2</v>
      </c>
      <c r="AI67">
        <v>55458114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ROW(Source!A87)</f>
        <v>87</v>
      </c>
      <c r="B68">
        <v>55458123</v>
      </c>
      <c r="C68">
        <v>55458113</v>
      </c>
      <c r="D68">
        <v>49459566</v>
      </c>
      <c r="E68">
        <v>58</v>
      </c>
      <c r="F68">
        <v>1</v>
      </c>
      <c r="G68">
        <v>1</v>
      </c>
      <c r="H68">
        <v>1</v>
      </c>
      <c r="I68" t="s">
        <v>310</v>
      </c>
      <c r="K68" t="s">
        <v>300</v>
      </c>
      <c r="L68">
        <v>1191</v>
      </c>
      <c r="N68">
        <v>1013</v>
      </c>
      <c r="O68" t="s">
        <v>292</v>
      </c>
      <c r="P68" t="s">
        <v>292</v>
      </c>
      <c r="Q68">
        <v>1</v>
      </c>
      <c r="X68">
        <v>0.29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111</v>
      </c>
      <c r="AG68">
        <v>0.3625</v>
      </c>
      <c r="AH68">
        <v>2</v>
      </c>
      <c r="AI68">
        <v>55458115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ROW(Source!A87)</f>
        <v>87</v>
      </c>
      <c r="B69">
        <v>55458124</v>
      </c>
      <c r="C69">
        <v>55458113</v>
      </c>
      <c r="D69">
        <v>49620286</v>
      </c>
      <c r="E69">
        <v>1</v>
      </c>
      <c r="F69">
        <v>1</v>
      </c>
      <c r="G69">
        <v>1</v>
      </c>
      <c r="H69">
        <v>2</v>
      </c>
      <c r="I69" t="s">
        <v>311</v>
      </c>
      <c r="J69" t="s">
        <v>312</v>
      </c>
      <c r="K69" t="s">
        <v>313</v>
      </c>
      <c r="L69">
        <v>1368</v>
      </c>
      <c r="N69">
        <v>1011</v>
      </c>
      <c r="O69" t="s">
        <v>296</v>
      </c>
      <c r="P69" t="s">
        <v>296</v>
      </c>
      <c r="Q69">
        <v>1</v>
      </c>
      <c r="X69">
        <v>0.15</v>
      </c>
      <c r="Y69">
        <v>0</v>
      </c>
      <c r="Z69">
        <v>86.4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111</v>
      </c>
      <c r="AG69">
        <v>0.1875</v>
      </c>
      <c r="AH69">
        <v>2</v>
      </c>
      <c r="AI69">
        <v>55458116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ROW(Source!A87)</f>
        <v>87</v>
      </c>
      <c r="B70">
        <v>55458125</v>
      </c>
      <c r="C70">
        <v>55458113</v>
      </c>
      <c r="D70">
        <v>49620344</v>
      </c>
      <c r="E70">
        <v>1</v>
      </c>
      <c r="F70">
        <v>1</v>
      </c>
      <c r="G70">
        <v>1</v>
      </c>
      <c r="H70">
        <v>2</v>
      </c>
      <c r="I70" t="s">
        <v>333</v>
      </c>
      <c r="J70" t="s">
        <v>334</v>
      </c>
      <c r="K70" t="s">
        <v>335</v>
      </c>
      <c r="L70">
        <v>1368</v>
      </c>
      <c r="N70">
        <v>1011</v>
      </c>
      <c r="O70" t="s">
        <v>296</v>
      </c>
      <c r="P70" t="s">
        <v>296</v>
      </c>
      <c r="Q70">
        <v>1</v>
      </c>
      <c r="X70">
        <v>0.05</v>
      </c>
      <c r="Y70">
        <v>0</v>
      </c>
      <c r="Z70">
        <v>115.4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111</v>
      </c>
      <c r="AG70">
        <v>0.0625</v>
      </c>
      <c r="AH70">
        <v>2</v>
      </c>
      <c r="AI70">
        <v>55458117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ROW(Source!A87)</f>
        <v>87</v>
      </c>
      <c r="B71">
        <v>55458126</v>
      </c>
      <c r="C71">
        <v>55458113</v>
      </c>
      <c r="D71">
        <v>49621268</v>
      </c>
      <c r="E71">
        <v>1</v>
      </c>
      <c r="F71">
        <v>1</v>
      </c>
      <c r="G71">
        <v>1</v>
      </c>
      <c r="H71">
        <v>2</v>
      </c>
      <c r="I71" t="s">
        <v>325</v>
      </c>
      <c r="J71" t="s">
        <v>326</v>
      </c>
      <c r="K71" t="s">
        <v>327</v>
      </c>
      <c r="L71">
        <v>1368</v>
      </c>
      <c r="N71">
        <v>1011</v>
      </c>
      <c r="O71" t="s">
        <v>296</v>
      </c>
      <c r="P71" t="s">
        <v>296</v>
      </c>
      <c r="Q71">
        <v>1</v>
      </c>
      <c r="X71">
        <v>0.09</v>
      </c>
      <c r="Y71">
        <v>0</v>
      </c>
      <c r="Z71">
        <v>65.71</v>
      </c>
      <c r="AA71">
        <v>11.6</v>
      </c>
      <c r="AB71">
        <v>0</v>
      </c>
      <c r="AC71">
        <v>0</v>
      </c>
      <c r="AD71">
        <v>1</v>
      </c>
      <c r="AE71">
        <v>0</v>
      </c>
      <c r="AF71" t="s">
        <v>111</v>
      </c>
      <c r="AG71">
        <v>0.11249999999999999</v>
      </c>
      <c r="AH71">
        <v>2</v>
      </c>
      <c r="AI71">
        <v>55458118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ROW(Source!A87)</f>
        <v>87</v>
      </c>
      <c r="B72">
        <v>55458127</v>
      </c>
      <c r="C72">
        <v>55458113</v>
      </c>
      <c r="D72">
        <v>49470012</v>
      </c>
      <c r="E72">
        <v>1</v>
      </c>
      <c r="F72">
        <v>1</v>
      </c>
      <c r="G72">
        <v>1</v>
      </c>
      <c r="H72">
        <v>3</v>
      </c>
      <c r="I72" t="s">
        <v>336</v>
      </c>
      <c r="J72" t="s">
        <v>337</v>
      </c>
      <c r="K72" t="s">
        <v>338</v>
      </c>
      <c r="L72">
        <v>1346</v>
      </c>
      <c r="N72">
        <v>1009</v>
      </c>
      <c r="O72" t="s">
        <v>188</v>
      </c>
      <c r="P72" t="s">
        <v>188</v>
      </c>
      <c r="Q72">
        <v>1</v>
      </c>
      <c r="X72">
        <v>29.94</v>
      </c>
      <c r="Y72">
        <v>6.09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29.94</v>
      </c>
      <c r="AH72">
        <v>2</v>
      </c>
      <c r="AI72">
        <v>55458119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ROW(Source!A87)</f>
        <v>87</v>
      </c>
      <c r="B73">
        <v>55458128</v>
      </c>
      <c r="C73">
        <v>55458113</v>
      </c>
      <c r="D73">
        <v>49461975</v>
      </c>
      <c r="E73">
        <v>58</v>
      </c>
      <c r="F73">
        <v>1</v>
      </c>
      <c r="G73">
        <v>1</v>
      </c>
      <c r="H73">
        <v>3</v>
      </c>
      <c r="I73" t="s">
        <v>355</v>
      </c>
      <c r="K73" t="s">
        <v>356</v>
      </c>
      <c r="L73">
        <v>1327</v>
      </c>
      <c r="N73">
        <v>1005</v>
      </c>
      <c r="O73" t="s">
        <v>144</v>
      </c>
      <c r="P73" t="s">
        <v>144</v>
      </c>
      <c r="Q73">
        <v>1</v>
      </c>
      <c r="X73">
        <v>114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G73">
        <v>114</v>
      </c>
      <c r="AH73">
        <v>3</v>
      </c>
      <c r="AI73">
        <v>-1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ROW(Source!A87)</f>
        <v>87</v>
      </c>
      <c r="B74">
        <v>55458129</v>
      </c>
      <c r="C74">
        <v>55458113</v>
      </c>
      <c r="D74">
        <v>49461975</v>
      </c>
      <c r="E74">
        <v>58</v>
      </c>
      <c r="F74">
        <v>1</v>
      </c>
      <c r="G74">
        <v>1</v>
      </c>
      <c r="H74">
        <v>3</v>
      </c>
      <c r="I74" t="s">
        <v>355</v>
      </c>
      <c r="K74" t="s">
        <v>357</v>
      </c>
      <c r="L74">
        <v>1327</v>
      </c>
      <c r="N74">
        <v>1005</v>
      </c>
      <c r="O74" t="s">
        <v>144</v>
      </c>
      <c r="P74" t="s">
        <v>144</v>
      </c>
      <c r="Q74">
        <v>1</v>
      </c>
      <c r="X74">
        <v>116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G74">
        <v>116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ROW(Source!A88)</f>
        <v>88</v>
      </c>
      <c r="B75">
        <v>55458122</v>
      </c>
      <c r="C75">
        <v>55458113</v>
      </c>
      <c r="D75">
        <v>49459419</v>
      </c>
      <c r="E75">
        <v>58</v>
      </c>
      <c r="F75">
        <v>1</v>
      </c>
      <c r="G75">
        <v>1</v>
      </c>
      <c r="H75">
        <v>1</v>
      </c>
      <c r="I75" t="s">
        <v>331</v>
      </c>
      <c r="K75" t="s">
        <v>332</v>
      </c>
      <c r="L75">
        <v>1191</v>
      </c>
      <c r="N75">
        <v>1013</v>
      </c>
      <c r="O75" t="s">
        <v>292</v>
      </c>
      <c r="P75" t="s">
        <v>292</v>
      </c>
      <c r="Q75">
        <v>1</v>
      </c>
      <c r="X75">
        <v>14.36</v>
      </c>
      <c r="Y75">
        <v>0</v>
      </c>
      <c r="Z75">
        <v>0</v>
      </c>
      <c r="AA75">
        <v>0</v>
      </c>
      <c r="AB75">
        <v>9.4</v>
      </c>
      <c r="AC75">
        <v>0</v>
      </c>
      <c r="AD75">
        <v>1</v>
      </c>
      <c r="AE75">
        <v>1</v>
      </c>
      <c r="AF75" t="s">
        <v>112</v>
      </c>
      <c r="AG75">
        <v>16.514</v>
      </c>
      <c r="AH75">
        <v>2</v>
      </c>
      <c r="AI75">
        <v>55458114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ROW(Source!A88)</f>
        <v>88</v>
      </c>
      <c r="B76">
        <v>55458123</v>
      </c>
      <c r="C76">
        <v>55458113</v>
      </c>
      <c r="D76">
        <v>49459566</v>
      </c>
      <c r="E76">
        <v>58</v>
      </c>
      <c r="F76">
        <v>1</v>
      </c>
      <c r="G76">
        <v>1</v>
      </c>
      <c r="H76">
        <v>1</v>
      </c>
      <c r="I76" t="s">
        <v>310</v>
      </c>
      <c r="K76" t="s">
        <v>300</v>
      </c>
      <c r="L76">
        <v>1191</v>
      </c>
      <c r="N76">
        <v>1013</v>
      </c>
      <c r="O76" t="s">
        <v>292</v>
      </c>
      <c r="P76" t="s">
        <v>292</v>
      </c>
      <c r="Q76">
        <v>1</v>
      </c>
      <c r="X76">
        <v>0.29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111</v>
      </c>
      <c r="AG76">
        <v>0.3625</v>
      </c>
      <c r="AH76">
        <v>2</v>
      </c>
      <c r="AI76">
        <v>55458115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ROW(Source!A88)</f>
        <v>88</v>
      </c>
      <c r="B77">
        <v>55458124</v>
      </c>
      <c r="C77">
        <v>55458113</v>
      </c>
      <c r="D77">
        <v>49620286</v>
      </c>
      <c r="E77">
        <v>1</v>
      </c>
      <c r="F77">
        <v>1</v>
      </c>
      <c r="G77">
        <v>1</v>
      </c>
      <c r="H77">
        <v>2</v>
      </c>
      <c r="I77" t="s">
        <v>311</v>
      </c>
      <c r="J77" t="s">
        <v>312</v>
      </c>
      <c r="K77" t="s">
        <v>313</v>
      </c>
      <c r="L77">
        <v>1368</v>
      </c>
      <c r="N77">
        <v>1011</v>
      </c>
      <c r="O77" t="s">
        <v>296</v>
      </c>
      <c r="P77" t="s">
        <v>296</v>
      </c>
      <c r="Q77">
        <v>1</v>
      </c>
      <c r="X77">
        <v>0.15</v>
      </c>
      <c r="Y77">
        <v>0</v>
      </c>
      <c r="Z77">
        <v>86.4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111</v>
      </c>
      <c r="AG77">
        <v>0.1875</v>
      </c>
      <c r="AH77">
        <v>2</v>
      </c>
      <c r="AI77">
        <v>55458116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ROW(Source!A88)</f>
        <v>88</v>
      </c>
      <c r="B78">
        <v>55458125</v>
      </c>
      <c r="C78">
        <v>55458113</v>
      </c>
      <c r="D78">
        <v>49620344</v>
      </c>
      <c r="E78">
        <v>1</v>
      </c>
      <c r="F78">
        <v>1</v>
      </c>
      <c r="G78">
        <v>1</v>
      </c>
      <c r="H78">
        <v>2</v>
      </c>
      <c r="I78" t="s">
        <v>333</v>
      </c>
      <c r="J78" t="s">
        <v>334</v>
      </c>
      <c r="K78" t="s">
        <v>335</v>
      </c>
      <c r="L78">
        <v>1368</v>
      </c>
      <c r="N78">
        <v>1011</v>
      </c>
      <c r="O78" t="s">
        <v>296</v>
      </c>
      <c r="P78" t="s">
        <v>296</v>
      </c>
      <c r="Q78">
        <v>1</v>
      </c>
      <c r="X78">
        <v>0.05</v>
      </c>
      <c r="Y78">
        <v>0</v>
      </c>
      <c r="Z78">
        <v>115.4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111</v>
      </c>
      <c r="AG78">
        <v>0.0625</v>
      </c>
      <c r="AH78">
        <v>2</v>
      </c>
      <c r="AI78">
        <v>55458117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ROW(Source!A88)</f>
        <v>88</v>
      </c>
      <c r="B79">
        <v>55458126</v>
      </c>
      <c r="C79">
        <v>55458113</v>
      </c>
      <c r="D79">
        <v>49621268</v>
      </c>
      <c r="E79">
        <v>1</v>
      </c>
      <c r="F79">
        <v>1</v>
      </c>
      <c r="G79">
        <v>1</v>
      </c>
      <c r="H79">
        <v>2</v>
      </c>
      <c r="I79" t="s">
        <v>325</v>
      </c>
      <c r="J79" t="s">
        <v>326</v>
      </c>
      <c r="K79" t="s">
        <v>327</v>
      </c>
      <c r="L79">
        <v>1368</v>
      </c>
      <c r="N79">
        <v>1011</v>
      </c>
      <c r="O79" t="s">
        <v>296</v>
      </c>
      <c r="P79" t="s">
        <v>296</v>
      </c>
      <c r="Q79">
        <v>1</v>
      </c>
      <c r="X79">
        <v>0.09</v>
      </c>
      <c r="Y79">
        <v>0</v>
      </c>
      <c r="Z79">
        <v>65.71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111</v>
      </c>
      <c r="AG79">
        <v>0.11249999999999999</v>
      </c>
      <c r="AH79">
        <v>2</v>
      </c>
      <c r="AI79">
        <v>55458118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ROW(Source!A88)</f>
        <v>88</v>
      </c>
      <c r="B80">
        <v>55458127</v>
      </c>
      <c r="C80">
        <v>55458113</v>
      </c>
      <c r="D80">
        <v>49470012</v>
      </c>
      <c r="E80">
        <v>1</v>
      </c>
      <c r="F80">
        <v>1</v>
      </c>
      <c r="G80">
        <v>1</v>
      </c>
      <c r="H80">
        <v>3</v>
      </c>
      <c r="I80" t="s">
        <v>336</v>
      </c>
      <c r="J80" t="s">
        <v>337</v>
      </c>
      <c r="K80" t="s">
        <v>338</v>
      </c>
      <c r="L80">
        <v>1346</v>
      </c>
      <c r="N80">
        <v>1009</v>
      </c>
      <c r="O80" t="s">
        <v>188</v>
      </c>
      <c r="P80" t="s">
        <v>188</v>
      </c>
      <c r="Q80">
        <v>1</v>
      </c>
      <c r="X80">
        <v>29.94</v>
      </c>
      <c r="Y80">
        <v>6.09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29.94</v>
      </c>
      <c r="AH80">
        <v>2</v>
      </c>
      <c r="AI80">
        <v>55458119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ROW(Source!A88)</f>
        <v>88</v>
      </c>
      <c r="B81">
        <v>55458128</v>
      </c>
      <c r="C81">
        <v>55458113</v>
      </c>
      <c r="D81">
        <v>49461975</v>
      </c>
      <c r="E81">
        <v>58</v>
      </c>
      <c r="F81">
        <v>1</v>
      </c>
      <c r="G81">
        <v>1</v>
      </c>
      <c r="H81">
        <v>3</v>
      </c>
      <c r="I81" t="s">
        <v>355</v>
      </c>
      <c r="K81" t="s">
        <v>356</v>
      </c>
      <c r="L81">
        <v>1327</v>
      </c>
      <c r="N81">
        <v>1005</v>
      </c>
      <c r="O81" t="s">
        <v>144</v>
      </c>
      <c r="P81" t="s">
        <v>144</v>
      </c>
      <c r="Q81">
        <v>1</v>
      </c>
      <c r="X81">
        <v>114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114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ROW(Source!A88)</f>
        <v>88</v>
      </c>
      <c r="B82">
        <v>55458129</v>
      </c>
      <c r="C82">
        <v>55458113</v>
      </c>
      <c r="D82">
        <v>49461975</v>
      </c>
      <c r="E82">
        <v>58</v>
      </c>
      <c r="F82">
        <v>1</v>
      </c>
      <c r="G82">
        <v>1</v>
      </c>
      <c r="H82">
        <v>3</v>
      </c>
      <c r="I82" t="s">
        <v>355</v>
      </c>
      <c r="K82" t="s">
        <v>357</v>
      </c>
      <c r="L82">
        <v>1327</v>
      </c>
      <c r="N82">
        <v>1005</v>
      </c>
      <c r="O82" t="s">
        <v>144</v>
      </c>
      <c r="P82" t="s">
        <v>144</v>
      </c>
      <c r="Q82">
        <v>1</v>
      </c>
      <c r="X82">
        <v>116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116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ROW(Source!A93)</f>
        <v>93</v>
      </c>
      <c r="B83">
        <v>55458168</v>
      </c>
      <c r="C83">
        <v>55458153</v>
      </c>
      <c r="D83">
        <v>49459409</v>
      </c>
      <c r="E83">
        <v>58</v>
      </c>
      <c r="F83">
        <v>1</v>
      </c>
      <c r="G83">
        <v>1</v>
      </c>
      <c r="H83">
        <v>1</v>
      </c>
      <c r="I83" t="s">
        <v>339</v>
      </c>
      <c r="K83" t="s">
        <v>340</v>
      </c>
      <c r="L83">
        <v>1191</v>
      </c>
      <c r="N83">
        <v>1013</v>
      </c>
      <c r="O83" t="s">
        <v>292</v>
      </c>
      <c r="P83" t="s">
        <v>292</v>
      </c>
      <c r="Q83">
        <v>1</v>
      </c>
      <c r="X83">
        <v>52.21</v>
      </c>
      <c r="Y83">
        <v>0</v>
      </c>
      <c r="Z83">
        <v>0</v>
      </c>
      <c r="AA83">
        <v>0</v>
      </c>
      <c r="AB83">
        <v>9.18</v>
      </c>
      <c r="AC83">
        <v>0</v>
      </c>
      <c r="AD83">
        <v>1</v>
      </c>
      <c r="AE83">
        <v>1</v>
      </c>
      <c r="AF83" t="s">
        <v>112</v>
      </c>
      <c r="AG83">
        <v>60.0415</v>
      </c>
      <c r="AH83">
        <v>2</v>
      </c>
      <c r="AI83">
        <v>55458154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ROW(Source!A93)</f>
        <v>93</v>
      </c>
      <c r="B84">
        <v>55458169</v>
      </c>
      <c r="C84">
        <v>55458153</v>
      </c>
      <c r="D84">
        <v>49459566</v>
      </c>
      <c r="E84">
        <v>58</v>
      </c>
      <c r="F84">
        <v>1</v>
      </c>
      <c r="G84">
        <v>1</v>
      </c>
      <c r="H84">
        <v>1</v>
      </c>
      <c r="I84" t="s">
        <v>310</v>
      </c>
      <c r="K84" t="s">
        <v>300</v>
      </c>
      <c r="L84">
        <v>1191</v>
      </c>
      <c r="N84">
        <v>1013</v>
      </c>
      <c r="O84" t="s">
        <v>292</v>
      </c>
      <c r="P84" t="s">
        <v>292</v>
      </c>
      <c r="Q84">
        <v>1</v>
      </c>
      <c r="X84">
        <v>0.87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111</v>
      </c>
      <c r="AG84">
        <v>1.0875</v>
      </c>
      <c r="AH84">
        <v>2</v>
      </c>
      <c r="AI84">
        <v>55458155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ROW(Source!A93)</f>
        <v>93</v>
      </c>
      <c r="B85">
        <v>55458170</v>
      </c>
      <c r="C85">
        <v>55458153</v>
      </c>
      <c r="D85">
        <v>49620286</v>
      </c>
      <c r="E85">
        <v>1</v>
      </c>
      <c r="F85">
        <v>1</v>
      </c>
      <c r="G85">
        <v>1</v>
      </c>
      <c r="H85">
        <v>2</v>
      </c>
      <c r="I85" t="s">
        <v>311</v>
      </c>
      <c r="J85" t="s">
        <v>312</v>
      </c>
      <c r="K85" t="s">
        <v>313</v>
      </c>
      <c r="L85">
        <v>1368</v>
      </c>
      <c r="N85">
        <v>1011</v>
      </c>
      <c r="O85" t="s">
        <v>296</v>
      </c>
      <c r="P85" t="s">
        <v>296</v>
      </c>
      <c r="Q85">
        <v>1</v>
      </c>
      <c r="X85">
        <v>0.54</v>
      </c>
      <c r="Y85">
        <v>0</v>
      </c>
      <c r="Z85">
        <v>86.4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111</v>
      </c>
      <c r="AG85">
        <v>0.675</v>
      </c>
      <c r="AH85">
        <v>2</v>
      </c>
      <c r="AI85">
        <v>55458156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ROW(Source!A93)</f>
        <v>93</v>
      </c>
      <c r="B86">
        <v>55458171</v>
      </c>
      <c r="C86">
        <v>55458153</v>
      </c>
      <c r="D86">
        <v>49620344</v>
      </c>
      <c r="E86">
        <v>1</v>
      </c>
      <c r="F86">
        <v>1</v>
      </c>
      <c r="G86">
        <v>1</v>
      </c>
      <c r="H86">
        <v>2</v>
      </c>
      <c r="I86" t="s">
        <v>333</v>
      </c>
      <c r="J86" t="s">
        <v>334</v>
      </c>
      <c r="K86" t="s">
        <v>335</v>
      </c>
      <c r="L86">
        <v>1368</v>
      </c>
      <c r="N86">
        <v>1011</v>
      </c>
      <c r="O86" t="s">
        <v>296</v>
      </c>
      <c r="P86" t="s">
        <v>296</v>
      </c>
      <c r="Q86">
        <v>1</v>
      </c>
      <c r="X86">
        <v>0.13</v>
      </c>
      <c r="Y86">
        <v>0</v>
      </c>
      <c r="Z86">
        <v>115.4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111</v>
      </c>
      <c r="AG86">
        <v>0.1625</v>
      </c>
      <c r="AH86">
        <v>2</v>
      </c>
      <c r="AI86">
        <v>55458157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ROW(Source!A93)</f>
        <v>93</v>
      </c>
      <c r="B87">
        <v>55458172</v>
      </c>
      <c r="C87">
        <v>55458153</v>
      </c>
      <c r="D87">
        <v>49621268</v>
      </c>
      <c r="E87">
        <v>1</v>
      </c>
      <c r="F87">
        <v>1</v>
      </c>
      <c r="G87">
        <v>1</v>
      </c>
      <c r="H87">
        <v>2</v>
      </c>
      <c r="I87" t="s">
        <v>325</v>
      </c>
      <c r="J87" t="s">
        <v>326</v>
      </c>
      <c r="K87" t="s">
        <v>327</v>
      </c>
      <c r="L87">
        <v>1368</v>
      </c>
      <c r="N87">
        <v>1011</v>
      </c>
      <c r="O87" t="s">
        <v>296</v>
      </c>
      <c r="P87" t="s">
        <v>296</v>
      </c>
      <c r="Q87">
        <v>1</v>
      </c>
      <c r="X87">
        <v>0.2</v>
      </c>
      <c r="Y87">
        <v>0</v>
      </c>
      <c r="Z87">
        <v>65.71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111</v>
      </c>
      <c r="AG87">
        <v>0.25</v>
      </c>
      <c r="AH87">
        <v>2</v>
      </c>
      <c r="AI87">
        <v>55458158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ROW(Source!A93)</f>
        <v>93</v>
      </c>
      <c r="B88">
        <v>55458173</v>
      </c>
      <c r="C88">
        <v>55458153</v>
      </c>
      <c r="D88">
        <v>49470012</v>
      </c>
      <c r="E88">
        <v>1</v>
      </c>
      <c r="F88">
        <v>1</v>
      </c>
      <c r="G88">
        <v>1</v>
      </c>
      <c r="H88">
        <v>3</v>
      </c>
      <c r="I88" t="s">
        <v>336</v>
      </c>
      <c r="J88" t="s">
        <v>337</v>
      </c>
      <c r="K88" t="s">
        <v>338</v>
      </c>
      <c r="L88">
        <v>1346</v>
      </c>
      <c r="N88">
        <v>1009</v>
      </c>
      <c r="O88" t="s">
        <v>188</v>
      </c>
      <c r="P88" t="s">
        <v>188</v>
      </c>
      <c r="Q88">
        <v>1</v>
      </c>
      <c r="X88">
        <v>24.52</v>
      </c>
      <c r="Y88">
        <v>6.09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24.52</v>
      </c>
      <c r="AH88">
        <v>2</v>
      </c>
      <c r="AI88">
        <v>55458159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ROW(Source!A93)</f>
        <v>93</v>
      </c>
      <c r="B89">
        <v>55458174</v>
      </c>
      <c r="C89">
        <v>55458153</v>
      </c>
      <c r="D89">
        <v>49472012</v>
      </c>
      <c r="E89">
        <v>1</v>
      </c>
      <c r="F89">
        <v>1</v>
      </c>
      <c r="G89">
        <v>1</v>
      </c>
      <c r="H89">
        <v>3</v>
      </c>
      <c r="I89" t="s">
        <v>177</v>
      </c>
      <c r="J89" t="s">
        <v>180</v>
      </c>
      <c r="K89" t="s">
        <v>178</v>
      </c>
      <c r="L89">
        <v>1407</v>
      </c>
      <c r="N89">
        <v>1013</v>
      </c>
      <c r="O89" t="s">
        <v>179</v>
      </c>
      <c r="P89" t="s">
        <v>179</v>
      </c>
      <c r="Q89">
        <v>1</v>
      </c>
      <c r="X89">
        <v>0.187</v>
      </c>
      <c r="Y89">
        <v>253.8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0.187</v>
      </c>
      <c r="AH89">
        <v>2</v>
      </c>
      <c r="AI89">
        <v>55458160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ROW(Source!A93)</f>
        <v>93</v>
      </c>
      <c r="B90">
        <v>55458175</v>
      </c>
      <c r="C90">
        <v>55458153</v>
      </c>
      <c r="D90">
        <v>49473922</v>
      </c>
      <c r="E90">
        <v>1</v>
      </c>
      <c r="F90">
        <v>1</v>
      </c>
      <c r="G90">
        <v>1</v>
      </c>
      <c r="H90">
        <v>3</v>
      </c>
      <c r="I90" t="s">
        <v>173</v>
      </c>
      <c r="J90" t="s">
        <v>175</v>
      </c>
      <c r="K90" t="s">
        <v>174</v>
      </c>
      <c r="L90">
        <v>1348</v>
      </c>
      <c r="N90">
        <v>1009</v>
      </c>
      <c r="O90" t="s">
        <v>123</v>
      </c>
      <c r="P90" t="s">
        <v>123</v>
      </c>
      <c r="Q90">
        <v>1000</v>
      </c>
      <c r="X90">
        <v>0.00159</v>
      </c>
      <c r="Y90">
        <v>22558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0.00159</v>
      </c>
      <c r="AH90">
        <v>2</v>
      </c>
      <c r="AI90">
        <v>55458161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ROW(Source!A93)</f>
        <v>93</v>
      </c>
      <c r="B91">
        <v>55458176</v>
      </c>
      <c r="C91">
        <v>55458153</v>
      </c>
      <c r="D91">
        <v>49476762</v>
      </c>
      <c r="E91">
        <v>1</v>
      </c>
      <c r="F91">
        <v>1</v>
      </c>
      <c r="G91">
        <v>1</v>
      </c>
      <c r="H91">
        <v>3</v>
      </c>
      <c r="I91" t="s">
        <v>169</v>
      </c>
      <c r="J91" t="s">
        <v>171</v>
      </c>
      <c r="K91" t="s">
        <v>170</v>
      </c>
      <c r="L91">
        <v>1339</v>
      </c>
      <c r="N91">
        <v>1007</v>
      </c>
      <c r="O91" t="s">
        <v>47</v>
      </c>
      <c r="P91" t="s">
        <v>47</v>
      </c>
      <c r="Q91">
        <v>1</v>
      </c>
      <c r="X91">
        <v>0.51</v>
      </c>
      <c r="Y91">
        <v>519.8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0.51</v>
      </c>
      <c r="AH91">
        <v>2</v>
      </c>
      <c r="AI91">
        <v>55458162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ROW(Source!A93)</f>
        <v>93</v>
      </c>
      <c r="B92">
        <v>55458177</v>
      </c>
      <c r="C92">
        <v>55458153</v>
      </c>
      <c r="D92">
        <v>49491136</v>
      </c>
      <c r="E92">
        <v>1</v>
      </c>
      <c r="F92">
        <v>1</v>
      </c>
      <c r="G92">
        <v>1</v>
      </c>
      <c r="H92">
        <v>3</v>
      </c>
      <c r="I92" t="s">
        <v>161</v>
      </c>
      <c r="J92" t="s">
        <v>163</v>
      </c>
      <c r="K92" t="s">
        <v>162</v>
      </c>
      <c r="L92">
        <v>1348</v>
      </c>
      <c r="N92">
        <v>1009</v>
      </c>
      <c r="O92" t="s">
        <v>123</v>
      </c>
      <c r="P92" t="s">
        <v>123</v>
      </c>
      <c r="Q92">
        <v>1000</v>
      </c>
      <c r="X92">
        <v>0.2</v>
      </c>
      <c r="Y92">
        <v>11200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0.2</v>
      </c>
      <c r="AH92">
        <v>2</v>
      </c>
      <c r="AI92">
        <v>55458163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ROW(Source!A93)</f>
        <v>93</v>
      </c>
      <c r="B93">
        <v>55458178</v>
      </c>
      <c r="C93">
        <v>55458153</v>
      </c>
      <c r="D93">
        <v>49491236</v>
      </c>
      <c r="E93">
        <v>1</v>
      </c>
      <c r="F93">
        <v>1</v>
      </c>
      <c r="G93">
        <v>1</v>
      </c>
      <c r="H93">
        <v>3</v>
      </c>
      <c r="I93" t="s">
        <v>165</v>
      </c>
      <c r="J93" t="s">
        <v>167</v>
      </c>
      <c r="K93" t="s">
        <v>166</v>
      </c>
      <c r="L93">
        <v>1348</v>
      </c>
      <c r="N93">
        <v>1009</v>
      </c>
      <c r="O93" t="s">
        <v>123</v>
      </c>
      <c r="P93" t="s">
        <v>123</v>
      </c>
      <c r="Q93">
        <v>1000</v>
      </c>
      <c r="X93">
        <v>0.013</v>
      </c>
      <c r="Y93">
        <v>5000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0.013</v>
      </c>
      <c r="AH93">
        <v>2</v>
      </c>
      <c r="AI93">
        <v>55458164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ROW(Source!A93)</f>
        <v>93</v>
      </c>
      <c r="B94">
        <v>55458179</v>
      </c>
      <c r="C94">
        <v>55458153</v>
      </c>
      <c r="D94">
        <v>49461975</v>
      </c>
      <c r="E94">
        <v>58</v>
      </c>
      <c r="F94">
        <v>1</v>
      </c>
      <c r="G94">
        <v>1</v>
      </c>
      <c r="H94">
        <v>3</v>
      </c>
      <c r="I94" t="s">
        <v>355</v>
      </c>
      <c r="K94" t="s">
        <v>358</v>
      </c>
      <c r="L94">
        <v>1327</v>
      </c>
      <c r="N94">
        <v>1005</v>
      </c>
      <c r="O94" t="s">
        <v>144</v>
      </c>
      <c r="P94" t="s">
        <v>144</v>
      </c>
      <c r="Q94">
        <v>1</v>
      </c>
      <c r="X94">
        <v>189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G94">
        <v>189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ROW(Source!A93)</f>
        <v>93</v>
      </c>
      <c r="B95">
        <v>55458180</v>
      </c>
      <c r="C95">
        <v>55458153</v>
      </c>
      <c r="D95">
        <v>49503474</v>
      </c>
      <c r="E95">
        <v>1</v>
      </c>
      <c r="F95">
        <v>1</v>
      </c>
      <c r="G95">
        <v>1</v>
      </c>
      <c r="H95">
        <v>3</v>
      </c>
      <c r="I95" t="s">
        <v>341</v>
      </c>
      <c r="J95" t="s">
        <v>342</v>
      </c>
      <c r="K95" t="s">
        <v>343</v>
      </c>
      <c r="L95">
        <v>1346</v>
      </c>
      <c r="N95">
        <v>1009</v>
      </c>
      <c r="O95" t="s">
        <v>188</v>
      </c>
      <c r="P95" t="s">
        <v>188</v>
      </c>
      <c r="Q95">
        <v>1</v>
      </c>
      <c r="X95">
        <v>6.7</v>
      </c>
      <c r="Y95">
        <v>74.58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6.7</v>
      </c>
      <c r="AH95">
        <v>2</v>
      </c>
      <c r="AI95">
        <v>55458165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ROW(Source!A94)</f>
        <v>94</v>
      </c>
      <c r="B96">
        <v>55458168</v>
      </c>
      <c r="C96">
        <v>55458153</v>
      </c>
      <c r="D96">
        <v>49459409</v>
      </c>
      <c r="E96">
        <v>58</v>
      </c>
      <c r="F96">
        <v>1</v>
      </c>
      <c r="G96">
        <v>1</v>
      </c>
      <c r="H96">
        <v>1</v>
      </c>
      <c r="I96" t="s">
        <v>339</v>
      </c>
      <c r="K96" t="s">
        <v>340</v>
      </c>
      <c r="L96">
        <v>1191</v>
      </c>
      <c r="N96">
        <v>1013</v>
      </c>
      <c r="O96" t="s">
        <v>292</v>
      </c>
      <c r="P96" t="s">
        <v>292</v>
      </c>
      <c r="Q96">
        <v>1</v>
      </c>
      <c r="X96">
        <v>52.21</v>
      </c>
      <c r="Y96">
        <v>0</v>
      </c>
      <c r="Z96">
        <v>0</v>
      </c>
      <c r="AA96">
        <v>0</v>
      </c>
      <c r="AB96">
        <v>9.18</v>
      </c>
      <c r="AC96">
        <v>0</v>
      </c>
      <c r="AD96">
        <v>1</v>
      </c>
      <c r="AE96">
        <v>1</v>
      </c>
      <c r="AF96" t="s">
        <v>112</v>
      </c>
      <c r="AG96">
        <v>60.0415</v>
      </c>
      <c r="AH96">
        <v>2</v>
      </c>
      <c r="AI96">
        <v>55458154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ROW(Source!A94)</f>
        <v>94</v>
      </c>
      <c r="B97">
        <v>55458169</v>
      </c>
      <c r="C97">
        <v>55458153</v>
      </c>
      <c r="D97">
        <v>49459566</v>
      </c>
      <c r="E97">
        <v>58</v>
      </c>
      <c r="F97">
        <v>1</v>
      </c>
      <c r="G97">
        <v>1</v>
      </c>
      <c r="H97">
        <v>1</v>
      </c>
      <c r="I97" t="s">
        <v>310</v>
      </c>
      <c r="K97" t="s">
        <v>300</v>
      </c>
      <c r="L97">
        <v>1191</v>
      </c>
      <c r="N97">
        <v>1013</v>
      </c>
      <c r="O97" t="s">
        <v>292</v>
      </c>
      <c r="P97" t="s">
        <v>292</v>
      </c>
      <c r="Q97">
        <v>1</v>
      </c>
      <c r="X97">
        <v>0.87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111</v>
      </c>
      <c r="AG97">
        <v>1.0875</v>
      </c>
      <c r="AH97">
        <v>2</v>
      </c>
      <c r="AI97">
        <v>55458155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ROW(Source!A94)</f>
        <v>94</v>
      </c>
      <c r="B98">
        <v>55458170</v>
      </c>
      <c r="C98">
        <v>55458153</v>
      </c>
      <c r="D98">
        <v>49620286</v>
      </c>
      <c r="E98">
        <v>1</v>
      </c>
      <c r="F98">
        <v>1</v>
      </c>
      <c r="G98">
        <v>1</v>
      </c>
      <c r="H98">
        <v>2</v>
      </c>
      <c r="I98" t="s">
        <v>311</v>
      </c>
      <c r="J98" t="s">
        <v>312</v>
      </c>
      <c r="K98" t="s">
        <v>313</v>
      </c>
      <c r="L98">
        <v>1368</v>
      </c>
      <c r="N98">
        <v>1011</v>
      </c>
      <c r="O98" t="s">
        <v>296</v>
      </c>
      <c r="P98" t="s">
        <v>296</v>
      </c>
      <c r="Q98">
        <v>1</v>
      </c>
      <c r="X98">
        <v>0.54</v>
      </c>
      <c r="Y98">
        <v>0</v>
      </c>
      <c r="Z98">
        <v>86.4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111</v>
      </c>
      <c r="AG98">
        <v>0.675</v>
      </c>
      <c r="AH98">
        <v>2</v>
      </c>
      <c r="AI98">
        <v>55458156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ROW(Source!A94)</f>
        <v>94</v>
      </c>
      <c r="B99">
        <v>55458171</v>
      </c>
      <c r="C99">
        <v>55458153</v>
      </c>
      <c r="D99">
        <v>49620344</v>
      </c>
      <c r="E99">
        <v>1</v>
      </c>
      <c r="F99">
        <v>1</v>
      </c>
      <c r="G99">
        <v>1</v>
      </c>
      <c r="H99">
        <v>2</v>
      </c>
      <c r="I99" t="s">
        <v>333</v>
      </c>
      <c r="J99" t="s">
        <v>334</v>
      </c>
      <c r="K99" t="s">
        <v>335</v>
      </c>
      <c r="L99">
        <v>1368</v>
      </c>
      <c r="N99">
        <v>1011</v>
      </c>
      <c r="O99" t="s">
        <v>296</v>
      </c>
      <c r="P99" t="s">
        <v>296</v>
      </c>
      <c r="Q99">
        <v>1</v>
      </c>
      <c r="X99">
        <v>0.13</v>
      </c>
      <c r="Y99">
        <v>0</v>
      </c>
      <c r="Z99">
        <v>115.4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111</v>
      </c>
      <c r="AG99">
        <v>0.1625</v>
      </c>
      <c r="AH99">
        <v>2</v>
      </c>
      <c r="AI99">
        <v>55458157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ROW(Source!A94)</f>
        <v>94</v>
      </c>
      <c r="B100">
        <v>55458172</v>
      </c>
      <c r="C100">
        <v>55458153</v>
      </c>
      <c r="D100">
        <v>49621268</v>
      </c>
      <c r="E100">
        <v>1</v>
      </c>
      <c r="F100">
        <v>1</v>
      </c>
      <c r="G100">
        <v>1</v>
      </c>
      <c r="H100">
        <v>2</v>
      </c>
      <c r="I100" t="s">
        <v>325</v>
      </c>
      <c r="J100" t="s">
        <v>326</v>
      </c>
      <c r="K100" t="s">
        <v>327</v>
      </c>
      <c r="L100">
        <v>1368</v>
      </c>
      <c r="N100">
        <v>1011</v>
      </c>
      <c r="O100" t="s">
        <v>296</v>
      </c>
      <c r="P100" t="s">
        <v>296</v>
      </c>
      <c r="Q100">
        <v>1</v>
      </c>
      <c r="X100">
        <v>0.2</v>
      </c>
      <c r="Y100">
        <v>0</v>
      </c>
      <c r="Z100">
        <v>65.71</v>
      </c>
      <c r="AA100">
        <v>11.6</v>
      </c>
      <c r="AB100">
        <v>0</v>
      </c>
      <c r="AC100">
        <v>0</v>
      </c>
      <c r="AD100">
        <v>1</v>
      </c>
      <c r="AE100">
        <v>0</v>
      </c>
      <c r="AF100" t="s">
        <v>111</v>
      </c>
      <c r="AG100">
        <v>0.25</v>
      </c>
      <c r="AH100">
        <v>2</v>
      </c>
      <c r="AI100">
        <v>55458158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ROW(Source!A94)</f>
        <v>94</v>
      </c>
      <c r="B101">
        <v>55458173</v>
      </c>
      <c r="C101">
        <v>55458153</v>
      </c>
      <c r="D101">
        <v>49470012</v>
      </c>
      <c r="E101">
        <v>1</v>
      </c>
      <c r="F101">
        <v>1</v>
      </c>
      <c r="G101">
        <v>1</v>
      </c>
      <c r="H101">
        <v>3</v>
      </c>
      <c r="I101" t="s">
        <v>336</v>
      </c>
      <c r="J101" t="s">
        <v>337</v>
      </c>
      <c r="K101" t="s">
        <v>338</v>
      </c>
      <c r="L101">
        <v>1346</v>
      </c>
      <c r="N101">
        <v>1009</v>
      </c>
      <c r="O101" t="s">
        <v>188</v>
      </c>
      <c r="P101" t="s">
        <v>188</v>
      </c>
      <c r="Q101">
        <v>1</v>
      </c>
      <c r="X101">
        <v>24.52</v>
      </c>
      <c r="Y101">
        <v>6.09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24.52</v>
      </c>
      <c r="AH101">
        <v>2</v>
      </c>
      <c r="AI101">
        <v>55458159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ROW(Source!A94)</f>
        <v>94</v>
      </c>
      <c r="B102">
        <v>55458174</v>
      </c>
      <c r="C102">
        <v>55458153</v>
      </c>
      <c r="D102">
        <v>49472012</v>
      </c>
      <c r="E102">
        <v>1</v>
      </c>
      <c r="F102">
        <v>1</v>
      </c>
      <c r="G102">
        <v>1</v>
      </c>
      <c r="H102">
        <v>3</v>
      </c>
      <c r="I102" t="s">
        <v>177</v>
      </c>
      <c r="J102" t="s">
        <v>180</v>
      </c>
      <c r="K102" t="s">
        <v>178</v>
      </c>
      <c r="L102">
        <v>1407</v>
      </c>
      <c r="N102">
        <v>1013</v>
      </c>
      <c r="O102" t="s">
        <v>179</v>
      </c>
      <c r="P102" t="s">
        <v>179</v>
      </c>
      <c r="Q102">
        <v>1</v>
      </c>
      <c r="X102">
        <v>0.187</v>
      </c>
      <c r="Y102">
        <v>253.8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0.187</v>
      </c>
      <c r="AH102">
        <v>2</v>
      </c>
      <c r="AI102">
        <v>55458160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ROW(Source!A94)</f>
        <v>94</v>
      </c>
      <c r="B103">
        <v>55458175</v>
      </c>
      <c r="C103">
        <v>55458153</v>
      </c>
      <c r="D103">
        <v>49473922</v>
      </c>
      <c r="E103">
        <v>1</v>
      </c>
      <c r="F103">
        <v>1</v>
      </c>
      <c r="G103">
        <v>1</v>
      </c>
      <c r="H103">
        <v>3</v>
      </c>
      <c r="I103" t="s">
        <v>173</v>
      </c>
      <c r="J103" t="s">
        <v>175</v>
      </c>
      <c r="K103" t="s">
        <v>174</v>
      </c>
      <c r="L103">
        <v>1348</v>
      </c>
      <c r="N103">
        <v>1009</v>
      </c>
      <c r="O103" t="s">
        <v>123</v>
      </c>
      <c r="P103" t="s">
        <v>123</v>
      </c>
      <c r="Q103">
        <v>1000</v>
      </c>
      <c r="X103">
        <v>0.00159</v>
      </c>
      <c r="Y103">
        <v>22558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0.00159</v>
      </c>
      <c r="AH103">
        <v>2</v>
      </c>
      <c r="AI103">
        <v>55458161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ROW(Source!A94)</f>
        <v>94</v>
      </c>
      <c r="B104">
        <v>55458176</v>
      </c>
      <c r="C104">
        <v>55458153</v>
      </c>
      <c r="D104">
        <v>49476762</v>
      </c>
      <c r="E104">
        <v>1</v>
      </c>
      <c r="F104">
        <v>1</v>
      </c>
      <c r="G104">
        <v>1</v>
      </c>
      <c r="H104">
        <v>3</v>
      </c>
      <c r="I104" t="s">
        <v>169</v>
      </c>
      <c r="J104" t="s">
        <v>171</v>
      </c>
      <c r="K104" t="s">
        <v>170</v>
      </c>
      <c r="L104">
        <v>1339</v>
      </c>
      <c r="N104">
        <v>1007</v>
      </c>
      <c r="O104" t="s">
        <v>47</v>
      </c>
      <c r="P104" t="s">
        <v>47</v>
      </c>
      <c r="Q104">
        <v>1</v>
      </c>
      <c r="X104">
        <v>0.51</v>
      </c>
      <c r="Y104">
        <v>519.8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0.51</v>
      </c>
      <c r="AH104">
        <v>2</v>
      </c>
      <c r="AI104">
        <v>55458162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ROW(Source!A94)</f>
        <v>94</v>
      </c>
      <c r="B105">
        <v>55458177</v>
      </c>
      <c r="C105">
        <v>55458153</v>
      </c>
      <c r="D105">
        <v>49491136</v>
      </c>
      <c r="E105">
        <v>1</v>
      </c>
      <c r="F105">
        <v>1</v>
      </c>
      <c r="G105">
        <v>1</v>
      </c>
      <c r="H105">
        <v>3</v>
      </c>
      <c r="I105" t="s">
        <v>161</v>
      </c>
      <c r="J105" t="s">
        <v>163</v>
      </c>
      <c r="K105" t="s">
        <v>162</v>
      </c>
      <c r="L105">
        <v>1348</v>
      </c>
      <c r="N105">
        <v>1009</v>
      </c>
      <c r="O105" t="s">
        <v>123</v>
      </c>
      <c r="P105" t="s">
        <v>123</v>
      </c>
      <c r="Q105">
        <v>1000</v>
      </c>
      <c r="X105">
        <v>0.2</v>
      </c>
      <c r="Y105">
        <v>11200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0.2</v>
      </c>
      <c r="AH105">
        <v>2</v>
      </c>
      <c r="AI105">
        <v>55458163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ROW(Source!A94)</f>
        <v>94</v>
      </c>
      <c r="B106">
        <v>55458178</v>
      </c>
      <c r="C106">
        <v>55458153</v>
      </c>
      <c r="D106">
        <v>49491236</v>
      </c>
      <c r="E106">
        <v>1</v>
      </c>
      <c r="F106">
        <v>1</v>
      </c>
      <c r="G106">
        <v>1</v>
      </c>
      <c r="H106">
        <v>3</v>
      </c>
      <c r="I106" t="s">
        <v>165</v>
      </c>
      <c r="J106" t="s">
        <v>167</v>
      </c>
      <c r="K106" t="s">
        <v>166</v>
      </c>
      <c r="L106">
        <v>1348</v>
      </c>
      <c r="N106">
        <v>1009</v>
      </c>
      <c r="O106" t="s">
        <v>123</v>
      </c>
      <c r="P106" t="s">
        <v>123</v>
      </c>
      <c r="Q106">
        <v>1000</v>
      </c>
      <c r="X106">
        <v>0.013</v>
      </c>
      <c r="Y106">
        <v>5000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0.013</v>
      </c>
      <c r="AH106">
        <v>2</v>
      </c>
      <c r="AI106">
        <v>55458164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ROW(Source!A94)</f>
        <v>94</v>
      </c>
      <c r="B107">
        <v>55458179</v>
      </c>
      <c r="C107">
        <v>55458153</v>
      </c>
      <c r="D107">
        <v>49461975</v>
      </c>
      <c r="E107">
        <v>58</v>
      </c>
      <c r="F107">
        <v>1</v>
      </c>
      <c r="G107">
        <v>1</v>
      </c>
      <c r="H107">
        <v>3</v>
      </c>
      <c r="I107" t="s">
        <v>355</v>
      </c>
      <c r="K107" t="s">
        <v>358</v>
      </c>
      <c r="L107">
        <v>1327</v>
      </c>
      <c r="N107">
        <v>1005</v>
      </c>
      <c r="O107" t="s">
        <v>144</v>
      </c>
      <c r="P107" t="s">
        <v>144</v>
      </c>
      <c r="Q107">
        <v>1</v>
      </c>
      <c r="X107">
        <v>189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G107">
        <v>189</v>
      </c>
      <c r="AH107">
        <v>3</v>
      </c>
      <c r="AI107">
        <v>-1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ROW(Source!A94)</f>
        <v>94</v>
      </c>
      <c r="B108">
        <v>55458180</v>
      </c>
      <c r="C108">
        <v>55458153</v>
      </c>
      <c r="D108">
        <v>49503474</v>
      </c>
      <c r="E108">
        <v>1</v>
      </c>
      <c r="F108">
        <v>1</v>
      </c>
      <c r="G108">
        <v>1</v>
      </c>
      <c r="H108">
        <v>3</v>
      </c>
      <c r="I108" t="s">
        <v>341</v>
      </c>
      <c r="J108" t="s">
        <v>342</v>
      </c>
      <c r="K108" t="s">
        <v>343</v>
      </c>
      <c r="L108">
        <v>1346</v>
      </c>
      <c r="N108">
        <v>1009</v>
      </c>
      <c r="O108" t="s">
        <v>188</v>
      </c>
      <c r="P108" t="s">
        <v>188</v>
      </c>
      <c r="Q108">
        <v>1</v>
      </c>
      <c r="X108">
        <v>6.7</v>
      </c>
      <c r="Y108">
        <v>74.58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6.7</v>
      </c>
      <c r="AH108">
        <v>2</v>
      </c>
      <c r="AI108">
        <v>55458165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ROW(Source!A107)</f>
        <v>107</v>
      </c>
      <c r="B109">
        <v>55466900</v>
      </c>
      <c r="C109">
        <v>55466894</v>
      </c>
      <c r="D109">
        <v>37822915</v>
      </c>
      <c r="E109">
        <v>70</v>
      </c>
      <c r="F109">
        <v>1</v>
      </c>
      <c r="G109">
        <v>1</v>
      </c>
      <c r="H109">
        <v>1</v>
      </c>
      <c r="I109" t="s">
        <v>344</v>
      </c>
      <c r="K109" t="s">
        <v>345</v>
      </c>
      <c r="L109">
        <v>1191</v>
      </c>
      <c r="N109">
        <v>1013</v>
      </c>
      <c r="O109" t="s">
        <v>292</v>
      </c>
      <c r="P109" t="s">
        <v>292</v>
      </c>
      <c r="Q109">
        <v>1</v>
      </c>
      <c r="X109">
        <v>3.28</v>
      </c>
      <c r="Y109">
        <v>0</v>
      </c>
      <c r="Z109">
        <v>0</v>
      </c>
      <c r="AA109">
        <v>0</v>
      </c>
      <c r="AB109">
        <v>9.62</v>
      </c>
      <c r="AC109">
        <v>0</v>
      </c>
      <c r="AD109">
        <v>1</v>
      </c>
      <c r="AE109">
        <v>1</v>
      </c>
      <c r="AG109">
        <v>3.28</v>
      </c>
      <c r="AH109">
        <v>2</v>
      </c>
      <c r="AI109">
        <v>55466895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ROW(Source!A107)</f>
        <v>107</v>
      </c>
      <c r="B110">
        <v>55466901</v>
      </c>
      <c r="C110">
        <v>55466894</v>
      </c>
      <c r="D110">
        <v>37822850</v>
      </c>
      <c r="E110">
        <v>70</v>
      </c>
      <c r="F110">
        <v>1</v>
      </c>
      <c r="G110">
        <v>1</v>
      </c>
      <c r="H110">
        <v>1</v>
      </c>
      <c r="I110" t="s">
        <v>299</v>
      </c>
      <c r="K110" t="s">
        <v>300</v>
      </c>
      <c r="L110">
        <v>1191</v>
      </c>
      <c r="N110">
        <v>1013</v>
      </c>
      <c r="O110" t="s">
        <v>292</v>
      </c>
      <c r="P110" t="s">
        <v>292</v>
      </c>
      <c r="Q110">
        <v>1</v>
      </c>
      <c r="X110">
        <v>0.35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G110">
        <v>0.35</v>
      </c>
      <c r="AH110">
        <v>2</v>
      </c>
      <c r="AI110">
        <v>55466896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ROW(Source!A107)</f>
        <v>107</v>
      </c>
      <c r="B111">
        <v>55466902</v>
      </c>
      <c r="C111">
        <v>55466894</v>
      </c>
      <c r="D111">
        <v>53792927</v>
      </c>
      <c r="E111">
        <v>1</v>
      </c>
      <c r="F111">
        <v>1</v>
      </c>
      <c r="G111">
        <v>1</v>
      </c>
      <c r="H111">
        <v>2</v>
      </c>
      <c r="I111" t="s">
        <v>325</v>
      </c>
      <c r="J111" t="s">
        <v>326</v>
      </c>
      <c r="K111" t="s">
        <v>327</v>
      </c>
      <c r="L111">
        <v>1367</v>
      </c>
      <c r="N111">
        <v>1011</v>
      </c>
      <c r="O111" t="s">
        <v>304</v>
      </c>
      <c r="P111" t="s">
        <v>304</v>
      </c>
      <c r="Q111">
        <v>1</v>
      </c>
      <c r="X111">
        <v>0.35</v>
      </c>
      <c r="Y111">
        <v>0</v>
      </c>
      <c r="Z111">
        <v>65.71</v>
      </c>
      <c r="AA111">
        <v>11.6</v>
      </c>
      <c r="AB111">
        <v>0</v>
      </c>
      <c r="AC111">
        <v>0</v>
      </c>
      <c r="AD111">
        <v>1</v>
      </c>
      <c r="AE111">
        <v>0</v>
      </c>
      <c r="AG111">
        <v>0.35</v>
      </c>
      <c r="AH111">
        <v>2</v>
      </c>
      <c r="AI111">
        <v>55466897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ROW(Source!A107)</f>
        <v>107</v>
      </c>
      <c r="B112">
        <v>55466903</v>
      </c>
      <c r="C112">
        <v>55466894</v>
      </c>
      <c r="D112">
        <v>53793158</v>
      </c>
      <c r="E112">
        <v>1</v>
      </c>
      <c r="F112">
        <v>1</v>
      </c>
      <c r="G112">
        <v>1</v>
      </c>
      <c r="H112">
        <v>2</v>
      </c>
      <c r="I112" t="s">
        <v>346</v>
      </c>
      <c r="J112" t="s">
        <v>347</v>
      </c>
      <c r="K112" t="s">
        <v>348</v>
      </c>
      <c r="L112">
        <v>1367</v>
      </c>
      <c r="N112">
        <v>1011</v>
      </c>
      <c r="O112" t="s">
        <v>304</v>
      </c>
      <c r="P112" t="s">
        <v>304</v>
      </c>
      <c r="Q112">
        <v>1</v>
      </c>
      <c r="X112">
        <v>2.35</v>
      </c>
      <c r="Y112">
        <v>0</v>
      </c>
      <c r="Z112">
        <v>32.5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2.35</v>
      </c>
      <c r="AH112">
        <v>2</v>
      </c>
      <c r="AI112">
        <v>55466898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ROW(Source!A107)</f>
        <v>107</v>
      </c>
      <c r="B113">
        <v>55466904</v>
      </c>
      <c r="C113">
        <v>55466894</v>
      </c>
      <c r="D113">
        <v>53630458</v>
      </c>
      <c r="E113">
        <v>70</v>
      </c>
      <c r="F113">
        <v>1</v>
      </c>
      <c r="G113">
        <v>1</v>
      </c>
      <c r="H113">
        <v>3</v>
      </c>
      <c r="I113" t="s">
        <v>359</v>
      </c>
      <c r="K113" t="s">
        <v>360</v>
      </c>
      <c r="L113">
        <v>1301</v>
      </c>
      <c r="N113">
        <v>1003</v>
      </c>
      <c r="O113" t="s">
        <v>361</v>
      </c>
      <c r="P113" t="s">
        <v>361</v>
      </c>
      <c r="Q113">
        <v>1</v>
      </c>
      <c r="X113">
        <v>101.8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G113">
        <v>101.8</v>
      </c>
      <c r="AH113">
        <v>3</v>
      </c>
      <c r="AI113">
        <v>-1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ROW(Source!A108)</f>
        <v>108</v>
      </c>
      <c r="B114">
        <v>55466900</v>
      </c>
      <c r="C114">
        <v>55466894</v>
      </c>
      <c r="D114">
        <v>37822915</v>
      </c>
      <c r="E114">
        <v>70</v>
      </c>
      <c r="F114">
        <v>1</v>
      </c>
      <c r="G114">
        <v>1</v>
      </c>
      <c r="H114">
        <v>1</v>
      </c>
      <c r="I114" t="s">
        <v>344</v>
      </c>
      <c r="K114" t="s">
        <v>345</v>
      </c>
      <c r="L114">
        <v>1191</v>
      </c>
      <c r="N114">
        <v>1013</v>
      </c>
      <c r="O114" t="s">
        <v>292</v>
      </c>
      <c r="P114" t="s">
        <v>292</v>
      </c>
      <c r="Q114">
        <v>1</v>
      </c>
      <c r="X114">
        <v>3.28</v>
      </c>
      <c r="Y114">
        <v>0</v>
      </c>
      <c r="Z114">
        <v>0</v>
      </c>
      <c r="AA114">
        <v>0</v>
      </c>
      <c r="AB114">
        <v>9.62</v>
      </c>
      <c r="AC114">
        <v>0</v>
      </c>
      <c r="AD114">
        <v>1</v>
      </c>
      <c r="AE114">
        <v>1</v>
      </c>
      <c r="AG114">
        <v>3.28</v>
      </c>
      <c r="AH114">
        <v>2</v>
      </c>
      <c r="AI114">
        <v>55466895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ROW(Source!A108)</f>
        <v>108</v>
      </c>
      <c r="B115">
        <v>55466901</v>
      </c>
      <c r="C115">
        <v>55466894</v>
      </c>
      <c r="D115">
        <v>37822850</v>
      </c>
      <c r="E115">
        <v>70</v>
      </c>
      <c r="F115">
        <v>1</v>
      </c>
      <c r="G115">
        <v>1</v>
      </c>
      <c r="H115">
        <v>1</v>
      </c>
      <c r="I115" t="s">
        <v>299</v>
      </c>
      <c r="K115" t="s">
        <v>300</v>
      </c>
      <c r="L115">
        <v>1191</v>
      </c>
      <c r="N115">
        <v>1013</v>
      </c>
      <c r="O115" t="s">
        <v>292</v>
      </c>
      <c r="P115" t="s">
        <v>292</v>
      </c>
      <c r="Q115">
        <v>1</v>
      </c>
      <c r="X115">
        <v>0.35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G115">
        <v>0.35</v>
      </c>
      <c r="AH115">
        <v>2</v>
      </c>
      <c r="AI115">
        <v>55466896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ROW(Source!A108)</f>
        <v>108</v>
      </c>
      <c r="B116">
        <v>55466902</v>
      </c>
      <c r="C116">
        <v>55466894</v>
      </c>
      <c r="D116">
        <v>53792927</v>
      </c>
      <c r="E116">
        <v>1</v>
      </c>
      <c r="F116">
        <v>1</v>
      </c>
      <c r="G116">
        <v>1</v>
      </c>
      <c r="H116">
        <v>2</v>
      </c>
      <c r="I116" t="s">
        <v>325</v>
      </c>
      <c r="J116" t="s">
        <v>326</v>
      </c>
      <c r="K116" t="s">
        <v>327</v>
      </c>
      <c r="L116">
        <v>1367</v>
      </c>
      <c r="N116">
        <v>1011</v>
      </c>
      <c r="O116" t="s">
        <v>304</v>
      </c>
      <c r="P116" t="s">
        <v>304</v>
      </c>
      <c r="Q116">
        <v>1</v>
      </c>
      <c r="X116">
        <v>0.35</v>
      </c>
      <c r="Y116">
        <v>0</v>
      </c>
      <c r="Z116">
        <v>65.71</v>
      </c>
      <c r="AA116">
        <v>11.6</v>
      </c>
      <c r="AB116">
        <v>0</v>
      </c>
      <c r="AC116">
        <v>0</v>
      </c>
      <c r="AD116">
        <v>1</v>
      </c>
      <c r="AE116">
        <v>0</v>
      </c>
      <c r="AG116">
        <v>0.35</v>
      </c>
      <c r="AH116">
        <v>2</v>
      </c>
      <c r="AI116">
        <v>55466897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ROW(Source!A108)</f>
        <v>108</v>
      </c>
      <c r="B117">
        <v>55466903</v>
      </c>
      <c r="C117">
        <v>55466894</v>
      </c>
      <c r="D117">
        <v>53793158</v>
      </c>
      <c r="E117">
        <v>1</v>
      </c>
      <c r="F117">
        <v>1</v>
      </c>
      <c r="G117">
        <v>1</v>
      </c>
      <c r="H117">
        <v>2</v>
      </c>
      <c r="I117" t="s">
        <v>346</v>
      </c>
      <c r="J117" t="s">
        <v>347</v>
      </c>
      <c r="K117" t="s">
        <v>348</v>
      </c>
      <c r="L117">
        <v>1367</v>
      </c>
      <c r="N117">
        <v>1011</v>
      </c>
      <c r="O117" t="s">
        <v>304</v>
      </c>
      <c r="P117" t="s">
        <v>304</v>
      </c>
      <c r="Q117">
        <v>1</v>
      </c>
      <c r="X117">
        <v>2.35</v>
      </c>
      <c r="Y117">
        <v>0</v>
      </c>
      <c r="Z117">
        <v>32.5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2.35</v>
      </c>
      <c r="AH117">
        <v>2</v>
      </c>
      <c r="AI117">
        <v>55466898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ROW(Source!A108)</f>
        <v>108</v>
      </c>
      <c r="B118">
        <v>55466904</v>
      </c>
      <c r="C118">
        <v>55466894</v>
      </c>
      <c r="D118">
        <v>53630458</v>
      </c>
      <c r="E118">
        <v>70</v>
      </c>
      <c r="F118">
        <v>1</v>
      </c>
      <c r="G118">
        <v>1</v>
      </c>
      <c r="H118">
        <v>3</v>
      </c>
      <c r="I118" t="s">
        <v>359</v>
      </c>
      <c r="K118" t="s">
        <v>360</v>
      </c>
      <c r="L118">
        <v>1301</v>
      </c>
      <c r="N118">
        <v>1003</v>
      </c>
      <c r="O118" t="s">
        <v>361</v>
      </c>
      <c r="P118" t="s">
        <v>361</v>
      </c>
      <c r="Q118">
        <v>1</v>
      </c>
      <c r="X118">
        <v>101.8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G118">
        <v>101.8</v>
      </c>
      <c r="AH118">
        <v>3</v>
      </c>
      <c r="AI118">
        <v>-1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ROW(Source!A146)</f>
        <v>146</v>
      </c>
      <c r="B119">
        <v>55458201</v>
      </c>
      <c r="C119">
        <v>55458198</v>
      </c>
      <c r="D119">
        <v>44800161</v>
      </c>
      <c r="E119">
        <v>54</v>
      </c>
      <c r="F119">
        <v>1</v>
      </c>
      <c r="G119">
        <v>1</v>
      </c>
      <c r="H119">
        <v>1</v>
      </c>
      <c r="I119" t="s">
        <v>349</v>
      </c>
      <c r="K119" t="s">
        <v>350</v>
      </c>
      <c r="L119">
        <v>1191</v>
      </c>
      <c r="N119">
        <v>1013</v>
      </c>
      <c r="O119" t="s">
        <v>292</v>
      </c>
      <c r="P119" t="s">
        <v>292</v>
      </c>
      <c r="Q119">
        <v>1</v>
      </c>
      <c r="X119">
        <v>1.03</v>
      </c>
      <c r="Y119">
        <v>0</v>
      </c>
      <c r="Z119">
        <v>0</v>
      </c>
      <c r="AA119">
        <v>0</v>
      </c>
      <c r="AB119">
        <v>7.19</v>
      </c>
      <c r="AC119">
        <v>0</v>
      </c>
      <c r="AD119">
        <v>1</v>
      </c>
      <c r="AE119">
        <v>1</v>
      </c>
      <c r="AG119">
        <v>1.03</v>
      </c>
      <c r="AH119">
        <v>2</v>
      </c>
      <c r="AI119">
        <v>55458199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ROW(Source!A146)</f>
        <v>146</v>
      </c>
      <c r="B120">
        <v>55458202</v>
      </c>
      <c r="C120">
        <v>55458198</v>
      </c>
      <c r="D120">
        <v>44816375</v>
      </c>
      <c r="E120">
        <v>1</v>
      </c>
      <c r="F120">
        <v>1</v>
      </c>
      <c r="G120">
        <v>1</v>
      </c>
      <c r="H120">
        <v>3</v>
      </c>
      <c r="I120" t="s">
        <v>351</v>
      </c>
      <c r="J120" t="s">
        <v>352</v>
      </c>
      <c r="K120" t="s">
        <v>353</v>
      </c>
      <c r="L120">
        <v>1425</v>
      </c>
      <c r="N120">
        <v>1013</v>
      </c>
      <c r="O120" t="s">
        <v>354</v>
      </c>
      <c r="P120" t="s">
        <v>354</v>
      </c>
      <c r="Q120">
        <v>1</v>
      </c>
      <c r="X120">
        <v>0.2</v>
      </c>
      <c r="Y120">
        <v>82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0.2</v>
      </c>
      <c r="AH120">
        <v>2</v>
      </c>
      <c r="AI120">
        <v>55458200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ROW(Source!A147)</f>
        <v>147</v>
      </c>
      <c r="B121">
        <v>55458201</v>
      </c>
      <c r="C121">
        <v>55458198</v>
      </c>
      <c r="D121">
        <v>44800161</v>
      </c>
      <c r="E121">
        <v>54</v>
      </c>
      <c r="F121">
        <v>1</v>
      </c>
      <c r="G121">
        <v>1</v>
      </c>
      <c r="H121">
        <v>1</v>
      </c>
      <c r="I121" t="s">
        <v>349</v>
      </c>
      <c r="K121" t="s">
        <v>350</v>
      </c>
      <c r="L121">
        <v>1191</v>
      </c>
      <c r="N121">
        <v>1013</v>
      </c>
      <c r="O121" t="s">
        <v>292</v>
      </c>
      <c r="P121" t="s">
        <v>292</v>
      </c>
      <c r="Q121">
        <v>1</v>
      </c>
      <c r="X121">
        <v>1.03</v>
      </c>
      <c r="Y121">
        <v>0</v>
      </c>
      <c r="Z121">
        <v>0</v>
      </c>
      <c r="AA121">
        <v>0</v>
      </c>
      <c r="AB121">
        <v>7.19</v>
      </c>
      <c r="AC121">
        <v>0</v>
      </c>
      <c r="AD121">
        <v>1</v>
      </c>
      <c r="AE121">
        <v>1</v>
      </c>
      <c r="AG121">
        <v>1.03</v>
      </c>
      <c r="AH121">
        <v>2</v>
      </c>
      <c r="AI121">
        <v>55458199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ROW(Source!A147)</f>
        <v>147</v>
      </c>
      <c r="B122">
        <v>55458202</v>
      </c>
      <c r="C122">
        <v>55458198</v>
      </c>
      <c r="D122">
        <v>44816375</v>
      </c>
      <c r="E122">
        <v>1</v>
      </c>
      <c r="F122">
        <v>1</v>
      </c>
      <c r="G122">
        <v>1</v>
      </c>
      <c r="H122">
        <v>3</v>
      </c>
      <c r="I122" t="s">
        <v>351</v>
      </c>
      <c r="J122" t="s">
        <v>352</v>
      </c>
      <c r="K122" t="s">
        <v>353</v>
      </c>
      <c r="L122">
        <v>1425</v>
      </c>
      <c r="N122">
        <v>1013</v>
      </c>
      <c r="O122" t="s">
        <v>354</v>
      </c>
      <c r="P122" t="s">
        <v>354</v>
      </c>
      <c r="Q122">
        <v>1</v>
      </c>
      <c r="X122">
        <v>0.2</v>
      </c>
      <c r="Y122">
        <v>82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0.2</v>
      </c>
      <c r="AH122">
        <v>2</v>
      </c>
      <c r="AI122">
        <v>55458200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2023-04-19T07:45:05Z</cp:lastPrinted>
  <dcterms:created xsi:type="dcterms:W3CDTF">2023-04-18T14:53:35Z</dcterms:created>
  <dcterms:modified xsi:type="dcterms:W3CDTF">2023-05-18T14:16:04Z</dcterms:modified>
  <cp:category/>
  <cp:version/>
  <cp:contentType/>
  <cp:contentStatus/>
</cp:coreProperties>
</file>