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Смета для ТЕР МО 421пр (12" sheetId="1" r:id="rId1"/>
    <sheet name="Ведомость объемов работ" sheetId="2" r:id="rId2"/>
    <sheet name="Дефектная ведомость" sheetId="3" r:id="rId3"/>
    <sheet name="Source" sheetId="4" r:id="rId4"/>
    <sheet name="SourceObSm" sheetId="5" r:id="rId5"/>
    <sheet name="SmtRes" sheetId="6" r:id="rId6"/>
    <sheet name="EtalonRes" sheetId="7" r:id="rId7"/>
  </sheets>
  <definedNames>
    <definedName name="_xlnm.Print_Titles" localSheetId="1">'Ведомость объемов работ'!$17:$17</definedName>
    <definedName name="_xlnm.Print_Titles" localSheetId="2">'Дефектная ведомость'!$18:$18</definedName>
    <definedName name="_xlnm.Print_Titles" localSheetId="0">'Смета для ТЕР МО 421пр (12'!$46:$46</definedName>
    <definedName name="_xlnm.Print_Area" localSheetId="1">'Ведомость объемов работ'!$A$1:$H$35</definedName>
    <definedName name="_xlnm.Print_Area" localSheetId="2">'Дефектная ведомость'!$A$1:$E$36</definedName>
    <definedName name="_xlnm.Print_Area" localSheetId="0">'Смета для ТЕР МО 421пр (12'!$A$1:$L$144</definedName>
  </definedNames>
  <calcPr fullCalcOnLoad="1"/>
</workbook>
</file>

<file path=xl/sharedStrings.xml><?xml version="1.0" encoding="utf-8"?>
<sst xmlns="http://schemas.openxmlformats.org/spreadsheetml/2006/main" count="2244" uniqueCount="354">
  <si>
    <t>Smeta.RU  (495) 974-1589</t>
  </si>
  <si>
    <t>_PS_</t>
  </si>
  <si>
    <t>Smeta.RU</t>
  </si>
  <si>
    <t/>
  </si>
  <si>
    <t>Выполнение работ по замене стеклопакетов в строениях ИПУ РАН</t>
  </si>
  <si>
    <t>Степанова А.М.</t>
  </si>
  <si>
    <t>Вед.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</si>
  <si>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</si>
  <si>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</si>
  <si>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</si>
  <si>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</si>
  <si>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</si>
  <si>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</si>
  <si>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</si>
  <si>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И8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</si>
  <si>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</si>
  <si>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</si>
  <si>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</si>
  <si>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</si>
  <si>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вед.инженер по эксплуатации и ремонту</t>
  </si>
  <si>
    <t>Киселев В.А.</t>
  </si>
  <si>
    <t>Главный механик</t>
  </si>
  <si>
    <t>Корниенко С.В.</t>
  </si>
  <si>
    <t>Зам. директора по развитию и информатизации</t>
  </si>
  <si>
    <t>Новый раздел</t>
  </si>
  <si>
    <t>Замена стекол на стеклопакеты</t>
  </si>
  <si>
    <t>1</t>
  </si>
  <si>
    <t>63-25-4</t>
  </si>
  <si>
    <t>Смена разбитых стекол на стеклопакеты на эластичной прокладке в металлических переплетах при площади стекла: свыше 3 до 5 м2 (Применительно)</t>
  </si>
  <si>
    <t>100 м2</t>
  </si>
  <si>
    <t>ФЕРр-2001 доп.8, 63-25-4, приказ Минстроя России № 746/пр от 14.10.2021</t>
  </si>
  <si>
    <t>Ремонтно-строительные работы</t>
  </si>
  <si>
    <t>Стекольные, обойные и облицовочные работы</t>
  </si>
  <si>
    <t>Стекольные, обойные, облицовочные работы</t>
  </si>
  <si>
    <t>рФЕР-63</t>
  </si>
  <si>
    <t>Пр/812-097.0-1</t>
  </si>
  <si>
    <t>Пр/774-097.0</t>
  </si>
  <si>
    <t>1,1</t>
  </si>
  <si>
    <t>ТЦ_23.12.13.390.59_77_7716770966_05022024_01</t>
  </si>
  <si>
    <t>Стеклопакет (однокамерный, М6, закаленное, толщина 6мм, тодщина газозаполнения 18 мм, общая толщина стеклопакета 30 мм)</t>
  </si>
  <si>
    <t>М 2</t>
  </si>
  <si>
    <t>занесена вручную</t>
  </si>
  <si>
    <t>1,2</t>
  </si>
  <si>
    <t>ТЦ_22.19.73.116_77_7716770966_05022024_01</t>
  </si>
  <si>
    <t>Эластичные прокладки типа</t>
  </si>
  <si>
    <t>м</t>
  </si>
  <si>
    <t>1,3</t>
  </si>
  <si>
    <t>ТЦ_20.30.22.170_77_7716770966_05022024_01</t>
  </si>
  <si>
    <t>Герметик типа</t>
  </si>
  <si>
    <t>кг</t>
  </si>
  <si>
    <t>1,4</t>
  </si>
  <si>
    <t>999-9900</t>
  </si>
  <si>
    <t>Строительный мусор</t>
  </si>
  <si>
    <t>т</t>
  </si>
  <si>
    <t>1,5</t>
  </si>
  <si>
    <t>14.5.02.02-0105</t>
  </si>
  <si>
    <t>Замазка суриковая</t>
  </si>
  <si>
    <t>ФССЦ-2001, 14.5.02.02-0105,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</si>
  <si>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</si>
  <si>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</si>
  <si>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</si>
  <si>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</si>
  <si>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</si>
  <si>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</si>
  <si>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</si>
  <si>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</si>
  <si>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</si>
  <si>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</si>
  <si>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</si>
  <si>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</si>
  <si>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</si>
  <si>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</si>
  <si>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</si>
  <si>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</si>
  <si>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</si>
  <si>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</si>
  <si>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</si>
  <si>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</si>
  <si>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</si>
  <si>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</si>
  <si>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</si>
  <si>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</si>
  <si>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</si>
  <si>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</si>
  <si>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</si>
  <si>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</si>
  <si>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</si>
  <si>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</si>
  <si>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</si>
  <si>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</si>
  <si>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</si>
  <si>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</si>
  <si>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</si>
  <si>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</si>
  <si>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</si>
  <si>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</si>
  <si>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</si>
  <si>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</si>
  <si>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</si>
  <si>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</si>
  <si>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</si>
  <si>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</si>
  <si>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</si>
  <si>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</si>
  <si>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</si>
  <si>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</si>
  <si>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</si>
  <si>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</si>
  <si>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</si>
  <si>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</si>
  <si>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</si>
  <si>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</si>
  <si>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</si>
  <si>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</si>
  <si>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</si>
  <si>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2</t>
  </si>
  <si>
    <t>69-9-1</t>
  </si>
  <si>
    <t>Очистка от строительного мусора (Применительно)</t>
  </si>
  <si>
    <t>100 т</t>
  </si>
  <si>
    <t>ФЕРр-2001, 69-9-1, приказ Минстроя России № 876/пр от 26.12.2019</t>
  </si>
  <si>
    <t>Прочие ремонтно-строительные работы</t>
  </si>
  <si>
    <t>рФЕР-69</t>
  </si>
  <si>
    <t>Пр/812-103.0-1</t>
  </si>
  <si>
    <t>Пр/774-103.0</t>
  </si>
  <si>
    <t>2,1</t>
  </si>
  <si>
    <t>01.7.07.07</t>
  </si>
  <si>
    <t>3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</si>
  <si>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</si>
  <si>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</si>
  <si>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</si>
  <si>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</si>
  <si>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</si>
  <si>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</si>
  <si>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4</t>
  </si>
  <si>
    <t>т03-02-01-050</t>
  </si>
  <si>
    <t>Перевозка грузов I класса автомобилями бортовыми грузоподъемностью до 5 т на расстояние: до 50 км</t>
  </si>
  <si>
    <t>ФССЦпг-2001, т03-02-01-050,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</si>
  <si>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</si>
  <si>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</si>
  <si>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</si>
  <si>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по разделу</t>
  </si>
  <si>
    <t>НДС</t>
  </si>
  <si>
    <t>НДС20%</t>
  </si>
  <si>
    <t>итог2</t>
  </si>
  <si>
    <t>Всего по смете</t>
  </si>
  <si>
    <t>Итого</t>
  </si>
  <si>
    <t>НДС 20%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</si>
  <si>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</si>
  <si>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</si>
  <si>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</si>
  <si>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</si>
  <si>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</si>
  <si>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</si>
  <si>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</si>
  <si>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</si>
  <si>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</si>
  <si>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</si>
  <si>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</si>
  <si>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</si>
  <si>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</si>
  <si>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</si>
  <si>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</si>
  <si>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</si>
  <si>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</si>
  <si>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</si>
  <si>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</si>
  <si>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</si>
  <si>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</si>
  <si>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</si>
  <si>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</si>
  <si>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</si>
  <si>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</si>
  <si>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</si>
  <si>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</si>
  <si>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</si>
  <si>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</si>
  <si>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</si>
  <si>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</si>
  <si>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</si>
  <si>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</si>
  <si>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</si>
  <si>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</si>
  <si>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</si>
  <si>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</si>
  <si>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</si>
  <si>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</si>
  <si>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</si>
  <si>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</si>
  <si>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</si>
  <si>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</si>
  <si>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</si>
  <si>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</si>
  <si>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</si>
  <si>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</si>
  <si>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</si>
  <si>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</si>
  <si>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</si>
  <si>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</si>
  <si>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</si>
  <si>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</si>
  <si>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</si>
  <si>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</si>
  <si>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</si>
  <si>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</si>
  <si>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</si>
  <si>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</si>
  <si>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</si>
  <si>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</si>
  <si>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</si>
  <si>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</si>
  <si>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</si>
  <si>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</si>
  <si>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</si>
  <si>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</si>
  <si>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</si>
  <si>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</si>
  <si>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Текущий уровень цен</t>
  </si>
  <si>
    <t>Индексы за итогом</t>
  </si>
  <si>
    <t>_OBSM_</t>
  </si>
  <si>
    <t>1-100-33</t>
  </si>
  <si>
    <t>Затраты труда рабочих (Средний разряд - 3,3)</t>
  </si>
  <si>
    <t>чел.-ч.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</si>
  <si>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</si>
  <si>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</si>
  <si>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</si>
  <si>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</si>
  <si>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</si>
  <si>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</si>
  <si>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</si>
  <si>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</si>
  <si>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</si>
  <si>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01.7.20.08-0051</t>
  </si>
  <si>
    <t>ФССЦ-2001, 01.7.20.08-0051, приказ Минстроя России № 876/пр от 26.12.2019</t>
  </si>
  <si>
    <t>Ветошь</t>
  </si>
  <si>
    <t>1-100-11</t>
  </si>
  <si>
    <t>Рабочий среднего разряда 1.1</t>
  </si>
  <si>
    <t>1-1010</t>
  </si>
  <si>
    <t>Рабочий строитель среднего разряда 1</t>
  </si>
  <si>
    <t>чел.-ч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</si>
  <si>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</si>
  <si>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</si>
  <si>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</si>
  <si>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маш.-ч</t>
  </si>
  <si>
    <t>01.7.19.04-0031</t>
  </si>
  <si>
    <t>ФССЦ-2001, 01.7.19.04-0031, приказ Минстроя России № 876/пр от 26.12.2019</t>
  </si>
  <si>
    <t>Прокладки резиновые (пластина техническая прессованная)</t>
  </si>
  <si>
    <t>01.8.02.03</t>
  </si>
  <si>
    <t>Стекло витринное (полированное)</t>
  </si>
  <si>
    <t>м2</t>
  </si>
  <si>
    <t>09.4.03.11</t>
  </si>
  <si>
    <t>Нащельники и детали обрамления из алюминиевых сплавов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</si>
  <si>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</si>
  <si>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"СОГЛАСОВАНО"</t>
  </si>
  <si>
    <t>"УТВЕРЖДАЮ"</t>
  </si>
  <si>
    <t>"_____"________________ 2024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</si>
  <si>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</si>
  <si>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</si>
  <si>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</si>
  <si>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</si>
  <si>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</si>
  <si>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</si>
  <si>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</si>
  <si>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</si>
  <si>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</si>
  <si>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</si>
  <si>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</si>
  <si>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</si>
  <si>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</si>
  <si>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</si>
  <si>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</si>
  <si>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</si>
  <si>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</si>
  <si>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</si>
  <si>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</si>
  <si>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</si>
  <si>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</si>
  <si>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</si>
  <si>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</si>
  <si>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</si>
  <si>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</si>
  <si>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</si>
  <si>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</si>
  <si>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</si>
  <si>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</si>
  <si>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</si>
  <si>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</si>
  <si>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</si>
  <si>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</si>
  <si>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</si>
  <si>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</si>
  <si>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</si>
  <si>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IV квартал 2023 года (1.01.2000)</t>
  </si>
  <si>
    <t>Раздел: Замена стекол на стеклопакеты</t>
  </si>
  <si>
    <t>ФЕРр 63-25-4</t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</si>
  <si>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</si>
  <si>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</si>
  <si>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</si>
  <si>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</si>
  <si>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</si>
  <si>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</si>
  <si>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</si>
  <si>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</si>
  <si>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ФССЦ 14.5.02.02-0105</t>
  </si>
  <si>
    <t>ФОТ</t>
  </si>
  <si>
    <t>НР Стекольные, обойные, облицовочные работы</t>
  </si>
  <si>
    <t>%</t>
  </si>
  <si>
    <t>СП Стекольные, обойные, облицовочные работы</t>
  </si>
  <si>
    <t>Всего по позиции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</si>
  <si>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</si>
  <si>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</si>
  <si>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</si>
  <si>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</si>
  <si>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</si>
  <si>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</si>
  <si>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</si>
  <si>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</si>
  <si>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</si>
  <si>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</si>
  <si>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</si>
  <si>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</si>
  <si>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</si>
  <si>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</si>
  <si>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</si>
  <si>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Разные работы</t>
  </si>
  <si>
    <t>ФЕРр 69-9-1</t>
  </si>
  <si>
    <t>НР Прочие ремонтно-строительные работы</t>
  </si>
  <si>
    <t>СП Прочие ремонтно-строительные работы</t>
  </si>
  <si>
    <t>ФССЦ 01-01-01-041</t>
  </si>
  <si>
    <t>ФССЦ 03-02-01-050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</si>
  <si>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</si>
  <si>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</si>
  <si>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</si>
  <si>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</si>
  <si>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</si>
  <si>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</si>
  <si>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</si>
  <si>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>ВСЕГО с НДС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</si>
  <si>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</si>
  <si>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</si>
  <si>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</si>
  <si>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</si>
  <si>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</si>
  <si>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</si>
  <si>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</si>
  <si>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</si>
  <si>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</si>
  <si>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</si>
  <si>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</si>
  <si>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</si>
  <si>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</si>
  <si>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</si>
  <si>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</si>
  <si>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</si>
  <si>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>Приложение № 1 к Техническому заданию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</si>
</sst>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17" fillId="0" borderId="14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43"/>
  <sheetViews>
    <sheetView tabSelected="1" zoomScalePageLayoutView="0" workbookViewId="0" topLeftCell="A52">
      <selection activeCell="K61" sqref="K61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spans="1:12" ht="16.5">
      <c r="A1" s="12" t="str">
        <f>Source!B1</f>
        <v>Smeta.RU  (495) 974-1589</v>
      </c>
      <c r="H1" s="131" t="s">
        <v>353</v>
      </c>
      <c r="I1" s="131"/>
      <c r="J1" s="131"/>
      <c r="K1" s="131"/>
      <c r="L1" s="131"/>
    </row>
    <row r="2" spans="1:12" ht="16.5">
      <c r="A2" s="12"/>
      <c r="H2" s="101"/>
      <c r="I2" s="101"/>
      <c r="J2" s="101"/>
      <c r="K2" s="101"/>
      <c r="L2" s="101"/>
    </row>
    <row r="4" spans="1:12" ht="16.5">
      <c r="A4" s="13"/>
      <c r="B4" s="132" t="s">
        <v>252</v>
      </c>
      <c r="C4" s="132"/>
      <c r="D4" s="132"/>
      <c r="E4" s="132"/>
      <c r="F4" s="14"/>
      <c r="G4" s="14"/>
      <c r="H4" s="132" t="s">
        <v>253</v>
      </c>
      <c r="I4" s="132"/>
      <c r="J4" s="132"/>
      <c r="K4" s="132"/>
      <c r="L4" s="132"/>
    </row>
    <row r="5" spans="1:12" ht="14.25">
      <c r="A5" s="14"/>
      <c r="B5" s="109"/>
      <c r="C5" s="109"/>
      <c r="D5" s="109"/>
      <c r="E5" s="109"/>
      <c r="F5" s="14"/>
      <c r="G5" s="14"/>
      <c r="H5" s="109" t="s">
        <v>255</v>
      </c>
      <c r="I5" s="109"/>
      <c r="J5" s="109"/>
      <c r="K5" s="109"/>
      <c r="L5" s="109"/>
    </row>
    <row r="6" spans="1:12" ht="14.25">
      <c r="A6" s="15"/>
      <c r="B6" s="15"/>
      <c r="C6" s="16"/>
      <c r="D6" s="16"/>
      <c r="E6" s="16"/>
      <c r="F6" s="14"/>
      <c r="G6" s="14"/>
      <c r="H6" s="17"/>
      <c r="I6" s="16"/>
      <c r="J6" s="16"/>
      <c r="K6" s="16"/>
      <c r="L6" s="17"/>
    </row>
    <row r="7" spans="1:12" ht="14.25">
      <c r="A7" s="17"/>
      <c r="B7" s="109" t="str">
        <f>CONCATENATE("______________________ ",IF(Source!AL12&lt;&gt;"",Source!AL12,""))</f>
        <v>______________________ </v>
      </c>
      <c r="C7" s="109"/>
      <c r="D7" s="109"/>
      <c r="E7" s="109"/>
      <c r="F7" s="14"/>
      <c r="G7" s="14"/>
      <c r="H7" s="109" t="str">
        <f>CONCATENATE("______________________ ",IF(Source!AH12&lt;&gt;"",Source!AH12,""))</f>
        <v>______________________ Муравьев К.В.</v>
      </c>
      <c r="I7" s="109"/>
      <c r="J7" s="109"/>
      <c r="K7" s="109"/>
      <c r="L7" s="109"/>
    </row>
    <row r="8" spans="1:12" ht="14.25">
      <c r="A8" s="18"/>
      <c r="B8" s="133" t="s">
        <v>254</v>
      </c>
      <c r="C8" s="133"/>
      <c r="D8" s="133"/>
      <c r="E8" s="133"/>
      <c r="F8" s="14"/>
      <c r="G8" s="14"/>
      <c r="H8" s="133" t="s">
        <v>254</v>
      </c>
      <c r="I8" s="133"/>
      <c r="J8" s="133"/>
      <c r="K8" s="133"/>
      <c r="L8" s="133"/>
    </row>
    <row r="11" spans="1:94" ht="38.25">
      <c r="A11" s="134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CP11" s="75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2" spans="1:11" ht="12.75">
      <c r="A12" s="11"/>
      <c r="B12" s="11"/>
      <c r="D12" s="19"/>
      <c r="E12" s="19"/>
      <c r="F12" s="19"/>
      <c r="G12" s="19"/>
      <c r="H12" s="19"/>
      <c r="I12" s="19"/>
      <c r="J12" s="19"/>
      <c r="K12" s="19"/>
    </row>
    <row r="13" spans="1:11" ht="12.75">
      <c r="A13" s="134" t="s">
        <v>289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5" spans="1:12" ht="15.75">
      <c r="A15" s="18"/>
      <c r="B15" s="124" t="s">
        <v>11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8"/>
    </row>
    <row r="16" spans="1:12" ht="14.25">
      <c r="A16" s="20"/>
      <c r="B16" s="125" t="s">
        <v>256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14"/>
      <c r="B18" s="124" t="str">
        <f>IF(Source!G12&lt;&gt;"Новый объект",Source!G12,"")</f>
        <v>Выполнение работ по замене стеклопакетов в строениях ИПУ РАН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4"/>
    </row>
    <row r="19" spans="1:12" ht="14.25">
      <c r="A19" s="14"/>
      <c r="B19" s="125" t="s">
        <v>257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26" t="str">
        <f>CONCATENATE("ЛОКАЛЬНАЯ СМЕТА № ",Source!F20," ",Source!CM20)</f>
        <v>ЛОКАЛЬНАЯ СМЕТА №  </v>
      </c>
      <c r="C21" s="126"/>
      <c r="D21" s="126"/>
      <c r="E21" s="126"/>
      <c r="F21" s="126"/>
      <c r="G21" s="126"/>
      <c r="H21" s="126"/>
      <c r="I21" s="126"/>
      <c r="J21" s="126"/>
      <c r="K21" s="126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27">
        <f>IF(Source!G20&lt;&gt;"Новая локальная смета",Source!G20,"")</f>
      </c>
      <c r="C23" s="127"/>
      <c r="D23" s="127"/>
      <c r="E23" s="127"/>
      <c r="F23" s="127"/>
      <c r="G23" s="127"/>
      <c r="H23" s="127"/>
      <c r="I23" s="127"/>
      <c r="J23" s="127"/>
      <c r="K23" s="127"/>
      <c r="L23" s="24"/>
    </row>
    <row r="24" spans="1:12" ht="14.25">
      <c r="A24" s="14"/>
      <c r="B24" s="125" t="s">
        <v>258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259</v>
      </c>
      <c r="B27" s="11"/>
      <c r="C27" s="25" t="s">
        <v>290</v>
      </c>
      <c r="D27" s="11" t="s">
        <v>260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261</v>
      </c>
      <c r="B29" s="11"/>
      <c r="C29" s="128"/>
      <c r="D29" s="128"/>
      <c r="E29" s="128"/>
      <c r="F29" s="128"/>
      <c r="G29" s="128"/>
      <c r="H29" s="11"/>
      <c r="I29" s="11"/>
      <c r="J29" s="11"/>
      <c r="K29" s="11"/>
      <c r="L29" s="26"/>
    </row>
    <row r="30" spans="1:12" ht="12.75">
      <c r="A30" s="27"/>
      <c r="B30" s="28"/>
      <c r="C30" s="129" t="s">
        <v>262</v>
      </c>
      <c r="D30" s="129"/>
      <c r="E30" s="129"/>
      <c r="F30" s="129"/>
      <c r="G30" s="129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291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263</v>
      </c>
      <c r="B34" s="14"/>
      <c r="C34" s="49">
        <f>C37+C38+C39+C40</f>
        <v>1232.88</v>
      </c>
      <c r="D34" s="122">
        <f>D37+D38+D39+D40</f>
        <v>1086.31</v>
      </c>
      <c r="E34" s="130"/>
      <c r="F34" s="33" t="s">
        <v>264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0"/>
      <c r="E35" s="34"/>
      <c r="F35" s="33"/>
      <c r="G35" s="33" t="s">
        <v>265</v>
      </c>
      <c r="H35" s="34"/>
      <c r="I35" s="34"/>
      <c r="J35" s="34"/>
      <c r="K35" s="14"/>
      <c r="L35" s="14"/>
    </row>
    <row r="36" spans="1:12" ht="14.25">
      <c r="A36" s="14"/>
      <c r="B36" s="35" t="s">
        <v>266</v>
      </c>
      <c r="C36" s="44"/>
      <c r="D36" s="50"/>
      <c r="E36" s="36"/>
      <c r="F36" s="33"/>
      <c r="G36" s="33" t="s">
        <v>267</v>
      </c>
      <c r="H36" s="34" t="s">
        <v>268</v>
      </c>
      <c r="I36" s="37">
        <f>ROUND(SUM(U47:U136)/1000,2)</f>
        <v>63.31</v>
      </c>
      <c r="J36" s="37">
        <f>ROUND((SUM(Q47:Q136))/1000,2)</f>
        <v>1.64</v>
      </c>
      <c r="K36" s="11" t="s">
        <v>264</v>
      </c>
      <c r="L36" s="14"/>
    </row>
    <row r="37" spans="1:12" ht="14.25">
      <c r="A37" s="14"/>
      <c r="B37" s="30" t="s">
        <v>269</v>
      </c>
      <c r="C37" s="49">
        <f>ROUND((Source!P133)/1000,2)</f>
        <v>1232.88</v>
      </c>
      <c r="D37" s="122">
        <f>ROUND((SUM(AN47:AN136)+SUM(AR47:AR136))/1000,2)</f>
        <v>1086.31</v>
      </c>
      <c r="E37" s="130"/>
      <c r="F37" s="33" t="s">
        <v>264</v>
      </c>
      <c r="G37" s="33" t="s">
        <v>270</v>
      </c>
      <c r="H37" s="34"/>
      <c r="I37" s="33"/>
      <c r="J37" s="51">
        <f>Source!P138</f>
        <v>185.5115</v>
      </c>
      <c r="K37" s="11" t="s">
        <v>221</v>
      </c>
      <c r="L37" s="14"/>
    </row>
    <row r="38" spans="1:12" ht="14.25">
      <c r="A38" s="14"/>
      <c r="B38" s="30" t="s">
        <v>271</v>
      </c>
      <c r="C38" s="49">
        <f>ROUND((Source!P134)/1000,2)</f>
        <v>0</v>
      </c>
      <c r="D38" s="122">
        <f>ROUND((SUM(AX47:AX136)+SUM(BB47:BB136))/1000,2)</f>
        <v>0</v>
      </c>
      <c r="E38" s="130"/>
      <c r="F38" s="33" t="s">
        <v>264</v>
      </c>
      <c r="G38" s="33" t="s">
        <v>272</v>
      </c>
      <c r="H38" s="34"/>
      <c r="I38" s="33"/>
      <c r="J38" s="51">
        <f>Source!P139</f>
        <v>0.41925</v>
      </c>
      <c r="K38" s="11" t="s">
        <v>221</v>
      </c>
      <c r="L38" s="14"/>
    </row>
    <row r="39" spans="1:12" ht="14.25">
      <c r="A39" s="14"/>
      <c r="B39" s="30" t="s">
        <v>273</v>
      </c>
      <c r="C39" s="49">
        <f>ROUND((Source!P125)/1000,2)</f>
        <v>0</v>
      </c>
      <c r="D39" s="122">
        <f>ROUND((SUM(BH47:BH136)+SUM(BI47:BI136))/1000,2)</f>
        <v>0</v>
      </c>
      <c r="E39" s="130"/>
      <c r="F39" s="33" t="s">
        <v>264</v>
      </c>
      <c r="G39" s="33" t="s">
        <v>274</v>
      </c>
      <c r="H39" s="34"/>
      <c r="I39" s="33"/>
      <c r="J39" s="38"/>
      <c r="K39" s="14"/>
      <c r="L39" s="14"/>
    </row>
    <row r="40" spans="1:12" ht="14.25">
      <c r="A40" s="14"/>
      <c r="B40" s="30" t="s">
        <v>275</v>
      </c>
      <c r="C40" s="49">
        <f>ROUND((Source!P135+Source!P136)/1000,2)</f>
        <v>0</v>
      </c>
      <c r="D40" s="122">
        <f>ROUND((SUM(BM47:BM136)+SUM(BN47:BN136)+SUM(BO47:BO136)+SUM(BP47:BP136))/1000,2)</f>
        <v>0</v>
      </c>
      <c r="E40" s="123"/>
      <c r="F40" s="33" t="s">
        <v>264</v>
      </c>
      <c r="G40" s="33" t="s">
        <v>276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10" t="s">
        <v>277</v>
      </c>
      <c r="B42" s="110" t="s">
        <v>278</v>
      </c>
      <c r="C42" s="110" t="s">
        <v>279</v>
      </c>
      <c r="D42" s="110" t="s">
        <v>280</v>
      </c>
      <c r="E42" s="113" t="s">
        <v>281</v>
      </c>
      <c r="F42" s="114"/>
      <c r="G42" s="115"/>
      <c r="H42" s="113" t="s">
        <v>282</v>
      </c>
      <c r="I42" s="114"/>
      <c r="J42" s="115"/>
      <c r="K42" s="110" t="s">
        <v>283</v>
      </c>
      <c r="L42" s="110" t="s">
        <v>284</v>
      </c>
    </row>
    <row r="43" spans="1:12" ht="12.75">
      <c r="A43" s="111"/>
      <c r="B43" s="111"/>
      <c r="C43" s="111"/>
      <c r="D43" s="111"/>
      <c r="E43" s="116"/>
      <c r="F43" s="117"/>
      <c r="G43" s="118"/>
      <c r="H43" s="116"/>
      <c r="I43" s="117"/>
      <c r="J43" s="118"/>
      <c r="K43" s="111"/>
      <c r="L43" s="111"/>
    </row>
    <row r="44" spans="1:12" ht="12.75">
      <c r="A44" s="111"/>
      <c r="B44" s="111"/>
      <c r="C44" s="111"/>
      <c r="D44" s="111"/>
      <c r="E44" s="119"/>
      <c r="F44" s="120"/>
      <c r="G44" s="121"/>
      <c r="H44" s="119"/>
      <c r="I44" s="120"/>
      <c r="J44" s="121"/>
      <c r="K44" s="111"/>
      <c r="L44" s="111"/>
    </row>
    <row r="45" spans="1:12" ht="25.5">
      <c r="A45" s="112"/>
      <c r="B45" s="112"/>
      <c r="C45" s="112"/>
      <c r="D45" s="112"/>
      <c r="E45" s="40" t="s">
        <v>285</v>
      </c>
      <c r="F45" s="40" t="s">
        <v>286</v>
      </c>
      <c r="G45" s="40" t="s">
        <v>287</v>
      </c>
      <c r="H45" s="40" t="s">
        <v>285</v>
      </c>
      <c r="I45" s="40" t="s">
        <v>286</v>
      </c>
      <c r="J45" s="40" t="s">
        <v>288</v>
      </c>
      <c r="K45" s="112"/>
      <c r="L45" s="112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07" t="s">
        <v>292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56" ht="71.25">
      <c r="A49" s="72">
        <v>1</v>
      </c>
      <c r="B49" s="72" t="s">
        <v>293</v>
      </c>
      <c r="C49" s="72" t="str">
        <f>Source!G29</f>
        <v>Смена разбитых стекол на стеклопакеты на эластичной прокладке в металлических переплетах при площади стекла: свыше 3 до 5 м2 (Применительно)</v>
      </c>
      <c r="D49" s="53" t="str">
        <f>Source!DW29</f>
        <v>100 м2</v>
      </c>
      <c r="E49" s="54">
        <f>Source!K29</f>
        <v>0.8385</v>
      </c>
      <c r="F49" s="54"/>
      <c r="G49" s="54">
        <f>Source!I29</f>
        <v>0.8385</v>
      </c>
      <c r="H49" s="55"/>
      <c r="I49" s="56"/>
      <c r="J49" s="55"/>
      <c r="K49" s="56"/>
      <c r="L49" s="55"/>
      <c r="AG49">
        <f>ROUND((Source!AT29/100)*((ROUND(Source!AF29*Source!I29,2)+ROUND(Source!AE29*Source!I29,2))),2)</f>
        <v>1469.03</v>
      </c>
      <c r="AH49">
        <f>Source!X29</f>
        <v>56689.36</v>
      </c>
      <c r="AI49">
        <f>ROUND((Source!AU29/100)*((ROUND(Source!AF29*Source!I29,2)+ROUND(Source!AE29*Source!I29,2))),2)</f>
        <v>734.51</v>
      </c>
      <c r="AJ49">
        <f>Source!Y29</f>
        <v>28344.68</v>
      </c>
      <c r="AS49">
        <f>IF(Source!BI29&lt;=1,AH49,0)</f>
        <v>56689.36</v>
      </c>
      <c r="AT49">
        <f>IF(Source!BI29&lt;=1,AJ49,0)</f>
        <v>28344.68</v>
      </c>
      <c r="BC49">
        <f>IF(Source!BI29=2,AH49,0)</f>
        <v>0</v>
      </c>
      <c r="BD49">
        <f>IF(Source!BI29=2,AJ49,0)</f>
        <v>0</v>
      </c>
    </row>
    <row r="51" ht="12.75">
      <c r="C51" s="45" t="str">
        <f>"Объем: "&amp;Source!K29&amp;"=83,85/"&amp;"100"</f>
        <v>Объем: 0,8385=83,85/100</v>
      </c>
    </row>
    <row r="52" spans="1:12" ht="14.25">
      <c r="A52" s="72"/>
      <c r="B52" s="73">
        <v>1</v>
      </c>
      <c r="C52" s="72" t="s">
        <v>294</v>
      </c>
      <c r="D52" s="53"/>
      <c r="E52" s="54"/>
      <c r="F52" s="54"/>
      <c r="G52" s="54"/>
      <c r="H52" s="55">
        <f>Source!AO29</f>
        <v>1940.34</v>
      </c>
      <c r="I52" s="56"/>
      <c r="J52" s="55">
        <f>ROUND(Source!AF29*Source!I29,2)</f>
        <v>1626.98</v>
      </c>
      <c r="K52" s="56">
        <f>IF(Source!BA29&lt;&gt;0,Source!BA29,1)</f>
        <v>38.59</v>
      </c>
      <c r="L52" s="55">
        <f>Source!S29</f>
        <v>62784.97</v>
      </c>
    </row>
    <row r="53" spans="1:12" ht="14.25">
      <c r="A53" s="72"/>
      <c r="B53" s="73">
        <v>3</v>
      </c>
      <c r="C53" s="72" t="s">
        <v>295</v>
      </c>
      <c r="D53" s="53"/>
      <c r="E53" s="54"/>
      <c r="F53" s="54"/>
      <c r="G53" s="54"/>
      <c r="H53" s="55">
        <f>Source!AM29</f>
        <v>24.25</v>
      </c>
      <c r="I53" s="56"/>
      <c r="J53" s="55">
        <f>ROUND((((Source!ET29)-(Source!EU29))+Source!AE29)*Source!I29,2)</f>
        <v>20.33</v>
      </c>
      <c r="K53" s="56">
        <f>IF(Source!BB29&lt;&gt;0,Source!BB29,1)</f>
        <v>13.43</v>
      </c>
      <c r="L53" s="55">
        <f>Source!Q29</f>
        <v>273.08</v>
      </c>
    </row>
    <row r="54" spans="1:12" ht="14.25">
      <c r="A54" s="72"/>
      <c r="B54" s="73">
        <v>2</v>
      </c>
      <c r="C54" s="72" t="s">
        <v>296</v>
      </c>
      <c r="D54" s="53"/>
      <c r="E54" s="54"/>
      <c r="F54" s="54"/>
      <c r="G54" s="54"/>
      <c r="H54" s="55">
        <f>Source!AN29</f>
        <v>6.28</v>
      </c>
      <c r="I54" s="56"/>
      <c r="J54" s="57">
        <f>ROUND(Source!AE29*Source!I29,2)</f>
        <v>5.27</v>
      </c>
      <c r="K54" s="56">
        <f>IF(Source!BS29&lt;&gt;0,Source!BS29,1)</f>
        <v>38.59</v>
      </c>
      <c r="L54" s="57">
        <f>Source!R29</f>
        <v>203.21</v>
      </c>
    </row>
    <row r="55" spans="1:12" ht="14.25">
      <c r="A55" s="72"/>
      <c r="B55" s="73">
        <v>4</v>
      </c>
      <c r="C55" s="72" t="s">
        <v>297</v>
      </c>
      <c r="D55" s="53"/>
      <c r="E55" s="54"/>
      <c r="F55" s="54"/>
      <c r="G55" s="54"/>
      <c r="H55" s="55">
        <f>Source!AL29</f>
        <v>1098.52</v>
      </c>
      <c r="I55" s="56"/>
      <c r="J55" s="55">
        <f>ROUND(Source!AC29*Source!I29,2)</f>
        <v>921.11</v>
      </c>
      <c r="K55" s="56">
        <f>IF(Source!BC29&lt;&gt;0,Source!BC29,1)</f>
        <v>6.82</v>
      </c>
      <c r="L55" s="55">
        <f>Source!P29</f>
        <v>6281.96</v>
      </c>
    </row>
    <row r="56" spans="1:12" ht="14.25">
      <c r="A56" s="72"/>
      <c r="B56" s="72"/>
      <c r="C56" s="72" t="s">
        <v>298</v>
      </c>
      <c r="D56" s="53" t="s">
        <v>299</v>
      </c>
      <c r="E56" s="54">
        <f>Source!AQ29</f>
        <v>219</v>
      </c>
      <c r="F56" s="54"/>
      <c r="G56" s="99">
        <f>ROUND(Source!U29,7)</f>
        <v>183.6315</v>
      </c>
      <c r="H56" s="55"/>
      <c r="I56" s="56"/>
      <c r="J56" s="55"/>
      <c r="K56" s="56"/>
      <c r="L56" s="55"/>
    </row>
    <row r="57" spans="1:12" ht="14.25">
      <c r="A57" s="72"/>
      <c r="B57" s="72"/>
      <c r="C57" s="74" t="s">
        <v>300</v>
      </c>
      <c r="D57" s="58" t="s">
        <v>299</v>
      </c>
      <c r="E57" s="59">
        <f>Source!AR29</f>
        <v>0.5</v>
      </c>
      <c r="F57" s="59"/>
      <c r="G57" s="100">
        <f>ROUND(Source!V29,7)</f>
        <v>0.41925</v>
      </c>
      <c r="H57" s="60"/>
      <c r="I57" s="61"/>
      <c r="J57" s="60"/>
      <c r="K57" s="61"/>
      <c r="L57" s="60"/>
    </row>
    <row r="58" spans="1:12" ht="14.25">
      <c r="A58" s="72"/>
      <c r="B58" s="72"/>
      <c r="C58" s="72" t="s">
        <v>301</v>
      </c>
      <c r="D58" s="53"/>
      <c r="E58" s="54"/>
      <c r="F58" s="54"/>
      <c r="G58" s="54"/>
      <c r="H58" s="55">
        <f>H52+H53+H55</f>
        <v>3063.1099999999997</v>
      </c>
      <c r="I58" s="56"/>
      <c r="J58" s="55">
        <f>J52+J53+J55</f>
        <v>2568.42</v>
      </c>
      <c r="K58" s="56"/>
      <c r="L58" s="55">
        <f>L52+L53+L55</f>
        <v>69340.01000000001</v>
      </c>
    </row>
    <row r="59" spans="1:56" ht="57">
      <c r="A59" s="72" t="s">
        <v>37</v>
      </c>
      <c r="B59" s="72" t="s">
        <v>38</v>
      </c>
      <c r="C59" s="72" t="str">
        <f>Source!G31</f>
        <v>Стеклопакет (однокамерный, М6, закаленное, толщина 6мм, тодщина газозаполнения 18 мм, общая толщина стеклопакета 30 мм)</v>
      </c>
      <c r="D59" s="53" t="str">
        <f>Source!DW31</f>
        <v>М 2</v>
      </c>
      <c r="E59" s="54">
        <f>SmtRes!AT20</f>
        <v>100</v>
      </c>
      <c r="F59" s="54"/>
      <c r="G59" s="54">
        <f>Source!I31</f>
        <v>83.85</v>
      </c>
      <c r="H59" s="55">
        <f>Source!AL31+Source!AO31+Source!AM31</f>
        <v>12320</v>
      </c>
      <c r="I59" s="56"/>
      <c r="J59" s="55">
        <f>ROUND(Source!AC31*Source!I31,2)+ROUND((((Source!ET31)-(Source!EU31))+Source!AE31)*Source!I31,2)+ROUND(Source!AF31*Source!I31,2)</f>
        <v>1033032</v>
      </c>
      <c r="K59" s="56">
        <v>1</v>
      </c>
      <c r="L59" s="55">
        <f>K59*J59</f>
        <v>1033032</v>
      </c>
      <c r="AF59" s="47">
        <f>J59</f>
        <v>1033032</v>
      </c>
      <c r="AG59">
        <f>ROUND((Source!AT31/100)*((ROUND(Source!AF31*Source!I31,2)+ROUND(Source!AE31*Source!I31,2))),2)</f>
        <v>0</v>
      </c>
      <c r="AH59">
        <f>Source!X31</f>
        <v>0</v>
      </c>
      <c r="AI59">
        <f>ROUND((Source!AU31/100)*((ROUND(Source!AF31*Source!I31,2)+ROUND(Source!AE31*Source!I31,2))),2)</f>
        <v>0</v>
      </c>
      <c r="AJ59">
        <f>Source!Y31</f>
        <v>0</v>
      </c>
      <c r="AN59">
        <f>IF(Source!BI31&lt;=1,J59,0)</f>
        <v>1033032</v>
      </c>
      <c r="AO59">
        <f>IF(Source!BI31&lt;=1,J59,0)</f>
        <v>1033032</v>
      </c>
      <c r="AS59">
        <f>IF(Source!BI31&lt;=1,AH59,0)</f>
        <v>0</v>
      </c>
      <c r="AT59">
        <f>IF(Source!BI31&lt;=1,AJ59,0)</f>
        <v>0</v>
      </c>
      <c r="AX59">
        <f>IF(Source!BI31=2,J59,0)</f>
        <v>0</v>
      </c>
      <c r="AY59">
        <f>IF(Source!BI31=2,J59,0)</f>
        <v>0</v>
      </c>
      <c r="BC59">
        <f>IF(Source!BI31=2,AH59,0)</f>
        <v>0</v>
      </c>
      <c r="BD59">
        <f>IF(Source!BI31=2,AJ59,0)</f>
        <v>0</v>
      </c>
    </row>
    <row r="60" spans="1:56" ht="42.75">
      <c r="A60" s="72" t="s">
        <v>42</v>
      </c>
      <c r="B60" s="72" t="s">
        <v>43</v>
      </c>
      <c r="C60" s="72" t="str">
        <f>Source!G33</f>
        <v>Эластичные прокладки типа</v>
      </c>
      <c r="D60" s="53" t="str">
        <f>Source!DW33</f>
        <v>м</v>
      </c>
      <c r="E60" s="99">
        <f>SmtRes!AT19</f>
        <v>111.389386</v>
      </c>
      <c r="F60" s="54"/>
      <c r="G60" s="54">
        <f>Source!I33</f>
        <v>93.4</v>
      </c>
      <c r="H60" s="55">
        <f>Source!AL33+Source!AO33+Source!AM33</f>
        <v>250</v>
      </c>
      <c r="I60" s="56"/>
      <c r="J60" s="55">
        <f>ROUND(Source!AC33*Source!I33,2)+ROUND((((Source!ET33)-(Source!EU33))+Source!AE33)*Source!I33,2)+ROUND(Source!AF33*Source!I33,2)</f>
        <v>23350</v>
      </c>
      <c r="K60" s="56">
        <v>1</v>
      </c>
      <c r="L60" s="55">
        <f>K60*J60</f>
        <v>23350</v>
      </c>
      <c r="AF60" s="47">
        <f>J60</f>
        <v>23350</v>
      </c>
      <c r="AG60">
        <f>ROUND((Source!AT33/100)*((ROUND(Source!AF33*Source!I33,2)+ROUND(Source!AE33*Source!I33,2))),2)</f>
        <v>0</v>
      </c>
      <c r="AH60">
        <f>Source!X33</f>
        <v>0</v>
      </c>
      <c r="AI60">
        <f>ROUND((Source!AU33/100)*((ROUND(Source!AF33*Source!I33,2)+ROUND(Source!AE33*Source!I33,2))),2)</f>
        <v>0</v>
      </c>
      <c r="AJ60">
        <f>Source!Y33</f>
        <v>0</v>
      </c>
      <c r="AN60">
        <f>IF(Source!BI33&lt;=1,J60,0)</f>
        <v>23350</v>
      </c>
      <c r="AO60">
        <f>IF(Source!BI33&lt;=1,J60,0)</f>
        <v>23350</v>
      </c>
      <c r="AS60">
        <f>IF(Source!BI33&lt;=1,AH60,0)</f>
        <v>0</v>
      </c>
      <c r="AT60">
        <f>IF(Source!BI33&lt;=1,AJ60,0)</f>
        <v>0</v>
      </c>
      <c r="AX60">
        <f>IF(Source!BI33=2,J60,0)</f>
        <v>0</v>
      </c>
      <c r="AY60">
        <f>IF(Source!BI33=2,J60,0)</f>
        <v>0</v>
      </c>
      <c r="BC60">
        <f>IF(Source!BI33=2,AH60,0)</f>
        <v>0</v>
      </c>
      <c r="BD60">
        <f>IF(Source!BI33=2,AJ60,0)</f>
        <v>0</v>
      </c>
    </row>
    <row r="61" spans="1:56" ht="42.75">
      <c r="A61" s="72" t="s">
        <v>46</v>
      </c>
      <c r="B61" s="72" t="s">
        <v>47</v>
      </c>
      <c r="C61" s="72" t="str">
        <f>Source!G35</f>
        <v>Герметик типа</v>
      </c>
      <c r="D61" s="53" t="str">
        <f>Source!DW35</f>
        <v>кг</v>
      </c>
      <c r="E61" s="99">
        <f>SmtRes!AT18</f>
        <v>5.6291</v>
      </c>
      <c r="F61" s="54"/>
      <c r="G61" s="54">
        <f>Source!I35</f>
        <v>4.72</v>
      </c>
      <c r="H61" s="55">
        <f>Source!AL35+Source!AO35+Source!AM35</f>
        <v>5500</v>
      </c>
      <c r="I61" s="56"/>
      <c r="J61" s="55">
        <f>ROUND(Source!AC35*Source!I35,2)+ROUND((((Source!ET35)-(Source!EU35))+Source!AE35)*Source!I35,2)+ROUND(Source!AF35*Source!I35,2)</f>
        <v>25960</v>
      </c>
      <c r="K61" s="56">
        <v>1</v>
      </c>
      <c r="L61" s="55">
        <f>K61*J61</f>
        <v>25960</v>
      </c>
      <c r="AF61" s="47">
        <f>J61</f>
        <v>25960</v>
      </c>
      <c r="AG61">
        <f>ROUND((Source!AT35/100)*((ROUND(Source!AF35*Source!I35,2)+ROUND(Source!AE35*Source!I35,2))),2)</f>
        <v>0</v>
      </c>
      <c r="AH61">
        <f>Source!X35</f>
        <v>0</v>
      </c>
      <c r="AI61">
        <f>ROUND((Source!AU35/100)*((ROUND(Source!AF35*Source!I35,2)+ROUND(Source!AE35*Source!I35,2))),2)</f>
        <v>0</v>
      </c>
      <c r="AJ61">
        <f>Source!Y35</f>
        <v>0</v>
      </c>
      <c r="AN61">
        <f>IF(Source!BI35&lt;=1,J61,0)</f>
        <v>25960</v>
      </c>
      <c r="AO61">
        <f>IF(Source!BI35&lt;=1,J61,0)</f>
        <v>25960</v>
      </c>
      <c r="AS61">
        <f>IF(Source!BI35&lt;=1,AH61,0)</f>
        <v>0</v>
      </c>
      <c r="AT61">
        <f>IF(Source!BI35&lt;=1,AJ61,0)</f>
        <v>0</v>
      </c>
      <c r="AX61">
        <f>IF(Source!BI35=2,J61,0)</f>
        <v>0</v>
      </c>
      <c r="AY61">
        <f>IF(Source!BI35=2,J61,0)</f>
        <v>0</v>
      </c>
      <c r="BC61">
        <f>IF(Source!BI35=2,AH61,0)</f>
        <v>0</v>
      </c>
      <c r="BD61">
        <f>IF(Source!BI35=2,AJ61,0)</f>
        <v>0</v>
      </c>
    </row>
    <row r="62" spans="1:56" ht="14.25">
      <c r="A62" s="72" t="s">
        <v>50</v>
      </c>
      <c r="B62" s="72" t="s">
        <v>51</v>
      </c>
      <c r="C62" s="72" t="str">
        <f>Source!G37</f>
        <v>Строительный мусор</v>
      </c>
      <c r="D62" s="53" t="str">
        <f>Source!DW37</f>
        <v>т</v>
      </c>
      <c r="E62" s="54">
        <f>SmtRes!AT17</f>
        <v>1.22</v>
      </c>
      <c r="F62" s="54"/>
      <c r="G62" s="99">
        <f>Source!I37</f>
        <v>1.02297</v>
      </c>
      <c r="H62" s="55">
        <f>Source!AL37+Source!AO37+Source!AM37</f>
        <v>0</v>
      </c>
      <c r="I62" s="56"/>
      <c r="J62" s="55">
        <f>ROUND(Source!AC37*Source!I37,2)+ROUND((((Source!ET37)-(Source!EU37))+Source!AE37)*Source!I37,2)+ROUND(Source!AF37*Source!I37,2)</f>
        <v>0</v>
      </c>
      <c r="K62" s="56">
        <f>IF(Source!BC37&lt;&gt;0,Source!BC37,1)</f>
        <v>6.82</v>
      </c>
      <c r="L62" s="55">
        <f>Source!O37</f>
        <v>0</v>
      </c>
      <c r="AF62" s="47">
        <f>J62</f>
        <v>0</v>
      </c>
      <c r="AG62">
        <f>ROUND((Source!AT37/100)*((ROUND(Source!AF37*Source!I37,2)+ROUND(Source!AE37*Source!I37,2))),2)</f>
        <v>0</v>
      </c>
      <c r="AH62">
        <f>Source!X37</f>
        <v>0</v>
      </c>
      <c r="AI62">
        <f>ROUND((Source!AU37/100)*((ROUND(Source!AF37*Source!I37,2)+ROUND(Source!AE37*Source!I37,2))),2)</f>
        <v>0</v>
      </c>
      <c r="AJ62">
        <f>Source!Y37</f>
        <v>0</v>
      </c>
      <c r="AN62">
        <f>IF(Source!BI37&lt;=1,J62,0)</f>
        <v>0</v>
      </c>
      <c r="AO62">
        <f>IF(Source!BI37&lt;=1,J62,0)</f>
        <v>0</v>
      </c>
      <c r="AS62">
        <f>IF(Source!BI37&lt;=1,AH62,0)</f>
        <v>0</v>
      </c>
      <c r="AT62">
        <f>IF(Source!BI37&lt;=1,AJ62,0)</f>
        <v>0</v>
      </c>
      <c r="AX62">
        <f>IF(Source!BI37=2,J62,0)</f>
        <v>0</v>
      </c>
      <c r="AY62">
        <f>IF(Source!BI37=2,J62,0)</f>
        <v>0</v>
      </c>
      <c r="BC62">
        <f>IF(Source!BI37=2,AH62,0)</f>
        <v>0</v>
      </c>
      <c r="BD62">
        <f>IF(Source!BI37=2,AJ62,0)</f>
        <v>0</v>
      </c>
    </row>
    <row r="63" spans="1:56" ht="28.5">
      <c r="A63" s="72" t="s">
        <v>54</v>
      </c>
      <c r="B63" s="72" t="s">
        <v>302</v>
      </c>
      <c r="C63" s="72" t="str">
        <f>Source!G39</f>
        <v>Замазка суриковая</v>
      </c>
      <c r="D63" s="53" t="str">
        <f>Source!DW39</f>
        <v>кг</v>
      </c>
      <c r="E63" s="54">
        <f>SmtRes!AT16</f>
        <v>-56</v>
      </c>
      <c r="F63" s="54"/>
      <c r="G63" s="99">
        <f>Source!I39</f>
        <v>-46.956</v>
      </c>
      <c r="H63" s="55">
        <f>Source!AL39+Source!AO39+Source!AM39</f>
        <v>19.61</v>
      </c>
      <c r="I63" s="56"/>
      <c r="J63" s="55">
        <f>ROUND(Source!AC39*Source!I39,2)+ROUND((((Source!ET39)-(Source!EU39))+Source!AE39)*Source!I39,2)+ROUND(Source!AF39*Source!I39,2)</f>
        <v>-920.81</v>
      </c>
      <c r="K63" s="56">
        <f>IF(Source!BC39&lt;&gt;0,Source!BC39,1)</f>
        <v>6.82</v>
      </c>
      <c r="L63" s="55">
        <f>Source!O39</f>
        <v>-6279.9</v>
      </c>
      <c r="AF63" s="47">
        <f>J63</f>
        <v>-920.81</v>
      </c>
      <c r="AG63">
        <f>ROUND((Source!AT39/100)*((ROUND(Source!AF39*Source!I39,2)+ROUND(Source!AE39*Source!I39,2))),2)</f>
        <v>0</v>
      </c>
      <c r="AH63">
        <f>Source!X39</f>
        <v>0</v>
      </c>
      <c r="AI63">
        <f>ROUND((Source!AU39/100)*((ROUND(Source!AF39*Source!I39,2)+ROUND(Source!AE39*Source!I39,2))),2)</f>
        <v>0</v>
      </c>
      <c r="AJ63">
        <f>Source!Y39</f>
        <v>0</v>
      </c>
      <c r="AN63">
        <f>IF(Source!BI39&lt;=1,J63,0)</f>
        <v>-920.81</v>
      </c>
      <c r="AO63">
        <f>IF(Source!BI39&lt;=1,J63,0)</f>
        <v>-920.81</v>
      </c>
      <c r="AS63">
        <f>IF(Source!BI39&lt;=1,AH63,0)</f>
        <v>0</v>
      </c>
      <c r="AT63">
        <f>IF(Source!BI39&lt;=1,AJ63,0)</f>
        <v>0</v>
      </c>
      <c r="AX63">
        <f>IF(Source!BI39=2,J63,0)</f>
        <v>0</v>
      </c>
      <c r="AY63">
        <f>IF(Source!BI39=2,J63,0)</f>
        <v>0</v>
      </c>
      <c r="BC63">
        <f>IF(Source!BI39=2,AH63,0)</f>
        <v>0</v>
      </c>
      <c r="BD63">
        <f>IF(Source!BI39=2,AJ63,0)</f>
        <v>0</v>
      </c>
    </row>
    <row r="64" spans="1:12" ht="14.25">
      <c r="A64" s="72"/>
      <c r="B64" s="72"/>
      <c r="C64" s="72" t="s">
        <v>303</v>
      </c>
      <c r="D64" s="53"/>
      <c r="E64" s="54"/>
      <c r="F64" s="54"/>
      <c r="G64" s="54"/>
      <c r="H64" s="55"/>
      <c r="I64" s="56"/>
      <c r="J64" s="55">
        <f>SUM(Q49:Q67)+SUM(V49:V67)+SUM(X49:X67)+SUM(Y49:Y67)</f>
        <v>1632.25</v>
      </c>
      <c r="K64" s="56"/>
      <c r="L64" s="55">
        <f>SUM(U49:U67)+SUM(W49:W67)+SUM(Z49:Z67)+SUM(AA49:AA67)</f>
        <v>62988.18</v>
      </c>
    </row>
    <row r="65" spans="1:12" ht="28.5">
      <c r="A65" s="72"/>
      <c r="B65" s="72" t="s">
        <v>35</v>
      </c>
      <c r="C65" s="72" t="s">
        <v>304</v>
      </c>
      <c r="D65" s="53" t="s">
        <v>305</v>
      </c>
      <c r="E65" s="54">
        <f>Source!BZ29</f>
        <v>90</v>
      </c>
      <c r="F65" s="54"/>
      <c r="G65" s="54">
        <f>Source!AT29</f>
        <v>90</v>
      </c>
      <c r="H65" s="55"/>
      <c r="I65" s="56"/>
      <c r="J65" s="55">
        <f>SUM(AG49:AG67)</f>
        <v>1469.03</v>
      </c>
      <c r="K65" s="56"/>
      <c r="L65" s="55">
        <f>SUM(AH49:AH67)</f>
        <v>56689.36</v>
      </c>
    </row>
    <row r="66" spans="1:12" ht="28.5">
      <c r="A66" s="74"/>
      <c r="B66" s="74" t="s">
        <v>36</v>
      </c>
      <c r="C66" s="74" t="s">
        <v>306</v>
      </c>
      <c r="D66" s="58" t="s">
        <v>305</v>
      </c>
      <c r="E66" s="59">
        <f>Source!CA29</f>
        <v>45</v>
      </c>
      <c r="F66" s="59"/>
      <c r="G66" s="59">
        <f>Source!AU29</f>
        <v>45</v>
      </c>
      <c r="H66" s="60"/>
      <c r="I66" s="61"/>
      <c r="J66" s="60">
        <f>SUM(AI49:AI67)</f>
        <v>734.51</v>
      </c>
      <c r="K66" s="61"/>
      <c r="L66" s="60">
        <f>SUM(AJ49:AJ67)</f>
        <v>28344.68</v>
      </c>
    </row>
    <row r="67" spans="3:53" ht="15">
      <c r="C67" s="104" t="s">
        <v>307</v>
      </c>
      <c r="D67" s="104"/>
      <c r="E67" s="104"/>
      <c r="F67" s="104"/>
      <c r="G67" s="104"/>
      <c r="H67" s="104"/>
      <c r="I67" s="104">
        <f>J52+J53+J55+J65+J66+SUM(J59:J63)</f>
        <v>1086193.15</v>
      </c>
      <c r="J67" s="104"/>
      <c r="K67" s="104">
        <f>L52+L53+L55+L65+L66+SUM(L59:L63)</f>
        <v>1230436.1500000001</v>
      </c>
      <c r="L67" s="104"/>
      <c r="O67" s="47">
        <f>I67</f>
        <v>1086193.15</v>
      </c>
      <c r="P67" s="47">
        <f>K67</f>
        <v>1230436.1500000001</v>
      </c>
      <c r="Q67" s="47">
        <f>J52</f>
        <v>1626.98</v>
      </c>
      <c r="R67" s="47">
        <f>J52</f>
        <v>1626.98</v>
      </c>
      <c r="U67" s="47">
        <f>L52</f>
        <v>62784.97</v>
      </c>
      <c r="X67" s="47">
        <f>J54</f>
        <v>5.27</v>
      </c>
      <c r="Z67" s="47">
        <f>L54</f>
        <v>203.21</v>
      </c>
      <c r="AB67" s="47">
        <f>J53</f>
        <v>20.33</v>
      </c>
      <c r="AD67" s="47">
        <f>L53</f>
        <v>273.08</v>
      </c>
      <c r="AF67" s="47">
        <f>J55</f>
        <v>921.11</v>
      </c>
      <c r="AN67">
        <f>IF(Source!BI29&lt;=1,J52+J53+J55+J65+J66,0)</f>
        <v>4771.96</v>
      </c>
      <c r="AO67">
        <f>IF(Source!BI29&lt;=1,J55,0)</f>
        <v>921.11</v>
      </c>
      <c r="AP67">
        <f>IF(Source!BI29&lt;=1,J53,0)</f>
        <v>20.33</v>
      </c>
      <c r="AQ67">
        <f>IF(Source!BI29&lt;=1,J52,0)</f>
        <v>1626.98</v>
      </c>
      <c r="AX67">
        <f>IF(Source!BI29=2,J52+J53+J55+J65+J66,0)</f>
        <v>0</v>
      </c>
      <c r="AY67">
        <f>IF(Source!BI29=2,J55,0)</f>
        <v>0</v>
      </c>
      <c r="AZ67">
        <f>IF(Source!BI29=2,J53,0)</f>
        <v>0</v>
      </c>
      <c r="BA67">
        <f>IF(Source!BI29=2,J52,0)</f>
        <v>0</v>
      </c>
    </row>
    <row r="69" spans="1:95" ht="15">
      <c r="A69" s="63"/>
      <c r="B69" s="64"/>
      <c r="C69" s="105" t="s">
        <v>308</v>
      </c>
      <c r="D69" s="105"/>
      <c r="E69" s="105"/>
      <c r="F69" s="105"/>
      <c r="G69" s="105"/>
      <c r="H69" s="105"/>
      <c r="I69" s="65"/>
      <c r="J69" s="66">
        <f>J71+J72+J73+J74</f>
        <v>1083989.61</v>
      </c>
      <c r="K69" s="66"/>
      <c r="L69" s="66">
        <f>L71+L72+L73+L74</f>
        <v>1145402.11</v>
      </c>
      <c r="CQ69" s="76" t="s">
        <v>308</v>
      </c>
    </row>
    <row r="70" spans="1:12" ht="14.25">
      <c r="A70" s="67"/>
      <c r="B70" s="68"/>
      <c r="C70" s="103" t="s">
        <v>309</v>
      </c>
      <c r="D70" s="102"/>
      <c r="E70" s="102"/>
      <c r="F70" s="102"/>
      <c r="G70" s="102"/>
      <c r="H70" s="102"/>
      <c r="I70" s="69"/>
      <c r="J70" s="70"/>
      <c r="K70" s="70"/>
      <c r="L70" s="70"/>
    </row>
    <row r="71" spans="1:12" ht="14.25">
      <c r="A71" s="67"/>
      <c r="B71" s="68"/>
      <c r="C71" s="102" t="s">
        <v>310</v>
      </c>
      <c r="D71" s="102"/>
      <c r="E71" s="102"/>
      <c r="F71" s="102"/>
      <c r="G71" s="102"/>
      <c r="H71" s="102"/>
      <c r="I71" s="69"/>
      <c r="J71" s="70">
        <f>SUM(Q48:Q67)</f>
        <v>1626.98</v>
      </c>
      <c r="K71" s="70"/>
      <c r="L71" s="70">
        <f>SUM(U48:U67)</f>
        <v>62784.97</v>
      </c>
    </row>
    <row r="72" spans="1:12" ht="14.25">
      <c r="A72" s="67"/>
      <c r="B72" s="68"/>
      <c r="C72" s="102" t="s">
        <v>311</v>
      </c>
      <c r="D72" s="102"/>
      <c r="E72" s="102"/>
      <c r="F72" s="102"/>
      <c r="G72" s="102"/>
      <c r="H72" s="102"/>
      <c r="I72" s="69"/>
      <c r="J72" s="70">
        <f>SUM(AB48:AB67)</f>
        <v>20.33</v>
      </c>
      <c r="K72" s="70"/>
      <c r="L72" s="70">
        <f>SUM(AD48:AD67)</f>
        <v>273.08</v>
      </c>
    </row>
    <row r="73" spans="1:12" ht="14.25">
      <c r="A73" s="67"/>
      <c r="B73" s="68"/>
      <c r="C73" s="102" t="s">
        <v>312</v>
      </c>
      <c r="D73" s="102"/>
      <c r="E73" s="102"/>
      <c r="F73" s="102"/>
      <c r="G73" s="102"/>
      <c r="H73" s="102"/>
      <c r="I73" s="69"/>
      <c r="J73" s="70">
        <f>SUM(AF48:AF67)-J78</f>
        <v>1082342.3</v>
      </c>
      <c r="K73" s="70"/>
      <c r="L73" s="70">
        <f>Source!P44-L78</f>
        <v>1082344.06</v>
      </c>
    </row>
    <row r="74" spans="1:12" ht="13.5" customHeight="1" hidden="1">
      <c r="A74" s="67"/>
      <c r="B74" s="68"/>
      <c r="C74" s="102" t="s">
        <v>313</v>
      </c>
      <c r="D74" s="102"/>
      <c r="E74" s="102"/>
      <c r="F74" s="102"/>
      <c r="G74" s="102"/>
      <c r="H74" s="102"/>
      <c r="I74" s="69"/>
      <c r="J74" s="70">
        <f>SUM(AR48:AR67)+SUM(BB48:BB67)+SUM(BI48:BI67)+SUM(BP48:BP67)</f>
        <v>0</v>
      </c>
      <c r="K74" s="70"/>
      <c r="L74" s="70">
        <f>Source!P66</f>
        <v>0</v>
      </c>
    </row>
    <row r="75" spans="1:12" ht="14.25">
      <c r="A75" s="67"/>
      <c r="B75" s="68"/>
      <c r="C75" s="102" t="s">
        <v>314</v>
      </c>
      <c r="D75" s="102"/>
      <c r="E75" s="102"/>
      <c r="F75" s="102"/>
      <c r="G75" s="102"/>
      <c r="H75" s="102"/>
      <c r="I75" s="69"/>
      <c r="J75" s="70">
        <f>SUM(Q48:Q67)+SUM(X48:X67)</f>
        <v>1632.25</v>
      </c>
      <c r="K75" s="70"/>
      <c r="L75" s="70">
        <f>SUM(U48:U67)+SUM(Z48:Z67)</f>
        <v>62988.18</v>
      </c>
    </row>
    <row r="76" spans="1:12" ht="14.25">
      <c r="A76" s="67"/>
      <c r="B76" s="68"/>
      <c r="C76" s="102" t="s">
        <v>315</v>
      </c>
      <c r="D76" s="102"/>
      <c r="E76" s="102"/>
      <c r="F76" s="102"/>
      <c r="G76" s="102"/>
      <c r="H76" s="102"/>
      <c r="I76" s="69"/>
      <c r="J76" s="70">
        <f>SUM(AG48:AG67)</f>
        <v>1469.03</v>
      </c>
      <c r="K76" s="70"/>
      <c r="L76" s="70">
        <f>Source!P67</f>
        <v>56689.36</v>
      </c>
    </row>
    <row r="77" spans="1:12" ht="14.25">
      <c r="A77" s="67"/>
      <c r="B77" s="68"/>
      <c r="C77" s="102" t="s">
        <v>316</v>
      </c>
      <c r="D77" s="102"/>
      <c r="E77" s="102"/>
      <c r="F77" s="102"/>
      <c r="G77" s="102"/>
      <c r="H77" s="102"/>
      <c r="I77" s="69"/>
      <c r="J77" s="70">
        <f>SUM(AI48:AI67)</f>
        <v>734.51</v>
      </c>
      <c r="K77" s="70"/>
      <c r="L77" s="70">
        <f>Source!P68</f>
        <v>28344.68</v>
      </c>
    </row>
    <row r="78" spans="1:12" ht="13.5" customHeight="1" hidden="1">
      <c r="A78" s="67"/>
      <c r="B78" s="68"/>
      <c r="C78" s="102" t="s">
        <v>317</v>
      </c>
      <c r="D78" s="102"/>
      <c r="E78" s="102"/>
      <c r="F78" s="102"/>
      <c r="G78" s="102"/>
      <c r="H78" s="102"/>
      <c r="I78" s="69"/>
      <c r="J78" s="70">
        <f>SUM(BH48:BH67)</f>
        <v>0</v>
      </c>
      <c r="K78" s="70"/>
      <c r="L78" s="70">
        <f>Source!P50</f>
        <v>0</v>
      </c>
    </row>
    <row r="79" spans="1:12" ht="13.5" customHeight="1" hidden="1">
      <c r="A79" s="67"/>
      <c r="B79" s="68"/>
      <c r="C79" s="102" t="s">
        <v>318</v>
      </c>
      <c r="D79" s="102"/>
      <c r="E79" s="102"/>
      <c r="F79" s="102"/>
      <c r="G79" s="102"/>
      <c r="H79" s="102"/>
      <c r="I79" s="69"/>
      <c r="J79" s="70">
        <f>SUM(BM48:BM67)+SUM(BN48:BN67)+SUM(BO48:BO67)+SUM(BP48:BP67)</f>
        <v>0</v>
      </c>
      <c r="K79" s="70"/>
      <c r="L79" s="70">
        <f>Source!P60</f>
        <v>0</v>
      </c>
    </row>
    <row r="80" spans="1:12" ht="15">
      <c r="A80" s="63"/>
      <c r="B80" s="64"/>
      <c r="C80" s="105" t="s">
        <v>319</v>
      </c>
      <c r="D80" s="105"/>
      <c r="E80" s="105"/>
      <c r="F80" s="105"/>
      <c r="G80" s="105"/>
      <c r="H80" s="105"/>
      <c r="I80" s="65"/>
      <c r="J80" s="66">
        <f>J69+J76+J77+J78</f>
        <v>1086193.1500000001</v>
      </c>
      <c r="K80" s="66"/>
      <c r="L80" s="66">
        <f>Source!P69</f>
        <v>1230436.15</v>
      </c>
    </row>
    <row r="81" spans="1:12" ht="13.5" customHeight="1" hidden="1">
      <c r="A81" s="67"/>
      <c r="B81" s="68"/>
      <c r="C81" s="103" t="s">
        <v>320</v>
      </c>
      <c r="D81" s="102"/>
      <c r="E81" s="102"/>
      <c r="F81" s="102"/>
      <c r="G81" s="102"/>
      <c r="H81" s="102"/>
      <c r="I81" s="69"/>
      <c r="J81" s="70"/>
      <c r="K81" s="70"/>
      <c r="L81" s="70"/>
    </row>
    <row r="82" spans="1:12" ht="13.5" customHeight="1" hidden="1">
      <c r="A82" s="67"/>
      <c r="B82" s="68"/>
      <c r="C82" s="102" t="s">
        <v>321</v>
      </c>
      <c r="D82" s="102"/>
      <c r="E82" s="102"/>
      <c r="F82" s="102"/>
      <c r="G82" s="102"/>
      <c r="H82" s="102"/>
      <c r="I82" s="69"/>
      <c r="J82" s="70"/>
      <c r="K82" s="70"/>
      <c r="L82" s="70">
        <f>SUM(BS48:BS67)</f>
        <v>0</v>
      </c>
    </row>
    <row r="83" spans="1:12" ht="13.5" customHeight="1" hidden="1">
      <c r="A83" s="67"/>
      <c r="B83" s="68"/>
      <c r="C83" s="102" t="s">
        <v>322</v>
      </c>
      <c r="D83" s="102"/>
      <c r="E83" s="102"/>
      <c r="F83" s="102"/>
      <c r="G83" s="102"/>
      <c r="H83" s="102"/>
      <c r="I83" s="69"/>
      <c r="J83" s="70"/>
      <c r="K83" s="70"/>
      <c r="L83" s="70">
        <f>SUM(BT48:BT67)</f>
        <v>0</v>
      </c>
    </row>
    <row r="85" spans="1:12" ht="16.5">
      <c r="A85" s="107" t="s">
        <v>323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56" ht="28.5">
      <c r="A86" s="72">
        <v>2</v>
      </c>
      <c r="B86" s="72" t="s">
        <v>324</v>
      </c>
      <c r="C86" s="72" t="str">
        <f>Source!G77</f>
        <v>Очистка от строительного мусора (Применительно)</v>
      </c>
      <c r="D86" s="53" t="str">
        <f>Source!DW77</f>
        <v>100 т</v>
      </c>
      <c r="E86" s="54">
        <f>Source!K77</f>
        <v>0.01</v>
      </c>
      <c r="F86" s="54"/>
      <c r="G86" s="54">
        <f>Source!I77</f>
        <v>0.01</v>
      </c>
      <c r="H86" s="55"/>
      <c r="I86" s="56"/>
      <c r="J86" s="55"/>
      <c r="K86" s="56"/>
      <c r="L86" s="55"/>
      <c r="AG86">
        <f>ROUND((Source!AT77/100)*((ROUND(Source!AF77*Source!I77,2)+ROUND(Source!AE77*Source!I77,2))),2)</f>
        <v>12.54</v>
      </c>
      <c r="AH86">
        <f>Source!X77</f>
        <v>483.9</v>
      </c>
      <c r="AI86">
        <f>ROUND((Source!AU77/100)*((ROUND(Source!AF77*Source!I77,2)+ROUND(Source!AE77*Source!I77,2))),2)</f>
        <v>6</v>
      </c>
      <c r="AJ86">
        <f>Source!Y77</f>
        <v>231.43</v>
      </c>
      <c r="AS86">
        <f>IF(Source!BI77&lt;=1,AH86,0)</f>
        <v>483.9</v>
      </c>
      <c r="AT86">
        <f>IF(Source!BI77&lt;=1,AJ86,0)</f>
        <v>231.43</v>
      </c>
      <c r="BC86">
        <f>IF(Source!BI77=2,AH86,0)</f>
        <v>0</v>
      </c>
      <c r="BD86">
        <f>IF(Source!BI77=2,AJ86,0)</f>
        <v>0</v>
      </c>
    </row>
    <row r="88" ht="12.75">
      <c r="C88" s="45" t="str">
        <f>"Объем: "&amp;Source!K77&amp;"=1/"&amp;"100"</f>
        <v>Объем: 0,01=1/100</v>
      </c>
    </row>
    <row r="89" spans="1:12" ht="14.25">
      <c r="A89" s="72"/>
      <c r="B89" s="73">
        <v>1</v>
      </c>
      <c r="C89" s="72" t="s">
        <v>294</v>
      </c>
      <c r="D89" s="53"/>
      <c r="E89" s="54"/>
      <c r="F89" s="54"/>
      <c r="G89" s="54"/>
      <c r="H89" s="55">
        <f>Source!AO77</f>
        <v>1363</v>
      </c>
      <c r="I89" s="56"/>
      <c r="J89" s="55">
        <f>ROUND(Source!AF77*Source!I77,2)</f>
        <v>13.63</v>
      </c>
      <c r="K89" s="56">
        <f>IF(Source!BA77&lt;&gt;0,Source!BA77,1)</f>
        <v>38.59</v>
      </c>
      <c r="L89" s="55">
        <f>Source!S77</f>
        <v>525.98</v>
      </c>
    </row>
    <row r="90" spans="1:12" ht="14.25">
      <c r="A90" s="72"/>
      <c r="B90" s="72"/>
      <c r="C90" s="74" t="s">
        <v>298</v>
      </c>
      <c r="D90" s="58" t="s">
        <v>299</v>
      </c>
      <c r="E90" s="59">
        <f>Source!AQ77</f>
        <v>188</v>
      </c>
      <c r="F90" s="59"/>
      <c r="G90" s="59">
        <f>ROUND(Source!U77,7)</f>
        <v>1.88</v>
      </c>
      <c r="H90" s="60"/>
      <c r="I90" s="61"/>
      <c r="J90" s="60"/>
      <c r="K90" s="61"/>
      <c r="L90" s="60"/>
    </row>
    <row r="91" spans="1:12" ht="14.25">
      <c r="A91" s="72"/>
      <c r="B91" s="72"/>
      <c r="C91" s="72" t="s">
        <v>301</v>
      </c>
      <c r="D91" s="53"/>
      <c r="E91" s="54"/>
      <c r="F91" s="54"/>
      <c r="G91" s="54"/>
      <c r="H91" s="55">
        <f>H89</f>
        <v>1363</v>
      </c>
      <c r="I91" s="56"/>
      <c r="J91" s="55">
        <f>J89</f>
        <v>13.63</v>
      </c>
      <c r="K91" s="56"/>
      <c r="L91" s="55">
        <f>L89</f>
        <v>525.98</v>
      </c>
    </row>
    <row r="92" spans="1:12" ht="14.25">
      <c r="A92" s="72"/>
      <c r="B92" s="72"/>
      <c r="C92" s="72" t="s">
        <v>303</v>
      </c>
      <c r="D92" s="53"/>
      <c r="E92" s="54"/>
      <c r="F92" s="54"/>
      <c r="G92" s="54"/>
      <c r="H92" s="55"/>
      <c r="I92" s="56"/>
      <c r="J92" s="55">
        <f>SUM(Q86:Q95)+SUM(V86:V95)+SUM(X86:X95)+SUM(Y86:Y95)</f>
        <v>13.63</v>
      </c>
      <c r="K92" s="56"/>
      <c r="L92" s="55">
        <f>SUM(U86:U95)+SUM(W86:W95)+SUM(Z86:Z95)+SUM(AA86:AA95)</f>
        <v>525.98</v>
      </c>
    </row>
    <row r="93" spans="1:12" ht="28.5">
      <c r="A93" s="72"/>
      <c r="B93" s="72" t="s">
        <v>122</v>
      </c>
      <c r="C93" s="72" t="s">
        <v>325</v>
      </c>
      <c r="D93" s="53" t="s">
        <v>305</v>
      </c>
      <c r="E93" s="54">
        <f>Source!BZ77</f>
        <v>92</v>
      </c>
      <c r="F93" s="54"/>
      <c r="G93" s="54">
        <f>Source!AT77</f>
        <v>92</v>
      </c>
      <c r="H93" s="55"/>
      <c r="I93" s="56"/>
      <c r="J93" s="55">
        <f>SUM(AG86:AG95)</f>
        <v>12.54</v>
      </c>
      <c r="K93" s="56"/>
      <c r="L93" s="55">
        <f>SUM(AH86:AH95)</f>
        <v>483.9</v>
      </c>
    </row>
    <row r="94" spans="1:12" ht="28.5">
      <c r="A94" s="74"/>
      <c r="B94" s="74" t="s">
        <v>123</v>
      </c>
      <c r="C94" s="74" t="s">
        <v>326</v>
      </c>
      <c r="D94" s="58" t="s">
        <v>305</v>
      </c>
      <c r="E94" s="59">
        <f>Source!CA77</f>
        <v>44</v>
      </c>
      <c r="F94" s="59"/>
      <c r="G94" s="59">
        <f>Source!AU77</f>
        <v>44</v>
      </c>
      <c r="H94" s="60"/>
      <c r="I94" s="61"/>
      <c r="J94" s="60">
        <f>SUM(AI86:AI95)</f>
        <v>6</v>
      </c>
      <c r="K94" s="61"/>
      <c r="L94" s="60">
        <f>SUM(AJ86:AJ95)</f>
        <v>231.43</v>
      </c>
    </row>
    <row r="95" spans="3:53" ht="15">
      <c r="C95" s="104" t="s">
        <v>307</v>
      </c>
      <c r="D95" s="104"/>
      <c r="E95" s="104"/>
      <c r="F95" s="104"/>
      <c r="G95" s="104"/>
      <c r="H95" s="104"/>
      <c r="I95" s="104">
        <f>J89+J93+J94</f>
        <v>32.17</v>
      </c>
      <c r="J95" s="104"/>
      <c r="K95" s="104">
        <f>L89+L93+L94</f>
        <v>1241.31</v>
      </c>
      <c r="L95" s="104"/>
      <c r="O95" s="47">
        <f>I95</f>
        <v>32.17</v>
      </c>
      <c r="P95" s="47">
        <f>K95</f>
        <v>1241.31</v>
      </c>
      <c r="Q95" s="47">
        <f>J89</f>
        <v>13.63</v>
      </c>
      <c r="R95" s="47">
        <f>J89</f>
        <v>13.63</v>
      </c>
      <c r="U95" s="47">
        <f>L89</f>
        <v>525.98</v>
      </c>
      <c r="X95">
        <f>0</f>
        <v>0</v>
      </c>
      <c r="Z95">
        <f>0</f>
        <v>0</v>
      </c>
      <c r="AB95">
        <f>0</f>
        <v>0</v>
      </c>
      <c r="AD95">
        <f>0</f>
        <v>0</v>
      </c>
      <c r="AF95">
        <f>0</f>
        <v>0</v>
      </c>
      <c r="AN95">
        <f>IF(Source!BI77&lt;=1,J89+J93+J94,0)</f>
        <v>32.17</v>
      </c>
      <c r="AO95">
        <f>IF(Source!BI77&lt;=1,0,0)</f>
        <v>0</v>
      </c>
      <c r="AP95">
        <f>IF(Source!BI77&lt;=1,0,0)</f>
        <v>0</v>
      </c>
      <c r="AQ95">
        <f>IF(Source!BI77&lt;=1,J89,0)</f>
        <v>13.63</v>
      </c>
      <c r="AX95">
        <f>IF(Source!BI77=2,J89+J93+J94,0)</f>
        <v>0</v>
      </c>
      <c r="AY95">
        <f>IF(Source!BI77=2,0,0)</f>
        <v>0</v>
      </c>
      <c r="AZ95">
        <f>IF(Source!BI77=2,0,0)</f>
        <v>0</v>
      </c>
      <c r="BA95">
        <f>IF(Source!BI77=2,J89,0)</f>
        <v>0</v>
      </c>
    </row>
    <row r="96" spans="1:56" ht="42.75">
      <c r="A96" s="72">
        <v>3</v>
      </c>
      <c r="B96" s="72" t="s">
        <v>327</v>
      </c>
      <c r="C96" s="72" t="str">
        <f>Source!G81</f>
        <v>Погрузочные работы при автомобильных перевозках мусора строительного с погрузкой вручную</v>
      </c>
      <c r="D96" s="53" t="str">
        <f>Source!DW81</f>
        <v>1 Т ГРУЗА</v>
      </c>
      <c r="E96" s="54">
        <f>Source!K81</f>
        <v>1</v>
      </c>
      <c r="F96" s="54"/>
      <c r="G96" s="54">
        <f>Source!I81</f>
        <v>1</v>
      </c>
      <c r="H96" s="55">
        <f>Source!AK81</f>
        <v>42.98</v>
      </c>
      <c r="I96" s="56"/>
      <c r="J96" s="55">
        <f>ROUND(Source!AB81*Source!I81,2)</f>
        <v>42.98</v>
      </c>
      <c r="K96" s="56">
        <f>Source!AZ81</f>
        <v>13.43</v>
      </c>
      <c r="L96" s="55">
        <f>Source!GM81</f>
        <v>577.22</v>
      </c>
      <c r="AG96">
        <f>ROUND((Source!AT81/100)*((ROUND(0*Source!I81,2)+ROUND(0*Source!I81,2))),2)</f>
        <v>0</v>
      </c>
      <c r="AH96">
        <f>Source!X81</f>
        <v>0</v>
      </c>
      <c r="AI96">
        <f>ROUND((Source!AU81/100)*((ROUND(0*Source!I81,2)+ROUND(0*Source!I81,2))),2)</f>
        <v>0</v>
      </c>
      <c r="AJ96">
        <f>Source!Y81</f>
        <v>0</v>
      </c>
      <c r="AS96">
        <f>IF(Source!BI81&lt;=1,AH96,0)</f>
        <v>0</v>
      </c>
      <c r="AT96">
        <f>IF(Source!BI81&lt;=1,AJ96,0)</f>
        <v>0</v>
      </c>
      <c r="BC96">
        <f>IF(Source!BI81=2,AH96,0)</f>
        <v>0</v>
      </c>
      <c r="BD96">
        <f>IF(Source!BI81=2,AJ96,0)</f>
        <v>0</v>
      </c>
    </row>
    <row r="97" spans="1: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3:61" ht="15">
      <c r="C98" s="104" t="s">
        <v>307</v>
      </c>
      <c r="D98" s="104"/>
      <c r="E98" s="104"/>
      <c r="F98" s="104"/>
      <c r="G98" s="104"/>
      <c r="H98" s="104"/>
      <c r="I98" s="104">
        <f>J96</f>
        <v>42.98</v>
      </c>
      <c r="J98" s="104"/>
      <c r="K98" s="104">
        <f>L96</f>
        <v>577.22</v>
      </c>
      <c r="L98" s="104"/>
      <c r="O98" s="47">
        <f>I98</f>
        <v>42.98</v>
      </c>
      <c r="P98" s="47">
        <f>K98</f>
        <v>577.22</v>
      </c>
      <c r="R98">
        <f>0</f>
        <v>0</v>
      </c>
      <c r="V98">
        <f>0</f>
        <v>0</v>
      </c>
      <c r="W98">
        <f>0</f>
        <v>0</v>
      </c>
      <c r="Y98">
        <f>0</f>
        <v>0</v>
      </c>
      <c r="AA98">
        <f>0</f>
        <v>0</v>
      </c>
      <c r="AC98">
        <f>0</f>
        <v>0</v>
      </c>
      <c r="AE98">
        <f>0</f>
        <v>0</v>
      </c>
      <c r="AF98">
        <f>0</f>
        <v>0</v>
      </c>
      <c r="AO98">
        <f>IF(Source!BI81&lt;=1,0,0)</f>
        <v>0</v>
      </c>
      <c r="AR98">
        <f>IF(Source!BI81&lt;=1,J96,0)</f>
        <v>42.98</v>
      </c>
      <c r="AY98">
        <f>IF(Source!BI81=2,0,0)</f>
        <v>0</v>
      </c>
      <c r="BB98">
        <f>IF(Source!BI81=2,J96,0)</f>
        <v>0</v>
      </c>
      <c r="BI98">
        <f>IF(Source!BI81=3,J96,0)</f>
        <v>0</v>
      </c>
    </row>
    <row r="99" spans="1:56" ht="57">
      <c r="A99" s="72">
        <v>4</v>
      </c>
      <c r="B99" s="72" t="s">
        <v>328</v>
      </c>
      <c r="C99" s="72" t="str">
        <f>Source!G83</f>
        <v>Перевозка грузов I класса автомобилями бортовыми грузоподъемностью до 5 т на расстояние: до 50 км</v>
      </c>
      <c r="D99" s="53" t="str">
        <f>Source!DW83</f>
        <v>1 Т ГРУЗА</v>
      </c>
      <c r="E99" s="54">
        <f>Source!K83</f>
        <v>1</v>
      </c>
      <c r="F99" s="54"/>
      <c r="G99" s="54">
        <f>Source!I83</f>
        <v>1</v>
      </c>
      <c r="H99" s="55">
        <f>Source!AK83</f>
        <v>46.37</v>
      </c>
      <c r="I99" s="56"/>
      <c r="J99" s="55">
        <f>ROUND(Source!AB83*Source!I83,2)</f>
        <v>46.37</v>
      </c>
      <c r="K99" s="56">
        <f>Source!AZ83</f>
        <v>13.43</v>
      </c>
      <c r="L99" s="55">
        <f>Source!GM83</f>
        <v>622.75</v>
      </c>
      <c r="AG99">
        <f>ROUND((Source!AT83/100)*((ROUND(0*Source!I83,2)+ROUND(0*Source!I83,2))),2)</f>
        <v>0</v>
      </c>
      <c r="AH99">
        <f>Source!X83</f>
        <v>0</v>
      </c>
      <c r="AI99">
        <f>ROUND((Source!AU83/100)*((ROUND(0*Source!I83,2)+ROUND(0*Source!I83,2))),2)</f>
        <v>0</v>
      </c>
      <c r="AJ99">
        <f>Source!Y83</f>
        <v>0</v>
      </c>
      <c r="AS99">
        <f>IF(Source!BI83&lt;=1,AH99,0)</f>
        <v>0</v>
      </c>
      <c r="AT99">
        <f>IF(Source!BI83&lt;=1,AJ99,0)</f>
        <v>0</v>
      </c>
      <c r="BC99">
        <f>IF(Source!BI83=2,AH99,0)</f>
        <v>0</v>
      </c>
      <c r="BD99">
        <f>IF(Source!BI83=2,AJ99,0)</f>
        <v>0</v>
      </c>
    </row>
    <row r="100" spans="1: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3:61" ht="15">
      <c r="C101" s="104" t="s">
        <v>307</v>
      </c>
      <c r="D101" s="104"/>
      <c r="E101" s="104"/>
      <c r="F101" s="104"/>
      <c r="G101" s="104"/>
      <c r="H101" s="104"/>
      <c r="I101" s="104">
        <f>J99</f>
        <v>46.37</v>
      </c>
      <c r="J101" s="104"/>
      <c r="K101" s="104">
        <f>L99</f>
        <v>622.75</v>
      </c>
      <c r="L101" s="104"/>
      <c r="O101" s="47">
        <f>I101</f>
        <v>46.37</v>
      </c>
      <c r="P101" s="47">
        <f>K101</f>
        <v>622.75</v>
      </c>
      <c r="R101">
        <f>0</f>
        <v>0</v>
      </c>
      <c r="V101">
        <f>0</f>
        <v>0</v>
      </c>
      <c r="W101">
        <f>0</f>
        <v>0</v>
      </c>
      <c r="Y101">
        <f>0</f>
        <v>0</v>
      </c>
      <c r="AA101">
        <f>0</f>
        <v>0</v>
      </c>
      <c r="AC101">
        <f>0</f>
        <v>0</v>
      </c>
      <c r="AE101">
        <f>0</f>
        <v>0</v>
      </c>
      <c r="AF101">
        <f>0</f>
        <v>0</v>
      </c>
      <c r="AO101">
        <f>IF(Source!BI83&lt;=1,0,0)</f>
        <v>0</v>
      </c>
      <c r="AR101">
        <f>IF(Source!BI83&lt;=1,J99,0)</f>
        <v>46.37</v>
      </c>
      <c r="AY101">
        <f>IF(Source!BI83=2,0,0)</f>
        <v>0</v>
      </c>
      <c r="BB101">
        <f>IF(Source!BI83=2,J99,0)</f>
        <v>0</v>
      </c>
      <c r="BI101">
        <f>IF(Source!BI83=3,J99,0)</f>
        <v>0</v>
      </c>
    </row>
    <row r="103" spans="1:95" ht="15">
      <c r="A103" s="63"/>
      <c r="B103" s="64"/>
      <c r="C103" s="105" t="s">
        <v>308</v>
      </c>
      <c r="D103" s="105"/>
      <c r="E103" s="105"/>
      <c r="F103" s="105"/>
      <c r="G103" s="105"/>
      <c r="H103" s="105"/>
      <c r="I103" s="65"/>
      <c r="J103" s="66">
        <f>J105+J106+J107+J108</f>
        <v>102.97999999999999</v>
      </c>
      <c r="K103" s="66"/>
      <c r="L103" s="66">
        <f>L105+L106+L107+L108</f>
        <v>1725.95</v>
      </c>
      <c r="CQ103" s="76" t="s">
        <v>308</v>
      </c>
    </row>
    <row r="104" spans="1:12" ht="14.25">
      <c r="A104" s="67"/>
      <c r="B104" s="68"/>
      <c r="C104" s="103" t="s">
        <v>309</v>
      </c>
      <c r="D104" s="102"/>
      <c r="E104" s="102"/>
      <c r="F104" s="102"/>
      <c r="G104" s="102"/>
      <c r="H104" s="102"/>
      <c r="I104" s="69"/>
      <c r="J104" s="70"/>
      <c r="K104" s="70"/>
      <c r="L104" s="70"/>
    </row>
    <row r="105" spans="1:12" ht="14.25">
      <c r="A105" s="67"/>
      <c r="B105" s="68"/>
      <c r="C105" s="102" t="s">
        <v>310</v>
      </c>
      <c r="D105" s="102"/>
      <c r="E105" s="102"/>
      <c r="F105" s="102"/>
      <c r="G105" s="102"/>
      <c r="H105" s="102"/>
      <c r="I105" s="69"/>
      <c r="J105" s="70">
        <f>SUM(Q85:Q101)</f>
        <v>13.63</v>
      </c>
      <c r="K105" s="70"/>
      <c r="L105" s="70">
        <f>SUM(U85:U101)</f>
        <v>525.98</v>
      </c>
    </row>
    <row r="106" spans="1:12" ht="13.5" customHeight="1" hidden="1">
      <c r="A106" s="67"/>
      <c r="B106" s="68"/>
      <c r="C106" s="102" t="s">
        <v>311</v>
      </c>
      <c r="D106" s="102"/>
      <c r="E106" s="102"/>
      <c r="F106" s="102"/>
      <c r="G106" s="102"/>
      <c r="H106" s="102"/>
      <c r="I106" s="69"/>
      <c r="J106" s="70">
        <f>SUM(AB85:AB101)</f>
        <v>0</v>
      </c>
      <c r="K106" s="70"/>
      <c r="L106" s="70">
        <f>SUM(AD85:AD101)</f>
        <v>0</v>
      </c>
    </row>
    <row r="107" spans="1:12" ht="13.5" customHeight="1" hidden="1">
      <c r="A107" s="67"/>
      <c r="B107" s="68"/>
      <c r="C107" s="102" t="s">
        <v>312</v>
      </c>
      <c r="D107" s="102"/>
      <c r="E107" s="102"/>
      <c r="F107" s="102"/>
      <c r="G107" s="102"/>
      <c r="H107" s="102"/>
      <c r="I107" s="69"/>
      <c r="J107" s="70">
        <f>SUM(AF85:AF101)-J112</f>
        <v>0</v>
      </c>
      <c r="K107" s="70"/>
      <c r="L107" s="70">
        <f>Source!P88-L112</f>
        <v>0</v>
      </c>
    </row>
    <row r="108" spans="1:12" ht="14.25">
      <c r="A108" s="67"/>
      <c r="B108" s="68"/>
      <c r="C108" s="102" t="s">
        <v>313</v>
      </c>
      <c r="D108" s="102"/>
      <c r="E108" s="102"/>
      <c r="F108" s="102"/>
      <c r="G108" s="102"/>
      <c r="H108" s="102"/>
      <c r="I108" s="69"/>
      <c r="J108" s="70">
        <f>SUM(AR85:AR101)+SUM(BB85:BB101)+SUM(BI85:BI101)+SUM(BP85:BP101)</f>
        <v>89.35</v>
      </c>
      <c r="K108" s="70"/>
      <c r="L108" s="70">
        <f>Source!P110</f>
        <v>1199.97</v>
      </c>
    </row>
    <row r="109" spans="1:12" ht="14.25">
      <c r="A109" s="67"/>
      <c r="B109" s="68"/>
      <c r="C109" s="102" t="s">
        <v>314</v>
      </c>
      <c r="D109" s="102"/>
      <c r="E109" s="102"/>
      <c r="F109" s="102"/>
      <c r="G109" s="102"/>
      <c r="H109" s="102"/>
      <c r="I109" s="69"/>
      <c r="J109" s="70">
        <f>SUM(Q85:Q101)+SUM(X85:X101)</f>
        <v>13.63</v>
      </c>
      <c r="K109" s="70"/>
      <c r="L109" s="70">
        <f>SUM(U85:U101)+SUM(Z85:Z101)</f>
        <v>525.98</v>
      </c>
    </row>
    <row r="110" spans="1:12" ht="14.25">
      <c r="A110" s="67"/>
      <c r="B110" s="68"/>
      <c r="C110" s="102" t="s">
        <v>315</v>
      </c>
      <c r="D110" s="102"/>
      <c r="E110" s="102"/>
      <c r="F110" s="102"/>
      <c r="G110" s="102"/>
      <c r="H110" s="102"/>
      <c r="I110" s="69"/>
      <c r="J110" s="70">
        <f>SUM(AG85:AG101)</f>
        <v>12.54</v>
      </c>
      <c r="K110" s="70"/>
      <c r="L110" s="70">
        <f>Source!P111</f>
        <v>483.9</v>
      </c>
    </row>
    <row r="111" spans="1:12" ht="14.25">
      <c r="A111" s="67"/>
      <c r="B111" s="68"/>
      <c r="C111" s="102" t="s">
        <v>316</v>
      </c>
      <c r="D111" s="102"/>
      <c r="E111" s="102"/>
      <c r="F111" s="102"/>
      <c r="G111" s="102"/>
      <c r="H111" s="102"/>
      <c r="I111" s="69"/>
      <c r="J111" s="70">
        <f>SUM(AI85:AI101)</f>
        <v>6</v>
      </c>
      <c r="K111" s="70"/>
      <c r="L111" s="70">
        <f>Source!P112</f>
        <v>231.43</v>
      </c>
    </row>
    <row r="112" spans="1:12" ht="13.5" customHeight="1" hidden="1">
      <c r="A112" s="67"/>
      <c r="B112" s="68"/>
      <c r="C112" s="102" t="s">
        <v>317</v>
      </c>
      <c r="D112" s="102"/>
      <c r="E112" s="102"/>
      <c r="F112" s="102"/>
      <c r="G112" s="102"/>
      <c r="H112" s="102"/>
      <c r="I112" s="69"/>
      <c r="J112" s="70">
        <f>SUM(BH85:BH101)</f>
        <v>0</v>
      </c>
      <c r="K112" s="70"/>
      <c r="L112" s="70">
        <f>Source!P94</f>
        <v>0</v>
      </c>
    </row>
    <row r="113" spans="1:12" ht="13.5" customHeight="1" hidden="1">
      <c r="A113" s="67"/>
      <c r="B113" s="68"/>
      <c r="C113" s="102" t="s">
        <v>318</v>
      </c>
      <c r="D113" s="102"/>
      <c r="E113" s="102"/>
      <c r="F113" s="102"/>
      <c r="G113" s="102"/>
      <c r="H113" s="102"/>
      <c r="I113" s="69"/>
      <c r="J113" s="70">
        <f>SUM(BM85:BM101)+SUM(BN85:BN101)+SUM(BO85:BO101)+SUM(BP85:BP101)</f>
        <v>0</v>
      </c>
      <c r="K113" s="70"/>
      <c r="L113" s="70">
        <f>Source!P104</f>
        <v>0</v>
      </c>
    </row>
    <row r="114" spans="1:12" ht="15">
      <c r="A114" s="63"/>
      <c r="B114" s="64"/>
      <c r="C114" s="105" t="s">
        <v>319</v>
      </c>
      <c r="D114" s="105"/>
      <c r="E114" s="105"/>
      <c r="F114" s="105"/>
      <c r="G114" s="105"/>
      <c r="H114" s="105"/>
      <c r="I114" s="65"/>
      <c r="J114" s="66">
        <f>J103+J110+J111+J112</f>
        <v>121.51999999999998</v>
      </c>
      <c r="K114" s="66"/>
      <c r="L114" s="66">
        <f>Source!P113</f>
        <v>2441.28</v>
      </c>
    </row>
    <row r="115" spans="1:12" ht="13.5" customHeight="1" hidden="1">
      <c r="A115" s="67"/>
      <c r="B115" s="68"/>
      <c r="C115" s="103" t="s">
        <v>320</v>
      </c>
      <c r="D115" s="102"/>
      <c r="E115" s="102"/>
      <c r="F115" s="102"/>
      <c r="G115" s="102"/>
      <c r="H115" s="102"/>
      <c r="I115" s="69"/>
      <c r="J115" s="70"/>
      <c r="K115" s="70"/>
      <c r="L115" s="70"/>
    </row>
    <row r="116" spans="1:12" ht="13.5" customHeight="1" hidden="1">
      <c r="A116" s="67"/>
      <c r="B116" s="68"/>
      <c r="C116" s="102" t="s">
        <v>321</v>
      </c>
      <c r="D116" s="102"/>
      <c r="E116" s="102"/>
      <c r="F116" s="102"/>
      <c r="G116" s="102"/>
      <c r="H116" s="102"/>
      <c r="I116" s="69"/>
      <c r="J116" s="70"/>
      <c r="K116" s="70"/>
      <c r="L116" s="70">
        <f>SUM(BS85:BS101)</f>
        <v>0</v>
      </c>
    </row>
    <row r="117" spans="1:12" ht="13.5" customHeight="1" hidden="1">
      <c r="A117" s="67"/>
      <c r="B117" s="68"/>
      <c r="C117" s="102" t="s">
        <v>322</v>
      </c>
      <c r="D117" s="102"/>
      <c r="E117" s="102"/>
      <c r="F117" s="102"/>
      <c r="G117" s="102"/>
      <c r="H117" s="102"/>
      <c r="I117" s="69"/>
      <c r="J117" s="70"/>
      <c r="K117" s="70"/>
      <c r="L117" s="70">
        <f>SUM(BT85:BT101)</f>
        <v>0</v>
      </c>
    </row>
    <row r="119" spans="1:12" ht="15">
      <c r="A119" s="63"/>
      <c r="B119" s="64"/>
      <c r="C119" s="105" t="s">
        <v>329</v>
      </c>
      <c r="D119" s="105"/>
      <c r="E119" s="105"/>
      <c r="F119" s="105"/>
      <c r="G119" s="105"/>
      <c r="H119" s="105"/>
      <c r="I119" s="65"/>
      <c r="J119" s="66"/>
      <c r="K119" s="66"/>
      <c r="L119" s="66"/>
    </row>
    <row r="120" spans="1:12" ht="15">
      <c r="A120" s="63"/>
      <c r="B120" s="64"/>
      <c r="C120" s="105" t="s">
        <v>330</v>
      </c>
      <c r="D120" s="105"/>
      <c r="E120" s="105"/>
      <c r="F120" s="105"/>
      <c r="G120" s="105"/>
      <c r="H120" s="105"/>
      <c r="I120" s="65"/>
      <c r="J120" s="66">
        <f>J122+J123+J124+J125</f>
        <v>1084092.59</v>
      </c>
      <c r="K120" s="66"/>
      <c r="L120" s="66">
        <f>L122+L123+L124+L125</f>
        <v>1147128.06</v>
      </c>
    </row>
    <row r="121" spans="1:12" ht="14.25">
      <c r="A121" s="67"/>
      <c r="B121" s="68"/>
      <c r="C121" s="103" t="s">
        <v>309</v>
      </c>
      <c r="D121" s="102"/>
      <c r="E121" s="102"/>
      <c r="F121" s="102"/>
      <c r="G121" s="102"/>
      <c r="H121" s="102"/>
      <c r="I121" s="69"/>
      <c r="J121" s="70"/>
      <c r="K121" s="70"/>
      <c r="L121" s="70"/>
    </row>
    <row r="122" spans="1:12" ht="14.25">
      <c r="A122" s="67"/>
      <c r="B122" s="68"/>
      <c r="C122" s="102" t="s">
        <v>310</v>
      </c>
      <c r="D122" s="102"/>
      <c r="E122" s="102"/>
      <c r="F122" s="102"/>
      <c r="G122" s="102"/>
      <c r="H122" s="102"/>
      <c r="I122" s="69"/>
      <c r="J122" s="70">
        <f>SUM(Q47:Q117)</f>
        <v>1640.6100000000001</v>
      </c>
      <c r="K122" s="70"/>
      <c r="L122" s="70">
        <f>SUM(U47:U117)</f>
        <v>63310.950000000004</v>
      </c>
    </row>
    <row r="123" spans="1:12" ht="14.25">
      <c r="A123" s="67"/>
      <c r="B123" s="68"/>
      <c r="C123" s="102" t="s">
        <v>311</v>
      </c>
      <c r="D123" s="102"/>
      <c r="E123" s="102"/>
      <c r="F123" s="102"/>
      <c r="G123" s="102"/>
      <c r="H123" s="102"/>
      <c r="I123" s="69"/>
      <c r="J123" s="70">
        <f>SUM(AB47:AB117)</f>
        <v>20.33</v>
      </c>
      <c r="K123" s="70"/>
      <c r="L123" s="70">
        <f>SUM(AD47:AD117)</f>
        <v>273.08</v>
      </c>
    </row>
    <row r="124" spans="1:12" ht="14.25">
      <c r="A124" s="67"/>
      <c r="B124" s="68"/>
      <c r="C124" s="102" t="s">
        <v>312</v>
      </c>
      <c r="D124" s="102"/>
      <c r="E124" s="102"/>
      <c r="F124" s="102"/>
      <c r="G124" s="102"/>
      <c r="H124" s="102"/>
      <c r="I124" s="69"/>
      <c r="J124" s="70">
        <f>SUM(AF47:AF117)-J129</f>
        <v>1082342.3</v>
      </c>
      <c r="K124" s="70"/>
      <c r="L124" s="70">
        <f>Source!P119-L129</f>
        <v>1082344.06</v>
      </c>
    </row>
    <row r="125" spans="1:12" ht="14.25">
      <c r="A125" s="67"/>
      <c r="B125" s="68"/>
      <c r="C125" s="102" t="s">
        <v>313</v>
      </c>
      <c r="D125" s="102"/>
      <c r="E125" s="102"/>
      <c r="F125" s="102"/>
      <c r="G125" s="102"/>
      <c r="H125" s="102"/>
      <c r="I125" s="69"/>
      <c r="J125" s="70">
        <f>SUM(AR47:AR117)+SUM(BB47:BB117)+SUM(BI47:BI117)+SUM(BP47:BP117)</f>
        <v>89.35</v>
      </c>
      <c r="K125" s="70"/>
      <c r="L125" s="70">
        <f>Source!P141</f>
        <v>1199.97</v>
      </c>
    </row>
    <row r="126" spans="1:12" ht="14.25">
      <c r="A126" s="67"/>
      <c r="B126" s="68"/>
      <c r="C126" s="102" t="s">
        <v>331</v>
      </c>
      <c r="D126" s="102"/>
      <c r="E126" s="102"/>
      <c r="F126" s="102"/>
      <c r="G126" s="102"/>
      <c r="H126" s="102"/>
      <c r="I126" s="69"/>
      <c r="J126" s="70">
        <f>SUM(Q47:Q117)+SUM(X47:X117)</f>
        <v>1645.88</v>
      </c>
      <c r="K126" s="70"/>
      <c r="L126" s="70">
        <f>SUM(U47:U117)+SUM(Z47:Z117)</f>
        <v>63514.16</v>
      </c>
    </row>
    <row r="127" spans="1:12" ht="14.25">
      <c r="A127" s="67"/>
      <c r="B127" s="68"/>
      <c r="C127" s="102" t="s">
        <v>332</v>
      </c>
      <c r="D127" s="102"/>
      <c r="E127" s="102"/>
      <c r="F127" s="102"/>
      <c r="G127" s="102"/>
      <c r="H127" s="102"/>
      <c r="I127" s="69"/>
      <c r="J127" s="70">
        <f>SUM(AG47:AG117)</f>
        <v>1481.57</v>
      </c>
      <c r="K127" s="70"/>
      <c r="L127" s="70">
        <f>Source!P142</f>
        <v>57173.26</v>
      </c>
    </row>
    <row r="128" spans="1:12" ht="14.25">
      <c r="A128" s="67"/>
      <c r="B128" s="68"/>
      <c r="C128" s="102" t="s">
        <v>333</v>
      </c>
      <c r="D128" s="102"/>
      <c r="E128" s="102"/>
      <c r="F128" s="102"/>
      <c r="G128" s="102"/>
      <c r="H128" s="102"/>
      <c r="I128" s="69"/>
      <c r="J128" s="70">
        <f>SUM(AI47:AI117)</f>
        <v>740.51</v>
      </c>
      <c r="K128" s="70"/>
      <c r="L128" s="70">
        <f>Source!P143</f>
        <v>28576.11</v>
      </c>
    </row>
    <row r="129" spans="1:12" ht="13.5" customHeight="1" hidden="1">
      <c r="A129" s="67"/>
      <c r="B129" s="68"/>
      <c r="C129" s="102" t="s">
        <v>334</v>
      </c>
      <c r="D129" s="102"/>
      <c r="E129" s="102"/>
      <c r="F129" s="102"/>
      <c r="G129" s="102"/>
      <c r="H129" s="102"/>
      <c r="I129" s="69"/>
      <c r="J129" s="70">
        <f>SUM(BH47:BH117)</f>
        <v>0</v>
      </c>
      <c r="K129" s="70"/>
      <c r="L129" s="70">
        <f>Source!P125</f>
        <v>0</v>
      </c>
    </row>
    <row r="130" spans="1:12" ht="13.5" customHeight="1" hidden="1">
      <c r="A130" s="67"/>
      <c r="B130" s="68"/>
      <c r="C130" s="102" t="s">
        <v>335</v>
      </c>
      <c r="D130" s="102"/>
      <c r="E130" s="102"/>
      <c r="F130" s="102"/>
      <c r="G130" s="102"/>
      <c r="H130" s="102"/>
      <c r="I130" s="69"/>
      <c r="J130" s="70">
        <f>SUM(BM47:BM117)+SUM(BN47:BN117)+SUM(BO47:BO117)+SUM(BP47:BP117)</f>
        <v>0</v>
      </c>
      <c r="K130" s="70"/>
      <c r="L130" s="70">
        <f>Source!P135</f>
        <v>0</v>
      </c>
    </row>
    <row r="131" spans="1:12" ht="15">
      <c r="A131" s="63"/>
      <c r="B131" s="64"/>
      <c r="C131" s="105" t="s">
        <v>329</v>
      </c>
      <c r="D131" s="105"/>
      <c r="E131" s="105"/>
      <c r="F131" s="105"/>
      <c r="G131" s="105"/>
      <c r="H131" s="105"/>
      <c r="I131" s="65"/>
      <c r="J131" s="66">
        <f>J120+J127+J128+J129</f>
        <v>1086314.6700000002</v>
      </c>
      <c r="K131" s="66"/>
      <c r="L131" s="66">
        <f>Source!P144</f>
        <v>1232877.43</v>
      </c>
    </row>
    <row r="132" spans="1:12" ht="13.5" customHeight="1" hidden="1">
      <c r="A132" s="67"/>
      <c r="B132" s="68"/>
      <c r="C132" s="103" t="s">
        <v>309</v>
      </c>
      <c r="D132" s="102"/>
      <c r="E132" s="102"/>
      <c r="F132" s="102"/>
      <c r="G132" s="102"/>
      <c r="H132" s="102"/>
      <c r="I132" s="69"/>
      <c r="J132" s="70"/>
      <c r="K132" s="70"/>
      <c r="L132" s="70"/>
    </row>
    <row r="133" spans="1:12" ht="13.5" customHeight="1" hidden="1">
      <c r="A133" s="67"/>
      <c r="B133" s="68"/>
      <c r="C133" s="102" t="s">
        <v>321</v>
      </c>
      <c r="D133" s="102"/>
      <c r="E133" s="102"/>
      <c r="F133" s="102"/>
      <c r="G133" s="102"/>
      <c r="H133" s="102"/>
      <c r="I133" s="69"/>
      <c r="J133" s="70"/>
      <c r="K133" s="70"/>
      <c r="L133" s="70">
        <f>SUM(BS47:BS117)</f>
        <v>0</v>
      </c>
    </row>
    <row r="134" spans="1:12" ht="13.5" customHeight="1" hidden="1">
      <c r="A134" s="67"/>
      <c r="B134" s="68"/>
      <c r="C134" s="102" t="s">
        <v>322</v>
      </c>
      <c r="D134" s="102"/>
      <c r="E134" s="102"/>
      <c r="F134" s="102"/>
      <c r="G134" s="102"/>
      <c r="H134" s="102"/>
      <c r="I134" s="69"/>
      <c r="J134" s="70"/>
      <c r="K134" s="70"/>
      <c r="L134" s="70">
        <f>SUM(BT47:BT117)</f>
        <v>0</v>
      </c>
    </row>
    <row r="135" spans="1:12" ht="14.25">
      <c r="A135" s="67"/>
      <c r="B135" s="68"/>
      <c r="C135" s="102" t="s">
        <v>141</v>
      </c>
      <c r="D135" s="102"/>
      <c r="E135" s="102"/>
      <c r="F135" s="102"/>
      <c r="G135" s="102"/>
      <c r="H135" s="102"/>
      <c r="I135" s="69"/>
      <c r="J135" s="70"/>
      <c r="K135" s="71">
        <v>0.2</v>
      </c>
      <c r="L135" s="70">
        <f>ROUND(L131*K135,2)</f>
        <v>246575.49</v>
      </c>
    </row>
    <row r="136" spans="1:12" ht="15">
      <c r="A136" s="63"/>
      <c r="B136" s="64"/>
      <c r="C136" s="105" t="s">
        <v>336</v>
      </c>
      <c r="D136" s="105"/>
      <c r="E136" s="105"/>
      <c r="F136" s="105"/>
      <c r="G136" s="105"/>
      <c r="H136" s="105"/>
      <c r="I136" s="65"/>
      <c r="J136" s="66"/>
      <c r="K136" s="66"/>
      <c r="L136" s="66">
        <f>L131+L135</f>
        <v>1479452.92</v>
      </c>
    </row>
    <row r="139" spans="1:11" ht="14.25">
      <c r="A139" s="108" t="s">
        <v>337</v>
      </c>
      <c r="B139" s="108"/>
      <c r="C139" s="46" t="str">
        <f>IF(Source!AC12&lt;&gt;"",Source!AC12," ")</f>
        <v>Вед. инженер РЕСО</v>
      </c>
      <c r="D139" s="46"/>
      <c r="E139" s="46"/>
      <c r="F139" s="46"/>
      <c r="G139" s="46"/>
      <c r="H139" s="109" t="str">
        <f>IF(Source!AB12&lt;&gt;"",Source!AB12," ")</f>
        <v>Степанова А.М.</v>
      </c>
      <c r="I139" s="109"/>
      <c r="J139" s="109"/>
      <c r="K139" s="109"/>
    </row>
    <row r="140" spans="1:11" ht="14.25">
      <c r="A140" s="14"/>
      <c r="B140" s="14"/>
      <c r="C140" s="106" t="s">
        <v>338</v>
      </c>
      <c r="D140" s="106"/>
      <c r="E140" s="106"/>
      <c r="F140" s="106"/>
      <c r="G140" s="106"/>
      <c r="H140" s="14"/>
      <c r="I140" s="14"/>
      <c r="J140" s="14"/>
      <c r="K140" s="14"/>
    </row>
    <row r="141" spans="1:11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4.25">
      <c r="A142" s="108" t="s">
        <v>339</v>
      </c>
      <c r="B142" s="108"/>
      <c r="C142" s="46" t="str">
        <f>IF(Source!AE12&lt;&gt;"",Source!AE12," ")</f>
        <v>Заведующий РЕСО</v>
      </c>
      <c r="D142" s="46"/>
      <c r="E142" s="46"/>
      <c r="F142" s="46"/>
      <c r="G142" s="46"/>
      <c r="H142" s="109" t="str">
        <f>IF(Source!AD12&lt;&gt;"",Source!AD12," ")</f>
        <v>Покшин В.И.</v>
      </c>
      <c r="I142" s="109"/>
      <c r="J142" s="109"/>
      <c r="K142" s="109"/>
    </row>
    <row r="143" spans="1:11" ht="14.25">
      <c r="A143" s="14"/>
      <c r="B143" s="14"/>
      <c r="C143" s="106" t="s">
        <v>338</v>
      </c>
      <c r="D143" s="106"/>
      <c r="E143" s="106"/>
      <c r="F143" s="106"/>
      <c r="G143" s="106"/>
      <c r="H143" s="14"/>
      <c r="I143" s="14"/>
      <c r="J143" s="14"/>
      <c r="K143" s="14"/>
    </row>
  </sheetData>
  <sheetProtection/>
  <mergeCells count="101">
    <mergeCell ref="H1:L1"/>
    <mergeCell ref="B16:K16"/>
    <mergeCell ref="B4:E4"/>
    <mergeCell ref="H4:L4"/>
    <mergeCell ref="B5:E5"/>
    <mergeCell ref="H5:L5"/>
    <mergeCell ref="B7:E7"/>
    <mergeCell ref="H7:L7"/>
    <mergeCell ref="B8:E8"/>
    <mergeCell ref="H8:L8"/>
    <mergeCell ref="A11:L11"/>
    <mergeCell ref="A13:K13"/>
    <mergeCell ref="B15:K15"/>
    <mergeCell ref="D40:E40"/>
    <mergeCell ref="B18:K18"/>
    <mergeCell ref="B19:K19"/>
    <mergeCell ref="B21:K21"/>
    <mergeCell ref="B23:K23"/>
    <mergeCell ref="B24:K24"/>
    <mergeCell ref="C29:G29"/>
    <mergeCell ref="C30:G30"/>
    <mergeCell ref="D34:E34"/>
    <mergeCell ref="D37:E37"/>
    <mergeCell ref="D38:E38"/>
    <mergeCell ref="D39:E39"/>
    <mergeCell ref="K42:K45"/>
    <mergeCell ref="L42:L45"/>
    <mergeCell ref="A139:B139"/>
    <mergeCell ref="H139:K139"/>
    <mergeCell ref="C140:G140"/>
    <mergeCell ref="C81:H81"/>
    <mergeCell ref="C80:H80"/>
    <mergeCell ref="C79:H79"/>
    <mergeCell ref="A42:A45"/>
    <mergeCell ref="B42:B45"/>
    <mergeCell ref="C42:C45"/>
    <mergeCell ref="D42:D45"/>
    <mergeCell ref="E42:G44"/>
    <mergeCell ref="H42:J44"/>
    <mergeCell ref="C82:H82"/>
    <mergeCell ref="C104:H104"/>
    <mergeCell ref="C103:H103"/>
    <mergeCell ref="K101:L101"/>
    <mergeCell ref="I101:J101"/>
    <mergeCell ref="A48:L48"/>
    <mergeCell ref="C71:H71"/>
    <mergeCell ref="C70:H70"/>
    <mergeCell ref="C69:H69"/>
    <mergeCell ref="K67:L67"/>
    <mergeCell ref="C143:G143"/>
    <mergeCell ref="I95:J95"/>
    <mergeCell ref="C95:H95"/>
    <mergeCell ref="A85:L85"/>
    <mergeCell ref="C83:H83"/>
    <mergeCell ref="A142:B142"/>
    <mergeCell ref="H142:K142"/>
    <mergeCell ref="C67:H67"/>
    <mergeCell ref="C78:H78"/>
    <mergeCell ref="C77:H77"/>
    <mergeCell ref="C76:H76"/>
    <mergeCell ref="C75:H75"/>
    <mergeCell ref="C74:H74"/>
    <mergeCell ref="C73:H73"/>
    <mergeCell ref="C113:H113"/>
    <mergeCell ref="C112:H112"/>
    <mergeCell ref="C111:H111"/>
    <mergeCell ref="C110:H110"/>
    <mergeCell ref="C109:H109"/>
    <mergeCell ref="C108:H108"/>
    <mergeCell ref="C107:H107"/>
    <mergeCell ref="C106:H106"/>
    <mergeCell ref="C105:H105"/>
    <mergeCell ref="C72:H72"/>
    <mergeCell ref="C136:H136"/>
    <mergeCell ref="C135:H135"/>
    <mergeCell ref="C134:H134"/>
    <mergeCell ref="C133:H133"/>
    <mergeCell ref="C132:H132"/>
    <mergeCell ref="C125:H125"/>
    <mergeCell ref="C124:H124"/>
    <mergeCell ref="C123:H123"/>
    <mergeCell ref="C122:H122"/>
    <mergeCell ref="C130:H130"/>
    <mergeCell ref="C129:H129"/>
    <mergeCell ref="C128:H128"/>
    <mergeCell ref="C127:H127"/>
    <mergeCell ref="C131:H131"/>
    <mergeCell ref="C117:H117"/>
    <mergeCell ref="C116:H116"/>
    <mergeCell ref="C115:H115"/>
    <mergeCell ref="C126:H126"/>
    <mergeCell ref="I67:J67"/>
    <mergeCell ref="C101:H101"/>
    <mergeCell ref="K98:L98"/>
    <mergeCell ref="I98:J98"/>
    <mergeCell ref="C98:H98"/>
    <mergeCell ref="K95:L95"/>
    <mergeCell ref="C114:H114"/>
    <mergeCell ref="C121:H121"/>
    <mergeCell ref="C120:H120"/>
    <mergeCell ref="C119:H119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2" t="s">
        <v>253</v>
      </c>
    </row>
    <row r="4" spans="4:5" ht="15">
      <c r="D4" s="62"/>
      <c r="E4" s="62"/>
    </row>
    <row r="5" spans="4:5" ht="15">
      <c r="D5" s="136" t="s">
        <v>340</v>
      </c>
      <c r="E5" s="136"/>
    </row>
    <row r="6" spans="4:5" ht="15">
      <c r="D6" s="77"/>
      <c r="E6" s="77"/>
    </row>
    <row r="7" spans="4:5" ht="15">
      <c r="D7" s="136" t="s">
        <v>340</v>
      </c>
      <c r="E7" s="136"/>
    </row>
    <row r="8" spans="4:5" ht="15">
      <c r="D8" s="77"/>
      <c r="E8" s="77"/>
    </row>
    <row r="9" spans="4:5" ht="15">
      <c r="D9" s="62" t="s">
        <v>341</v>
      </c>
      <c r="E9" s="14"/>
    </row>
    <row r="10" spans="4:5" ht="14.25">
      <c r="D10" s="14"/>
      <c r="E10" s="14"/>
    </row>
    <row r="12" spans="2:5" ht="15.75">
      <c r="B12" s="137" t="str">
        <f>CONCATENATE("Ведомость объемов работ ",IF(Source!AN15&lt;&gt;"",Source!AN15," "))</f>
        <v>Ведомость объемов работ  </v>
      </c>
      <c r="C12" s="137"/>
      <c r="D12" s="137"/>
      <c r="E12" s="137"/>
    </row>
    <row r="13" spans="2:5" ht="15">
      <c r="B13" s="138" t="str">
        <f>CONCATENATE(Source!F12," ",Source!G12)</f>
        <v> Выполнение работ по замене стеклопакетов в строениях ИПУ РАН</v>
      </c>
      <c r="C13" s="138"/>
      <c r="D13" s="138"/>
      <c r="E13" s="138"/>
    </row>
    <row r="14" ht="12.75" hidden="1"/>
    <row r="16" spans="1:8" ht="99.75">
      <c r="A16" s="79" t="s">
        <v>277</v>
      </c>
      <c r="B16" s="79" t="s">
        <v>342</v>
      </c>
      <c r="C16" s="79" t="s">
        <v>279</v>
      </c>
      <c r="D16" s="79" t="s">
        <v>280</v>
      </c>
      <c r="E16" s="79" t="s">
        <v>281</v>
      </c>
      <c r="F16" s="79" t="s">
        <v>343</v>
      </c>
      <c r="G16" s="79" t="s">
        <v>344</v>
      </c>
      <c r="H16" s="79" t="s">
        <v>345</v>
      </c>
    </row>
    <row r="17" spans="1:8" ht="14.25">
      <c r="A17" s="79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79">
        <v>7</v>
      </c>
      <c r="H17" s="79">
        <v>8</v>
      </c>
    </row>
    <row r="18" spans="1:8" ht="16.5">
      <c r="A18" s="135" t="str">
        <f>CONCATENATE("Локальная смета: ",Source!G20)</f>
        <v>Локальная смета: </v>
      </c>
      <c r="B18" s="135"/>
      <c r="C18" s="135"/>
      <c r="D18" s="135"/>
      <c r="E18" s="135"/>
      <c r="F18" s="135"/>
      <c r="G18" s="135"/>
      <c r="H18" s="135"/>
    </row>
    <row r="19" spans="1:8" ht="16.5">
      <c r="A19" s="135" t="str">
        <f>CONCATENATE("Раздел: ",Source!G24)</f>
        <v>Раздел: Замена стекол на стеклопакеты</v>
      </c>
      <c r="B19" s="135"/>
      <c r="C19" s="135"/>
      <c r="D19" s="135"/>
      <c r="E19" s="135"/>
      <c r="F19" s="135"/>
      <c r="G19" s="135"/>
      <c r="H19" s="135"/>
    </row>
    <row r="20" spans="1:8" ht="42.75">
      <c r="A20" s="79">
        <v>1</v>
      </c>
      <c r="B20" s="79" t="str">
        <f>Source!E28</f>
        <v>1</v>
      </c>
      <c r="C20" s="82" t="str">
        <f>Source!G28</f>
        <v>Смена разбитых стекол на стеклопакеты на эластичной прокладке в металлических переплетах при площади стекла: свыше 3 до 5 м2 (Применительно)</v>
      </c>
      <c r="D20" s="79" t="s">
        <v>29</v>
      </c>
      <c r="E20" s="83">
        <f>Source!I28</f>
        <v>0.8385</v>
      </c>
      <c r="F20" s="79">
        <f>Source!U24</f>
      </c>
      <c r="G20" s="79" t="str">
        <f>"=83,85/"&amp;"100"</f>
        <v>=83,85/100</v>
      </c>
      <c r="H20" s="82"/>
    </row>
    <row r="21" spans="1:8" ht="28.5">
      <c r="A21" s="79">
        <v>1.1</v>
      </c>
      <c r="B21" s="79" t="str">
        <f>Source!E30</f>
        <v>1,1</v>
      </c>
      <c r="C21" s="82" t="str">
        <f>Source!G30</f>
        <v>Стеклопакет (однокамерный, М6, закаленное, толщина 6мм, тодщина газозаполнения 18 мм, общая толщина стеклопакета 30 мм)</v>
      </c>
      <c r="D21" s="79" t="s">
        <v>40</v>
      </c>
      <c r="E21" s="83">
        <f>Source!I30</f>
        <v>83.85</v>
      </c>
      <c r="F21" s="79">
        <f>Source!U24</f>
      </c>
      <c r="G21" s="79"/>
      <c r="H21" s="82"/>
    </row>
    <row r="22" spans="1:8" ht="14.25">
      <c r="A22" s="79">
        <v>1.2</v>
      </c>
      <c r="B22" s="79" t="str">
        <f>Source!E32</f>
        <v>1,2</v>
      </c>
      <c r="C22" s="82" t="str">
        <f>Source!G32</f>
        <v>Эластичные прокладки типа</v>
      </c>
      <c r="D22" s="79" t="s">
        <v>45</v>
      </c>
      <c r="E22" s="83">
        <f>Source!I32</f>
        <v>93.4</v>
      </c>
      <c r="F22" s="79">
        <f>Source!U24</f>
      </c>
      <c r="G22" s="79"/>
      <c r="H22" s="82"/>
    </row>
    <row r="23" spans="1:8" ht="14.25">
      <c r="A23" s="79">
        <v>1.3</v>
      </c>
      <c r="B23" s="79" t="str">
        <f>Source!E34</f>
        <v>1,3</v>
      </c>
      <c r="C23" s="82" t="str">
        <f>Source!G34</f>
        <v>Герметик типа</v>
      </c>
      <c r="D23" s="79" t="s">
        <v>49</v>
      </c>
      <c r="E23" s="83">
        <f>Source!I34</f>
        <v>4.72</v>
      </c>
      <c r="F23" s="79">
        <f>Source!U24</f>
      </c>
      <c r="G23" s="79"/>
      <c r="H23" s="82"/>
    </row>
    <row r="24" spans="1:8" ht="14.25">
      <c r="A24" s="79">
        <v>1.4</v>
      </c>
      <c r="B24" s="79" t="str">
        <f>Source!E36</f>
        <v>1,4</v>
      </c>
      <c r="C24" s="82" t="str">
        <f>Source!G36</f>
        <v>Строительный мусор</v>
      </c>
      <c r="D24" s="79" t="s">
        <v>53</v>
      </c>
      <c r="E24" s="83">
        <f>Source!I36</f>
        <v>1.02297</v>
      </c>
      <c r="F24" s="79">
        <f>Source!U24</f>
      </c>
      <c r="G24" s="79"/>
      <c r="H24" s="82"/>
    </row>
    <row r="25" spans="1:8" ht="14.25">
      <c r="A25" s="79">
        <v>1.5</v>
      </c>
      <c r="B25" s="79" t="str">
        <f>Source!E38</f>
        <v>1,5</v>
      </c>
      <c r="C25" s="82" t="str">
        <f>Source!G38</f>
        <v>Замазка суриковая</v>
      </c>
      <c r="D25" s="79" t="s">
        <v>49</v>
      </c>
      <c r="E25" s="83">
        <f>Source!I38</f>
        <v>-46.956</v>
      </c>
      <c r="F25" s="79">
        <f>Source!U24</f>
      </c>
      <c r="G25" s="79"/>
      <c r="H25" s="82"/>
    </row>
    <row r="26" spans="1:8" ht="16.5">
      <c r="A26" s="135" t="str">
        <f>CONCATENATE("Раздел: ",Source!G72)</f>
        <v>Раздел: Разные работы</v>
      </c>
      <c r="B26" s="135"/>
      <c r="C26" s="135"/>
      <c r="D26" s="135"/>
      <c r="E26" s="135"/>
      <c r="F26" s="135"/>
      <c r="G26" s="135"/>
      <c r="H26" s="135"/>
    </row>
    <row r="27" spans="1:8" ht="14.25">
      <c r="A27" s="79">
        <v>2</v>
      </c>
      <c r="B27" s="79" t="str">
        <f>Source!E76</f>
        <v>2</v>
      </c>
      <c r="C27" s="82" t="str">
        <f>Source!G76</f>
        <v>Очистка от строительного мусора (Применительно)</v>
      </c>
      <c r="D27" s="79" t="s">
        <v>118</v>
      </c>
      <c r="E27" s="83">
        <f>Source!I76</f>
        <v>0.01</v>
      </c>
      <c r="F27" s="79">
        <f>Source!U72</f>
      </c>
      <c r="G27" s="79" t="str">
        <f>"=1/"&amp;"100"</f>
        <v>=1/100</v>
      </c>
      <c r="H27" s="82"/>
    </row>
    <row r="28" spans="1:8" ht="14.25">
      <c r="A28" s="79">
        <v>2.1</v>
      </c>
      <c r="B28" s="79" t="str">
        <f>Source!E78</f>
        <v>2,1</v>
      </c>
      <c r="C28" s="82" t="str">
        <f>Source!G78</f>
        <v>Строительный мусор</v>
      </c>
      <c r="D28" s="79" t="s">
        <v>53</v>
      </c>
      <c r="E28" s="83">
        <f>Source!I78</f>
        <v>1</v>
      </c>
      <c r="F28" s="79">
        <f>Source!U72</f>
      </c>
      <c r="G28" s="79"/>
      <c r="H28" s="82"/>
    </row>
    <row r="29" spans="1:8" ht="28.5">
      <c r="A29" s="79">
        <v>3</v>
      </c>
      <c r="B29" s="79" t="str">
        <f>Source!E80</f>
        <v>3</v>
      </c>
      <c r="C29" s="82" t="str">
        <f>Source!G80</f>
        <v>Погрузочные работы при автомобильных перевозках мусора строительного с погрузкой вручную</v>
      </c>
      <c r="D29" s="79" t="s">
        <v>129</v>
      </c>
      <c r="E29" s="83">
        <f>Source!I80</f>
        <v>1</v>
      </c>
      <c r="F29" s="79">
        <f>Source!U72</f>
      </c>
      <c r="G29" s="79">
        <f>Source!I80</f>
        <v>1</v>
      </c>
      <c r="H29" s="82"/>
    </row>
    <row r="30" spans="1:8" ht="28.5">
      <c r="A30" s="78">
        <v>4</v>
      </c>
      <c r="B30" s="78" t="str">
        <f>Source!E82</f>
        <v>4</v>
      </c>
      <c r="C30" s="80" t="str">
        <f>Source!G82</f>
        <v>Перевозка грузов I класса автомобилями бортовыми грузоподъемностью до 5 т на расстояние: до 50 км</v>
      </c>
      <c r="D30" s="78" t="s">
        <v>129</v>
      </c>
      <c r="E30" s="81">
        <f>Source!I82</f>
        <v>1</v>
      </c>
      <c r="F30" s="78">
        <f>Source!U72</f>
      </c>
      <c r="G30" s="78">
        <f>Source!I82</f>
        <v>1</v>
      </c>
      <c r="H30" s="80"/>
    </row>
    <row r="33" spans="2:5" ht="15">
      <c r="B33" s="84" t="s">
        <v>346</v>
      </c>
      <c r="C33" s="14"/>
      <c r="D33" s="85" t="s">
        <v>347</v>
      </c>
      <c r="E33" s="86"/>
    </row>
  </sheetData>
  <sheetProtection/>
  <mergeCells count="7">
    <mergeCell ref="A26:H26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2" t="s">
        <v>253</v>
      </c>
    </row>
    <row r="4" spans="3:4" ht="15">
      <c r="C4" s="62"/>
      <c r="D4" s="62"/>
    </row>
    <row r="5" spans="3:4" ht="15">
      <c r="C5" s="136" t="s">
        <v>340</v>
      </c>
      <c r="D5" s="136"/>
    </row>
    <row r="6" spans="3:4" ht="15">
      <c r="C6" s="77"/>
      <c r="D6" s="77"/>
    </row>
    <row r="7" spans="3:4" ht="15">
      <c r="C7" s="136" t="s">
        <v>340</v>
      </c>
      <c r="D7" s="136"/>
    </row>
    <row r="8" spans="3:4" ht="15">
      <c r="C8" s="77"/>
      <c r="D8" s="77"/>
    </row>
    <row r="9" spans="3:4" ht="15">
      <c r="C9" s="62" t="s">
        <v>341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39" t="str">
        <f>CONCATENATE("Дефектный акт ",IF(Source!AN15&lt;&gt;"",Source!AN15," "))</f>
        <v>Дефектный акт  </v>
      </c>
      <c r="B11" s="139"/>
      <c r="C11" s="139"/>
      <c r="D11" s="139"/>
      <c r="E11" s="14"/>
    </row>
    <row r="12" spans="1:30" ht="15">
      <c r="A12" s="140" t="str">
        <f>CONCATENATE("На капитальный ремонт ",Source!F12," ",Source!G12)</f>
        <v>На капитальный ремонт  Выполнение работ по замене стеклопакетов в строениях ИПУ РАН</v>
      </c>
      <c r="B12" s="140"/>
      <c r="C12" s="140"/>
      <c r="D12" s="140"/>
      <c r="E12" s="14"/>
      <c r="AD12" s="88" t="str">
        <f>CONCATENATE("На капитальный ремонт ",Source!F12," ",Source!G12)</f>
        <v>На капитальный ремонт  Выполнение работ по замене стеклопакетов в строениях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87" t="s">
        <v>348</v>
      </c>
      <c r="C14" s="14"/>
      <c r="D14" s="14"/>
      <c r="E14" s="14"/>
    </row>
    <row r="15" spans="1:5" ht="15">
      <c r="A15" s="14"/>
      <c r="B15" s="87" t="s">
        <v>349</v>
      </c>
      <c r="C15" s="14"/>
      <c r="D15" s="14"/>
      <c r="E15" s="14"/>
    </row>
    <row r="16" spans="1:5" ht="15">
      <c r="A16" s="14"/>
      <c r="B16" s="87" t="s">
        <v>350</v>
      </c>
      <c r="C16" s="14"/>
      <c r="D16" s="14"/>
      <c r="E16" s="14"/>
    </row>
    <row r="17" spans="1:5" ht="28.5">
      <c r="A17" s="78" t="s">
        <v>277</v>
      </c>
      <c r="B17" s="78" t="s">
        <v>279</v>
      </c>
      <c r="C17" s="78" t="s">
        <v>280</v>
      </c>
      <c r="D17" s="78" t="s">
        <v>281</v>
      </c>
      <c r="E17" s="79" t="s">
        <v>345</v>
      </c>
    </row>
    <row r="18" spans="1:5" ht="14.25">
      <c r="A18" s="89">
        <v>1</v>
      </c>
      <c r="B18" s="89">
        <v>2</v>
      </c>
      <c r="C18" s="89">
        <v>3</v>
      </c>
      <c r="D18" s="89">
        <v>4</v>
      </c>
      <c r="E18" s="90">
        <v>5</v>
      </c>
    </row>
    <row r="19" spans="1:5" ht="16.5">
      <c r="A19" s="135" t="str">
        <f>CONCATENATE("Локальная смета: ",Source!G20)</f>
        <v>Локальная смета: </v>
      </c>
      <c r="B19" s="135"/>
      <c r="C19" s="135"/>
      <c r="D19" s="135"/>
      <c r="E19" s="135"/>
    </row>
    <row r="20" spans="1:5" ht="16.5">
      <c r="A20" s="135" t="str">
        <f>CONCATENATE("Раздел: ",Source!G24)</f>
        <v>Раздел: Замена стекол на стеклопакеты</v>
      </c>
      <c r="B20" s="135"/>
      <c r="C20" s="135"/>
      <c r="D20" s="135"/>
      <c r="E20" s="135"/>
    </row>
    <row r="21" spans="1:5" ht="42.75">
      <c r="A21" s="95">
        <v>1</v>
      </c>
      <c r="B21" s="96" t="str">
        <f>Source!G28</f>
        <v>Смена разбитых стекол на стеклопакеты на эластичной прокладке в металлических переплетах при площади стекла: свыше 3 до 5 м2 (Применительно)</v>
      </c>
      <c r="C21" s="97" t="str">
        <f>Source!H28</f>
        <v>100 м2</v>
      </c>
      <c r="D21" s="98">
        <f>Source!I28</f>
        <v>0.8385</v>
      </c>
      <c r="E21" s="96"/>
    </row>
    <row r="22" spans="1:5" ht="28.5">
      <c r="A22" s="95">
        <v>1.1</v>
      </c>
      <c r="B22" s="96" t="str">
        <f>Source!G30</f>
        <v>Стеклопакет (однокамерный, М6, закаленное, толщина 6мм, тодщина газозаполнения 18 мм, общая толщина стеклопакета 30 мм)</v>
      </c>
      <c r="C22" s="97" t="str">
        <f>Source!H30</f>
        <v>М 2</v>
      </c>
      <c r="D22" s="98">
        <f>Source!I30</f>
        <v>83.85</v>
      </c>
      <c r="E22" s="96"/>
    </row>
    <row r="23" spans="1:5" ht="14.25">
      <c r="A23" s="95">
        <v>1.2</v>
      </c>
      <c r="B23" s="96" t="str">
        <f>Source!G32</f>
        <v>Эластичные прокладки типа</v>
      </c>
      <c r="C23" s="97" t="str">
        <f>Source!H32</f>
        <v>м</v>
      </c>
      <c r="D23" s="98">
        <f>Source!I32</f>
        <v>93.4</v>
      </c>
      <c r="E23" s="96"/>
    </row>
    <row r="24" spans="1:5" ht="14.25">
      <c r="A24" s="95">
        <v>1.3</v>
      </c>
      <c r="B24" s="96" t="str">
        <f>Source!G34</f>
        <v>Герметик типа</v>
      </c>
      <c r="C24" s="97" t="str">
        <f>Source!H34</f>
        <v>кг</v>
      </c>
      <c r="D24" s="98">
        <f>Source!I34</f>
        <v>4.72</v>
      </c>
      <c r="E24" s="96"/>
    </row>
    <row r="25" spans="1:5" ht="14.25">
      <c r="A25" s="95">
        <v>1.4</v>
      </c>
      <c r="B25" s="96" t="str">
        <f>Source!G36</f>
        <v>Строительный мусор</v>
      </c>
      <c r="C25" s="97" t="str">
        <f>Source!H36</f>
        <v>т</v>
      </c>
      <c r="D25" s="98">
        <f>Source!I36</f>
        <v>1.02297</v>
      </c>
      <c r="E25" s="96"/>
    </row>
    <row r="26" spans="1:5" ht="14.25">
      <c r="A26" s="95">
        <v>1.5</v>
      </c>
      <c r="B26" s="96" t="str">
        <f>Source!G38</f>
        <v>Замазка суриковая</v>
      </c>
      <c r="C26" s="97" t="str">
        <f>Source!H38</f>
        <v>кг</v>
      </c>
      <c r="D26" s="98">
        <f>Source!I38</f>
        <v>-46.956</v>
      </c>
      <c r="E26" s="96"/>
    </row>
    <row r="27" spans="1:5" ht="16.5">
      <c r="A27" s="135" t="str">
        <f>CONCATENATE("Раздел: ",Source!G72)</f>
        <v>Раздел: Разные работы</v>
      </c>
      <c r="B27" s="135"/>
      <c r="C27" s="135"/>
      <c r="D27" s="135"/>
      <c r="E27" s="135"/>
    </row>
    <row r="28" spans="1:5" ht="14.25">
      <c r="A28" s="95">
        <v>2</v>
      </c>
      <c r="B28" s="96" t="str">
        <f>Source!G76</f>
        <v>Очистка от строительного мусора (Применительно)</v>
      </c>
      <c r="C28" s="97" t="str">
        <f>Source!H76</f>
        <v>100 т</v>
      </c>
      <c r="D28" s="98">
        <f>Source!I76</f>
        <v>0.01</v>
      </c>
      <c r="E28" s="96"/>
    </row>
    <row r="29" spans="1:5" ht="14.25">
      <c r="A29" s="95">
        <v>2.1</v>
      </c>
      <c r="B29" s="96" t="str">
        <f>Source!G78</f>
        <v>Строительный мусор</v>
      </c>
      <c r="C29" s="97" t="str">
        <f>Source!H78</f>
        <v>т</v>
      </c>
      <c r="D29" s="98">
        <f>Source!I78</f>
        <v>1</v>
      </c>
      <c r="E29" s="96"/>
    </row>
    <row r="30" spans="1:5" ht="28.5">
      <c r="A30" s="95">
        <v>3</v>
      </c>
      <c r="B30" s="96" t="str">
        <f>Source!G80</f>
        <v>Погрузочные работы при автомобильных перевозках мусора строительного с погрузкой вручную</v>
      </c>
      <c r="C30" s="97" t="str">
        <f>Source!H80</f>
        <v>1 Т ГРУЗА</v>
      </c>
      <c r="D30" s="98">
        <f>Source!I80</f>
        <v>1</v>
      </c>
      <c r="E30" s="96"/>
    </row>
    <row r="31" spans="1:5" ht="28.5">
      <c r="A31" s="91">
        <v>4</v>
      </c>
      <c r="B31" s="92" t="str">
        <f>Source!G82</f>
        <v>Перевозка грузов I класса автомобилями бортовыми грузоподъемностью до 5 т на расстояние: до 50 км</v>
      </c>
      <c r="C31" s="93" t="str">
        <f>Source!H82</f>
        <v>1 Т ГРУЗА</v>
      </c>
      <c r="D31" s="94">
        <f>Source!I82</f>
        <v>1</v>
      </c>
      <c r="E31" s="92"/>
    </row>
    <row r="34" spans="1:5" ht="15">
      <c r="A34" s="52" t="s">
        <v>351</v>
      </c>
      <c r="B34" s="52"/>
      <c r="C34" s="52" t="s">
        <v>352</v>
      </c>
      <c r="D34" s="52"/>
      <c r="E34" s="52"/>
    </row>
  </sheetData>
  <sheetProtection/>
  <mergeCells count="7">
    <mergeCell ref="A27:E27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8"/>
  <sheetViews>
    <sheetView zoomScalePageLayoutView="0" workbookViewId="0" topLeftCell="A1">
      <selection activeCell="A214" sqref="A214:AN214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212</v>
      </c>
      <c r="C12" s="1">
        <v>0</v>
      </c>
      <c r="D12" s="1">
        <f>ROW(A149)</f>
        <v>149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405274632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251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B149</f>
        <v>212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замене стеклопакетов в строениях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O149</f>
        <v>1084003.24</v>
      </c>
      <c r="P18" s="3">
        <f t="shared" si="1"/>
        <v>1082342.3</v>
      </c>
      <c r="Q18" s="3">
        <f t="shared" si="1"/>
        <v>20.33</v>
      </c>
      <c r="R18" s="3">
        <f t="shared" si="1"/>
        <v>5.27</v>
      </c>
      <c r="S18" s="3">
        <f t="shared" si="1"/>
        <v>1640.61</v>
      </c>
      <c r="T18" s="3">
        <f t="shared" si="1"/>
        <v>0</v>
      </c>
      <c r="U18" s="3">
        <f t="shared" si="1"/>
        <v>185.5115</v>
      </c>
      <c r="V18" s="3">
        <f t="shared" si="1"/>
        <v>0.41925</v>
      </c>
      <c r="W18" s="3">
        <f t="shared" si="1"/>
        <v>0</v>
      </c>
      <c r="X18" s="3">
        <f t="shared" si="1"/>
        <v>1481.57</v>
      </c>
      <c r="Y18" s="3">
        <f t="shared" si="1"/>
        <v>740.51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1086314.67</v>
      </c>
      <c r="AS18" s="3">
        <f t="shared" si="1"/>
        <v>1086314.67</v>
      </c>
      <c r="AT18" s="3">
        <f t="shared" si="1"/>
        <v>0</v>
      </c>
      <c r="AU18" s="3">
        <f aca="true" t="shared" si="2" ref="AU18:BZ18">AU149</f>
        <v>0</v>
      </c>
      <c r="AV18" s="3">
        <f t="shared" si="2"/>
        <v>1082342.3</v>
      </c>
      <c r="AW18" s="3">
        <f t="shared" si="2"/>
        <v>1082342.3</v>
      </c>
      <c r="AX18" s="3">
        <f t="shared" si="2"/>
        <v>0</v>
      </c>
      <c r="AY18" s="3">
        <f t="shared" si="2"/>
        <v>1082342.3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89.35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CA149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DG149</f>
        <v>1145928.09</v>
      </c>
      <c r="DH18" s="4">
        <f t="shared" si="4"/>
        <v>1082344.06</v>
      </c>
      <c r="DI18" s="4">
        <f t="shared" si="4"/>
        <v>273.08</v>
      </c>
      <c r="DJ18" s="4">
        <f t="shared" si="4"/>
        <v>203.21</v>
      </c>
      <c r="DK18" s="4">
        <f t="shared" si="4"/>
        <v>63310.95</v>
      </c>
      <c r="DL18" s="4">
        <f t="shared" si="4"/>
        <v>0</v>
      </c>
      <c r="DM18" s="4">
        <f t="shared" si="4"/>
        <v>185.5115</v>
      </c>
      <c r="DN18" s="4">
        <f t="shared" si="4"/>
        <v>0.41925</v>
      </c>
      <c r="DO18" s="4">
        <f t="shared" si="4"/>
        <v>0</v>
      </c>
      <c r="DP18" s="4">
        <f t="shared" si="4"/>
        <v>57173.26</v>
      </c>
      <c r="DQ18" s="4">
        <f t="shared" si="4"/>
        <v>28576.11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1232877.43</v>
      </c>
      <c r="EK18" s="4">
        <f t="shared" si="4"/>
        <v>1232877.43</v>
      </c>
      <c r="EL18" s="4">
        <f t="shared" si="4"/>
        <v>0</v>
      </c>
      <c r="EM18" s="4">
        <f aca="true" t="shared" si="5" ref="EM18:FR18">EM149</f>
        <v>0</v>
      </c>
      <c r="EN18" s="4">
        <f t="shared" si="5"/>
        <v>1082344.06</v>
      </c>
      <c r="EO18" s="4">
        <f t="shared" si="5"/>
        <v>1082344.06</v>
      </c>
      <c r="EP18" s="4">
        <f t="shared" si="5"/>
        <v>0</v>
      </c>
      <c r="EQ18" s="4">
        <f t="shared" si="5"/>
        <v>1082344.06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1199.97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FS149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ROW(A116)</f>
        <v>116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5</v>
      </c>
      <c r="AC20" s="1" t="s">
        <v>19</v>
      </c>
      <c r="AD20" s="1" t="s">
        <v>20</v>
      </c>
      <c r="AE20" s="1" t="s">
        <v>21</v>
      </c>
      <c r="AF20" s="1" t="s">
        <v>22</v>
      </c>
      <c r="AG20" s="1" t="s">
        <v>23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B116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O116</f>
        <v>1084003.24</v>
      </c>
      <c r="P22" s="3">
        <f t="shared" si="8"/>
        <v>1082342.3</v>
      </c>
      <c r="Q22" s="3">
        <f t="shared" si="8"/>
        <v>20.33</v>
      </c>
      <c r="R22" s="3">
        <f t="shared" si="8"/>
        <v>5.27</v>
      </c>
      <c r="S22" s="3">
        <f t="shared" si="8"/>
        <v>1640.61</v>
      </c>
      <c r="T22" s="3">
        <f t="shared" si="8"/>
        <v>0</v>
      </c>
      <c r="U22" s="3">
        <f t="shared" si="8"/>
        <v>185.5115</v>
      </c>
      <c r="V22" s="3">
        <f t="shared" si="8"/>
        <v>0.41925</v>
      </c>
      <c r="W22" s="3">
        <f t="shared" si="8"/>
        <v>0</v>
      </c>
      <c r="X22" s="3">
        <f t="shared" si="8"/>
        <v>1481.57</v>
      </c>
      <c r="Y22" s="3">
        <f t="shared" si="8"/>
        <v>740.51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1086314.67</v>
      </c>
      <c r="AS22" s="3">
        <f t="shared" si="8"/>
        <v>1086314.67</v>
      </c>
      <c r="AT22" s="3">
        <f t="shared" si="8"/>
        <v>0</v>
      </c>
      <c r="AU22" s="3">
        <f aca="true" t="shared" si="9" ref="AU22:BZ22">AU116</f>
        <v>0</v>
      </c>
      <c r="AV22" s="3">
        <f t="shared" si="9"/>
        <v>1082342.3</v>
      </c>
      <c r="AW22" s="3">
        <f t="shared" si="9"/>
        <v>1082342.3</v>
      </c>
      <c r="AX22" s="3">
        <f t="shared" si="9"/>
        <v>0</v>
      </c>
      <c r="AY22" s="3">
        <f t="shared" si="9"/>
        <v>1082342.3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89.35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CA116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DG116</f>
        <v>1145928.09</v>
      </c>
      <c r="DH22" s="4">
        <f t="shared" si="11"/>
        <v>1082344.06</v>
      </c>
      <c r="DI22" s="4">
        <f t="shared" si="11"/>
        <v>273.08</v>
      </c>
      <c r="DJ22" s="4">
        <f t="shared" si="11"/>
        <v>203.21</v>
      </c>
      <c r="DK22" s="4">
        <f t="shared" si="11"/>
        <v>63310.95</v>
      </c>
      <c r="DL22" s="4">
        <f t="shared" si="11"/>
        <v>0</v>
      </c>
      <c r="DM22" s="4">
        <f t="shared" si="11"/>
        <v>185.5115</v>
      </c>
      <c r="DN22" s="4">
        <f t="shared" si="11"/>
        <v>0.41925</v>
      </c>
      <c r="DO22" s="4">
        <f t="shared" si="11"/>
        <v>0</v>
      </c>
      <c r="DP22" s="4">
        <f t="shared" si="11"/>
        <v>57173.26</v>
      </c>
      <c r="DQ22" s="4">
        <f t="shared" si="11"/>
        <v>28576.11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1232877.43</v>
      </c>
      <c r="EK22" s="4">
        <f t="shared" si="11"/>
        <v>1232877.43</v>
      </c>
      <c r="EL22" s="4">
        <f t="shared" si="11"/>
        <v>0</v>
      </c>
      <c r="EM22" s="4">
        <f aca="true" t="shared" si="12" ref="EM22:FR22">EM116</f>
        <v>0</v>
      </c>
      <c r="EN22" s="4">
        <f t="shared" si="12"/>
        <v>1082344.06</v>
      </c>
      <c r="EO22" s="4">
        <f t="shared" si="12"/>
        <v>1082344.06</v>
      </c>
      <c r="EP22" s="4">
        <f t="shared" si="12"/>
        <v>0</v>
      </c>
      <c r="EQ22" s="4">
        <f t="shared" si="12"/>
        <v>1082344.06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1199.97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FS116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24</v>
      </c>
      <c r="G24" s="1" t="s">
        <v>25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B41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Замена стекол на стеклопакеты</v>
      </c>
      <c r="H26" s="3"/>
      <c r="I26" s="3"/>
      <c r="J26" s="3"/>
      <c r="K26" s="3"/>
      <c r="L26" s="3"/>
      <c r="M26" s="3"/>
      <c r="N26" s="3"/>
      <c r="O26" s="3">
        <f aca="true" t="shared" si="15" ref="O26:AT26">O41</f>
        <v>1083989.61</v>
      </c>
      <c r="P26" s="3">
        <f t="shared" si="15"/>
        <v>1082342.3</v>
      </c>
      <c r="Q26" s="3">
        <f t="shared" si="15"/>
        <v>20.33</v>
      </c>
      <c r="R26" s="3">
        <f t="shared" si="15"/>
        <v>5.27</v>
      </c>
      <c r="S26" s="3">
        <f t="shared" si="15"/>
        <v>1626.98</v>
      </c>
      <c r="T26" s="3">
        <f t="shared" si="15"/>
        <v>0</v>
      </c>
      <c r="U26" s="3">
        <f t="shared" si="15"/>
        <v>183.63150000000002</v>
      </c>
      <c r="V26" s="3">
        <f t="shared" si="15"/>
        <v>0.41925</v>
      </c>
      <c r="W26" s="3">
        <f t="shared" si="15"/>
        <v>0</v>
      </c>
      <c r="X26" s="3">
        <f t="shared" si="15"/>
        <v>1469.03</v>
      </c>
      <c r="Y26" s="3">
        <f t="shared" si="15"/>
        <v>734.51</v>
      </c>
      <c r="Z26" s="3">
        <f t="shared" si="15"/>
        <v>0</v>
      </c>
      <c r="AA26" s="3">
        <f t="shared" si="15"/>
        <v>0</v>
      </c>
      <c r="AB26" s="3">
        <f t="shared" si="15"/>
        <v>1083989.61</v>
      </c>
      <c r="AC26" s="3">
        <f t="shared" si="15"/>
        <v>1082342.3</v>
      </c>
      <c r="AD26" s="3">
        <f t="shared" si="15"/>
        <v>20.33</v>
      </c>
      <c r="AE26" s="3">
        <f t="shared" si="15"/>
        <v>5.27</v>
      </c>
      <c r="AF26" s="3">
        <f t="shared" si="15"/>
        <v>1626.98</v>
      </c>
      <c r="AG26" s="3">
        <f t="shared" si="15"/>
        <v>0</v>
      </c>
      <c r="AH26" s="3">
        <f t="shared" si="15"/>
        <v>183.63150000000002</v>
      </c>
      <c r="AI26" s="3">
        <f t="shared" si="15"/>
        <v>0.41925</v>
      </c>
      <c r="AJ26" s="3">
        <f t="shared" si="15"/>
        <v>0</v>
      </c>
      <c r="AK26" s="3">
        <f t="shared" si="15"/>
        <v>1469.03</v>
      </c>
      <c r="AL26" s="3">
        <f t="shared" si="15"/>
        <v>734.51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1086193.15</v>
      </c>
      <c r="AS26" s="3">
        <f t="shared" si="15"/>
        <v>1086193.15</v>
      </c>
      <c r="AT26" s="3">
        <f t="shared" si="15"/>
        <v>0</v>
      </c>
      <c r="AU26" s="3">
        <f aca="true" t="shared" si="16" ref="AU26:BZ26">AU41</f>
        <v>0</v>
      </c>
      <c r="AV26" s="3">
        <f t="shared" si="16"/>
        <v>1082342.3</v>
      </c>
      <c r="AW26" s="3">
        <f t="shared" si="16"/>
        <v>1082342.3</v>
      </c>
      <c r="AX26" s="3">
        <f t="shared" si="16"/>
        <v>0</v>
      </c>
      <c r="AY26" s="3">
        <f t="shared" si="16"/>
        <v>1082342.3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CA41</f>
        <v>1086193.15</v>
      </c>
      <c r="CB26" s="3">
        <f t="shared" si="17"/>
        <v>1086193.15</v>
      </c>
      <c r="CC26" s="3">
        <f t="shared" si="17"/>
        <v>0</v>
      </c>
      <c r="CD26" s="3">
        <f t="shared" si="17"/>
        <v>0</v>
      </c>
      <c r="CE26" s="3">
        <f t="shared" si="17"/>
        <v>1082342.3</v>
      </c>
      <c r="CF26" s="3">
        <f t="shared" si="17"/>
        <v>1082342.3</v>
      </c>
      <c r="CG26" s="3">
        <f t="shared" si="17"/>
        <v>0</v>
      </c>
      <c r="CH26" s="3">
        <f t="shared" si="17"/>
        <v>1082342.3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DG41</f>
        <v>1145402.11</v>
      </c>
      <c r="DH26" s="4">
        <f t="shared" si="18"/>
        <v>1082344.06</v>
      </c>
      <c r="DI26" s="4">
        <f t="shared" si="18"/>
        <v>273.08</v>
      </c>
      <c r="DJ26" s="4">
        <f t="shared" si="18"/>
        <v>203.21</v>
      </c>
      <c r="DK26" s="4">
        <f t="shared" si="18"/>
        <v>62784.97</v>
      </c>
      <c r="DL26" s="4">
        <f t="shared" si="18"/>
        <v>0</v>
      </c>
      <c r="DM26" s="4">
        <f t="shared" si="18"/>
        <v>183.63150000000002</v>
      </c>
      <c r="DN26" s="4">
        <f t="shared" si="18"/>
        <v>0.41925</v>
      </c>
      <c r="DO26" s="4">
        <f t="shared" si="18"/>
        <v>0</v>
      </c>
      <c r="DP26" s="4">
        <f t="shared" si="18"/>
        <v>56689.36</v>
      </c>
      <c r="DQ26" s="4">
        <f t="shared" si="18"/>
        <v>28344.68</v>
      </c>
      <c r="DR26" s="4">
        <f t="shared" si="18"/>
        <v>0</v>
      </c>
      <c r="DS26" s="4">
        <f t="shared" si="18"/>
        <v>0</v>
      </c>
      <c r="DT26" s="4">
        <f t="shared" si="18"/>
        <v>1145402.11</v>
      </c>
      <c r="DU26" s="4">
        <f t="shared" si="18"/>
        <v>1082344.06</v>
      </c>
      <c r="DV26" s="4">
        <f t="shared" si="18"/>
        <v>273.08</v>
      </c>
      <c r="DW26" s="4">
        <f t="shared" si="18"/>
        <v>203.21</v>
      </c>
      <c r="DX26" s="4">
        <f t="shared" si="18"/>
        <v>62784.97</v>
      </c>
      <c r="DY26" s="4">
        <f t="shared" si="18"/>
        <v>0</v>
      </c>
      <c r="DZ26" s="4">
        <f t="shared" si="18"/>
        <v>183.63150000000002</v>
      </c>
      <c r="EA26" s="4">
        <f t="shared" si="18"/>
        <v>0.41925</v>
      </c>
      <c r="EB26" s="4">
        <f t="shared" si="18"/>
        <v>0</v>
      </c>
      <c r="EC26" s="4">
        <f t="shared" si="18"/>
        <v>56689.36</v>
      </c>
      <c r="ED26" s="4">
        <f t="shared" si="18"/>
        <v>28344.68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1230436.15</v>
      </c>
      <c r="EK26" s="4">
        <f t="shared" si="18"/>
        <v>1230436.15</v>
      </c>
      <c r="EL26" s="4">
        <f t="shared" si="18"/>
        <v>0</v>
      </c>
      <c r="EM26" s="4">
        <f aca="true" t="shared" si="19" ref="EM26:FR26">EM41</f>
        <v>0</v>
      </c>
      <c r="EN26" s="4">
        <f t="shared" si="19"/>
        <v>1082344.06</v>
      </c>
      <c r="EO26" s="4">
        <f t="shared" si="19"/>
        <v>1082344.06</v>
      </c>
      <c r="EP26" s="4">
        <f t="shared" si="19"/>
        <v>0</v>
      </c>
      <c r="EQ26" s="4">
        <f t="shared" si="19"/>
        <v>1082344.06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FS41</f>
        <v>1230436.15</v>
      </c>
      <c r="FT26" s="4">
        <f t="shared" si="20"/>
        <v>1230436.15</v>
      </c>
      <c r="FU26" s="4">
        <f t="shared" si="20"/>
        <v>0</v>
      </c>
      <c r="FV26" s="4">
        <f t="shared" si="20"/>
        <v>0</v>
      </c>
      <c r="FW26" s="4">
        <f t="shared" si="20"/>
        <v>1082344.06</v>
      </c>
      <c r="FX26" s="4">
        <f t="shared" si="20"/>
        <v>1082344.06</v>
      </c>
      <c r="FY26" s="4">
        <f t="shared" si="20"/>
        <v>0</v>
      </c>
      <c r="FZ26" s="4">
        <f t="shared" si="20"/>
        <v>1082344.06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ROW(SmtRes!A10)</f>
        <v>10</v>
      </c>
      <c r="D28" s="2">
        <f>ROW(EtalonRes!A10)</f>
        <v>10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ROUND(83.85/100,7)</f>
        <v>0.8385</v>
      </c>
      <c r="J28" s="2">
        <v>0</v>
      </c>
      <c r="K28" s="2">
        <f>ROUND(83.85/100,7)</f>
        <v>0.8385</v>
      </c>
      <c r="L28" s="2"/>
      <c r="M28" s="2"/>
      <c r="N28" s="2"/>
      <c r="O28" s="2">
        <f aca="true" t="shared" si="21" ref="O28:O39">ROUND(CP28,2)</f>
        <v>2568.42</v>
      </c>
      <c r="P28" s="2">
        <f aca="true" t="shared" si="22" ref="P28:P39">ROUND(CQ28*I28,2)</f>
        <v>921.11</v>
      </c>
      <c r="Q28" s="2">
        <f aca="true" t="shared" si="23" ref="Q28:Q39">ROUND(CR28*I28,2)</f>
        <v>20.33</v>
      </c>
      <c r="R28" s="2">
        <f aca="true" t="shared" si="24" ref="R28:R39">ROUND(CS28*I28,2)</f>
        <v>5.27</v>
      </c>
      <c r="S28" s="2">
        <f aca="true" t="shared" si="25" ref="S28:S39">ROUND(CT28*I28,2)</f>
        <v>1626.98</v>
      </c>
      <c r="T28" s="2">
        <f aca="true" t="shared" si="26" ref="T28:T39">ROUND(CU28*I28,2)</f>
        <v>0</v>
      </c>
      <c r="U28" s="2">
        <f aca="true" t="shared" si="27" ref="U28:U39">CV28*I28</f>
        <v>183.63150000000002</v>
      </c>
      <c r="V28" s="2">
        <f aca="true" t="shared" si="28" ref="V28:V39">CW28*I28</f>
        <v>0.41925</v>
      </c>
      <c r="W28" s="2">
        <f aca="true" t="shared" si="29" ref="W28:W39">ROUND(CX28*I28,2)</f>
        <v>0</v>
      </c>
      <c r="X28" s="2">
        <f aca="true" t="shared" si="30" ref="X28:X39">ROUND(CY28,2)</f>
        <v>1469.03</v>
      </c>
      <c r="Y28" s="2">
        <f aca="true" t="shared" si="31" ref="Y28:Y39">ROUND(CZ28,2)</f>
        <v>734.51</v>
      </c>
      <c r="Z28" s="2"/>
      <c r="AA28" s="2">
        <v>55724169</v>
      </c>
      <c r="AB28" s="2">
        <f aca="true" t="shared" si="32" ref="AB28:AB39">ROUND((AC28+AD28+AF28),6)</f>
        <v>3063.11</v>
      </c>
      <c r="AC28" s="2">
        <f aca="true" t="shared" si="33" ref="AC28:AC39">ROUND((ES28),6)</f>
        <v>1098.52</v>
      </c>
      <c r="AD28" s="2">
        <f aca="true" t="shared" si="34" ref="AD28:AD39">ROUND((((ET28)-(EU28))+AE28),6)</f>
        <v>24.25</v>
      </c>
      <c r="AE28" s="2">
        <f aca="true" t="shared" si="35" ref="AE28:AE39">ROUND((EU28),6)</f>
        <v>6.28</v>
      </c>
      <c r="AF28" s="2">
        <f aca="true" t="shared" si="36" ref="AF28:AF39">ROUND((EV28),6)</f>
        <v>1940.34</v>
      </c>
      <c r="AG28" s="2">
        <f aca="true" t="shared" si="37" ref="AG28:AG39">ROUND((AP28),6)</f>
        <v>0</v>
      </c>
      <c r="AH28" s="2">
        <f aca="true" t="shared" si="38" ref="AH28:AH39">(EW28)</f>
        <v>219</v>
      </c>
      <c r="AI28" s="2">
        <f aca="true" t="shared" si="39" ref="AI28:AI39">(EX28)</f>
        <v>0.5</v>
      </c>
      <c r="AJ28" s="2">
        <f aca="true" t="shared" si="40" ref="AJ28:AJ39">(AS28)</f>
        <v>0</v>
      </c>
      <c r="AK28" s="2">
        <v>3063.11</v>
      </c>
      <c r="AL28" s="2">
        <v>1098.52</v>
      </c>
      <c r="AM28" s="2">
        <v>24.25</v>
      </c>
      <c r="AN28" s="2">
        <v>6.28</v>
      </c>
      <c r="AO28" s="2">
        <v>1940.34</v>
      </c>
      <c r="AP28" s="2">
        <v>0</v>
      </c>
      <c r="AQ28" s="2">
        <v>219</v>
      </c>
      <c r="AR28" s="2">
        <v>0.5</v>
      </c>
      <c r="AS28" s="2">
        <v>0</v>
      </c>
      <c r="AT28" s="2">
        <v>90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63001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90</v>
      </c>
      <c r="CA28" s="2">
        <v>45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41" ref="CP28:CP39">(P28+Q28+S28)</f>
        <v>2568.42</v>
      </c>
      <c r="CQ28" s="2">
        <f aca="true" t="shared" si="42" ref="CQ28:CQ39">AC28*BC28</f>
        <v>1098.52</v>
      </c>
      <c r="CR28" s="2">
        <f aca="true" t="shared" si="43" ref="CR28:CR39">(((ET28)*BB28-(EU28)*BS28)+AE28*BS28)</f>
        <v>24.25</v>
      </c>
      <c r="CS28" s="2">
        <f aca="true" t="shared" si="44" ref="CS28:CS39">AE28*BS28</f>
        <v>6.28</v>
      </c>
      <c r="CT28" s="2">
        <f aca="true" t="shared" si="45" ref="CT28:CT39">AF28*BA28</f>
        <v>1940.34</v>
      </c>
      <c r="CU28" s="2">
        <f aca="true" t="shared" si="46" ref="CU28:CU39">AG28</f>
        <v>0</v>
      </c>
      <c r="CV28" s="2">
        <f aca="true" t="shared" si="47" ref="CV28:CV39">AH28</f>
        <v>219</v>
      </c>
      <c r="CW28" s="2">
        <f aca="true" t="shared" si="48" ref="CW28:CW39">AI28</f>
        <v>0.5</v>
      </c>
      <c r="CX28" s="2">
        <f aca="true" t="shared" si="49" ref="CX28:CX39">AJ28</f>
        <v>0</v>
      </c>
      <c r="CY28" s="2">
        <f aca="true" t="shared" si="50" ref="CY28:CY39">(((S28+R28)*AT28)/100)</f>
        <v>1469.025</v>
      </c>
      <c r="CZ28" s="2">
        <f aca="true" t="shared" si="51" ref="CZ28:CZ39">(((S28+R28)*AU28)/100)</f>
        <v>734.5125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29</v>
      </c>
      <c r="DW28" s="2" t="s">
        <v>29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55471797</v>
      </c>
      <c r="EF28" s="2">
        <v>6</v>
      </c>
      <c r="EG28" s="2" t="s">
        <v>31</v>
      </c>
      <c r="EH28" s="2">
        <v>97</v>
      </c>
      <c r="EI28" s="2" t="s">
        <v>32</v>
      </c>
      <c r="EJ28" s="2">
        <v>1</v>
      </c>
      <c r="EK28" s="2">
        <v>63001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3063.11</v>
      </c>
      <c r="ES28" s="2">
        <v>1098.52</v>
      </c>
      <c r="ET28" s="2">
        <v>24.25</v>
      </c>
      <c r="EU28" s="2">
        <v>6.28</v>
      </c>
      <c r="EV28" s="2">
        <v>1940.34</v>
      </c>
      <c r="EW28" s="2">
        <v>219</v>
      </c>
      <c r="EX28" s="2">
        <v>0.5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52" ref="FR28:FR39">ROUND(IF(AND(BH28=3,BI28=3),P28,0),2)</f>
        <v>0</v>
      </c>
      <c r="FS28" s="2">
        <v>0</v>
      </c>
      <c r="FT28" s="2"/>
      <c r="FU28" s="2"/>
      <c r="FV28" s="2"/>
      <c r="FW28" s="2"/>
      <c r="FX28" s="2">
        <v>90</v>
      </c>
      <c r="FY28" s="2">
        <v>45</v>
      </c>
      <c r="FZ28" s="2"/>
      <c r="GA28" s="2" t="s">
        <v>3</v>
      </c>
      <c r="GB28" s="2"/>
      <c r="GC28" s="2"/>
      <c r="GD28" s="2">
        <v>1</v>
      </c>
      <c r="GE28" s="2"/>
      <c r="GF28" s="2">
        <v>-1389789193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53" ref="GL28:GL39">ROUND(IF(AND(BH28=3,BI28=3,FS28&lt;&gt;0),P28,0),2)</f>
        <v>0</v>
      </c>
      <c r="GM28" s="2">
        <f aca="true" t="shared" si="54" ref="GM28:GM39">ROUND(O28+X28+Y28,2)+GX28</f>
        <v>4771.96</v>
      </c>
      <c r="GN28" s="2">
        <f aca="true" t="shared" si="55" ref="GN28:GN39">IF(OR(BI28=0,BI28=1),ROUND(O28+X28+Y28,2),0)</f>
        <v>4771.96</v>
      </c>
      <c r="GO28" s="2">
        <f aca="true" t="shared" si="56" ref="GO28:GO39">IF(BI28=2,ROUND(O28+X28+Y28,2),0)</f>
        <v>0</v>
      </c>
      <c r="GP28" s="2">
        <f aca="true" t="shared" si="57" ref="GP28:GP39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8" ref="GV28:GV39">ROUND((GT28),6)</f>
        <v>0</v>
      </c>
      <c r="GW28" s="2">
        <v>1</v>
      </c>
      <c r="GX28" s="2">
        <f aca="true" t="shared" si="59" ref="GX28:GX39">ROUND(HC28*I28,2)</f>
        <v>0</v>
      </c>
      <c r="GY28" s="2"/>
      <c r="GZ28" s="2"/>
      <c r="HA28" s="2">
        <v>0</v>
      </c>
      <c r="HB28" s="2">
        <v>0</v>
      </c>
      <c r="HC28" s="2">
        <f aca="true" t="shared" si="60" ref="HC28:HC39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35</v>
      </c>
      <c r="HO28" s="2" t="s">
        <v>36</v>
      </c>
      <c r="HP28" s="2" t="s">
        <v>33</v>
      </c>
      <c r="HQ28" s="2" t="s">
        <v>33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ROW(SmtRes!A20)</f>
        <v>20</v>
      </c>
      <c r="D29">
        <f>ROW(EtalonRes!A20)</f>
        <v>20</v>
      </c>
      <c r="E29" t="s">
        <v>26</v>
      </c>
      <c r="F29" t="s">
        <v>27</v>
      </c>
      <c r="G29" t="s">
        <v>28</v>
      </c>
      <c r="H29" t="s">
        <v>29</v>
      </c>
      <c r="I29">
        <f>ROUND(83.85/100,7)</f>
        <v>0.8385</v>
      </c>
      <c r="J29">
        <v>0</v>
      </c>
      <c r="K29">
        <f>ROUND(83.85/100,7)</f>
        <v>0.8385</v>
      </c>
      <c r="O29">
        <f t="shared" si="21"/>
        <v>69340.01</v>
      </c>
      <c r="P29">
        <f t="shared" si="22"/>
        <v>6281.96</v>
      </c>
      <c r="Q29">
        <f t="shared" si="23"/>
        <v>273.08</v>
      </c>
      <c r="R29">
        <f t="shared" si="24"/>
        <v>203.21</v>
      </c>
      <c r="S29">
        <f t="shared" si="25"/>
        <v>62784.97</v>
      </c>
      <c r="T29">
        <f t="shared" si="26"/>
        <v>0</v>
      </c>
      <c r="U29">
        <f t="shared" si="27"/>
        <v>183.63150000000002</v>
      </c>
      <c r="V29">
        <f t="shared" si="28"/>
        <v>0.41925</v>
      </c>
      <c r="W29">
        <f t="shared" si="29"/>
        <v>0</v>
      </c>
      <c r="X29">
        <f t="shared" si="30"/>
        <v>56689.36</v>
      </c>
      <c r="Y29">
        <f t="shared" si="31"/>
        <v>28344.68</v>
      </c>
      <c r="AA29">
        <v>55724170</v>
      </c>
      <c r="AB29">
        <f t="shared" si="32"/>
        <v>3063.11</v>
      </c>
      <c r="AC29">
        <f t="shared" si="33"/>
        <v>1098.52</v>
      </c>
      <c r="AD29">
        <f t="shared" si="34"/>
        <v>24.25</v>
      </c>
      <c r="AE29">
        <f t="shared" si="35"/>
        <v>6.28</v>
      </c>
      <c r="AF29">
        <f t="shared" si="36"/>
        <v>1940.34</v>
      </c>
      <c r="AG29">
        <f t="shared" si="37"/>
        <v>0</v>
      </c>
      <c r="AH29">
        <f t="shared" si="38"/>
        <v>219</v>
      </c>
      <c r="AI29">
        <f t="shared" si="39"/>
        <v>0.5</v>
      </c>
      <c r="AJ29">
        <f t="shared" si="40"/>
        <v>0</v>
      </c>
      <c r="AK29">
        <v>3063.11</v>
      </c>
      <c r="AL29">
        <v>1098.52</v>
      </c>
      <c r="AM29">
        <v>24.25</v>
      </c>
      <c r="AN29">
        <v>6.28</v>
      </c>
      <c r="AO29">
        <v>1940.34</v>
      </c>
      <c r="AP29">
        <v>0</v>
      </c>
      <c r="AQ29">
        <v>219</v>
      </c>
      <c r="AR29">
        <v>0.5</v>
      </c>
      <c r="AS29">
        <v>0</v>
      </c>
      <c r="AT29">
        <v>90</v>
      </c>
      <c r="AU29">
        <v>45</v>
      </c>
      <c r="AV29">
        <v>1</v>
      </c>
      <c r="AW29">
        <v>1</v>
      </c>
      <c r="AZ29">
        <v>1</v>
      </c>
      <c r="BA29">
        <v>38.59</v>
      </c>
      <c r="BB29">
        <v>13.43</v>
      </c>
      <c r="BC29">
        <v>6.82</v>
      </c>
      <c r="BH29">
        <v>0</v>
      </c>
      <c r="BI29">
        <v>1</v>
      </c>
      <c r="BJ29" t="s">
        <v>30</v>
      </c>
      <c r="BM29">
        <v>63001</v>
      </c>
      <c r="BN29">
        <v>0</v>
      </c>
      <c r="BP29">
        <v>0</v>
      </c>
      <c r="BQ29">
        <v>6</v>
      </c>
      <c r="BR29">
        <v>0</v>
      </c>
      <c r="BS29">
        <v>38.59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90</v>
      </c>
      <c r="CA29">
        <v>45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41"/>
        <v>69340.01</v>
      </c>
      <c r="CQ29">
        <f t="shared" si="42"/>
        <v>7491.9064</v>
      </c>
      <c r="CR29">
        <f t="shared" si="43"/>
        <v>325.6775</v>
      </c>
      <c r="CS29">
        <f t="shared" si="44"/>
        <v>242.34520000000003</v>
      </c>
      <c r="CT29">
        <f t="shared" si="45"/>
        <v>74877.7206</v>
      </c>
      <c r="CU29">
        <f t="shared" si="46"/>
        <v>0</v>
      </c>
      <c r="CV29">
        <f t="shared" si="47"/>
        <v>219</v>
      </c>
      <c r="CW29">
        <f t="shared" si="48"/>
        <v>0.5</v>
      </c>
      <c r="CX29">
        <f t="shared" si="49"/>
        <v>0</v>
      </c>
      <c r="CY29">
        <f t="shared" si="50"/>
        <v>56689.362</v>
      </c>
      <c r="CZ29">
        <f t="shared" si="51"/>
        <v>28344.681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29</v>
      </c>
      <c r="DW29" t="s">
        <v>29</v>
      </c>
      <c r="DX29">
        <v>100</v>
      </c>
      <c r="EE29">
        <v>55471797</v>
      </c>
      <c r="EF29">
        <v>6</v>
      </c>
      <c r="EG29" t="s">
        <v>31</v>
      </c>
      <c r="EH29">
        <v>97</v>
      </c>
      <c r="EI29" t="s">
        <v>32</v>
      </c>
      <c r="EJ29">
        <v>1</v>
      </c>
      <c r="EK29">
        <v>63001</v>
      </c>
      <c r="EL29" t="s">
        <v>33</v>
      </c>
      <c r="EM29" t="s">
        <v>34</v>
      </c>
      <c r="EQ29">
        <v>0</v>
      </c>
      <c r="ER29">
        <v>3063.11</v>
      </c>
      <c r="ES29">
        <v>1098.52</v>
      </c>
      <c r="ET29">
        <v>24.25</v>
      </c>
      <c r="EU29">
        <v>6.28</v>
      </c>
      <c r="EV29">
        <v>1940.34</v>
      </c>
      <c r="EW29">
        <v>219</v>
      </c>
      <c r="EX29">
        <v>0.5</v>
      </c>
      <c r="EY29">
        <v>0</v>
      </c>
      <c r="FQ29">
        <v>0</v>
      </c>
      <c r="FR29">
        <f t="shared" si="52"/>
        <v>0</v>
      </c>
      <c r="FS29">
        <v>0</v>
      </c>
      <c r="FX29">
        <v>90</v>
      </c>
      <c r="FY29">
        <v>45</v>
      </c>
      <c r="GD29">
        <v>1</v>
      </c>
      <c r="GF29">
        <v>-1389789193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53"/>
        <v>0</v>
      </c>
      <c r="GM29">
        <f t="shared" si="54"/>
        <v>154374.05</v>
      </c>
      <c r="GN29">
        <f t="shared" si="55"/>
        <v>154374.05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HN29" t="s">
        <v>35</v>
      </c>
      <c r="HO29" t="s">
        <v>36</v>
      </c>
      <c r="HP29" t="s">
        <v>33</v>
      </c>
      <c r="HQ29" t="s">
        <v>33</v>
      </c>
      <c r="IK29">
        <v>0</v>
      </c>
    </row>
    <row r="30" spans="1:255" ht="12.75">
      <c r="A30" s="2">
        <v>18</v>
      </c>
      <c r="B30" s="2">
        <v>1</v>
      </c>
      <c r="C30" s="2">
        <v>10</v>
      </c>
      <c r="D30" s="2"/>
      <c r="E30" s="2" t="s">
        <v>37</v>
      </c>
      <c r="F30" s="2" t="s">
        <v>38</v>
      </c>
      <c r="G30" s="2" t="s">
        <v>39</v>
      </c>
      <c r="H30" s="2" t="s">
        <v>40</v>
      </c>
      <c r="I30" s="2">
        <f>I28*J30</f>
        <v>83.85</v>
      </c>
      <c r="J30" s="2">
        <v>99.99999999999999</v>
      </c>
      <c r="K30" s="2">
        <v>100</v>
      </c>
      <c r="L30" s="2"/>
      <c r="M30" s="2"/>
      <c r="N30" s="2"/>
      <c r="O30" s="2">
        <f t="shared" si="21"/>
        <v>1033032</v>
      </c>
      <c r="P30" s="2">
        <f t="shared" si="22"/>
        <v>1033032</v>
      </c>
      <c r="Q30" s="2">
        <f t="shared" si="23"/>
        <v>0</v>
      </c>
      <c r="R30" s="2">
        <f t="shared" si="24"/>
        <v>0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0</v>
      </c>
      <c r="Y30" s="2">
        <f t="shared" si="31"/>
        <v>0</v>
      </c>
      <c r="Z30" s="2"/>
      <c r="AA30" s="2">
        <v>55724169</v>
      </c>
      <c r="AB30" s="2">
        <f t="shared" si="32"/>
        <v>12320</v>
      </c>
      <c r="AC30" s="2">
        <f t="shared" si="33"/>
        <v>12320</v>
      </c>
      <c r="AD30" s="2">
        <f t="shared" si="34"/>
        <v>0</v>
      </c>
      <c r="AE30" s="2">
        <f t="shared" si="35"/>
        <v>0</v>
      </c>
      <c r="AF30" s="2">
        <f t="shared" si="36"/>
        <v>0</v>
      </c>
      <c r="AG30" s="2">
        <f t="shared" si="37"/>
        <v>0</v>
      </c>
      <c r="AH30" s="2">
        <f t="shared" si="38"/>
        <v>0</v>
      </c>
      <c r="AI30" s="2">
        <f t="shared" si="39"/>
        <v>0</v>
      </c>
      <c r="AJ30" s="2">
        <f t="shared" si="40"/>
        <v>0</v>
      </c>
      <c r="AK30" s="2">
        <v>12320</v>
      </c>
      <c r="AL30" s="2">
        <v>12320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90</v>
      </c>
      <c r="AU30" s="2">
        <v>45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63001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90</v>
      </c>
      <c r="CA30" s="2">
        <v>45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41"/>
        <v>1033032</v>
      </c>
      <c r="CQ30" s="2">
        <f t="shared" si="42"/>
        <v>12320</v>
      </c>
      <c r="CR30" s="2">
        <f t="shared" si="43"/>
        <v>0</v>
      </c>
      <c r="CS30" s="2">
        <f t="shared" si="44"/>
        <v>0</v>
      </c>
      <c r="CT30" s="2">
        <f t="shared" si="45"/>
        <v>0</v>
      </c>
      <c r="CU30" s="2">
        <f t="shared" si="46"/>
        <v>0</v>
      </c>
      <c r="CV30" s="2">
        <f t="shared" si="47"/>
        <v>0</v>
      </c>
      <c r="CW30" s="2">
        <f t="shared" si="48"/>
        <v>0</v>
      </c>
      <c r="CX30" s="2">
        <f t="shared" si="49"/>
        <v>0</v>
      </c>
      <c r="CY30" s="2">
        <f t="shared" si="50"/>
        <v>0</v>
      </c>
      <c r="CZ30" s="2">
        <f t="shared" si="51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40</v>
      </c>
      <c r="DW30" s="2" t="s">
        <v>40</v>
      </c>
      <c r="DX30" s="2">
        <v>1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55471797</v>
      </c>
      <c r="EF30" s="2">
        <v>6</v>
      </c>
      <c r="EG30" s="2" t="s">
        <v>31</v>
      </c>
      <c r="EH30" s="2">
        <v>97</v>
      </c>
      <c r="EI30" s="2" t="s">
        <v>32</v>
      </c>
      <c r="EJ30" s="2">
        <v>1</v>
      </c>
      <c r="EK30" s="2">
        <v>63001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0</v>
      </c>
      <c r="ES30" s="2">
        <v>12320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52"/>
        <v>0</v>
      </c>
      <c r="FS30" s="2">
        <v>0</v>
      </c>
      <c r="FT30" s="2"/>
      <c r="FU30" s="2"/>
      <c r="FV30" s="2"/>
      <c r="FW30" s="2"/>
      <c r="FX30" s="2">
        <v>90</v>
      </c>
      <c r="FY30" s="2">
        <v>45</v>
      </c>
      <c r="FZ30" s="2"/>
      <c r="GA30" s="2" t="s">
        <v>41</v>
      </c>
      <c r="GB30" s="2"/>
      <c r="GC30" s="2"/>
      <c r="GD30" s="2">
        <v>1</v>
      </c>
      <c r="GE30" s="2"/>
      <c r="GF30" s="2">
        <v>-378200896</v>
      </c>
      <c r="GG30" s="2">
        <v>2</v>
      </c>
      <c r="GH30" s="2">
        <v>4</v>
      </c>
      <c r="GI30" s="2">
        <v>-2</v>
      </c>
      <c r="GJ30" s="2">
        <v>0</v>
      </c>
      <c r="GK30" s="2">
        <v>0</v>
      </c>
      <c r="GL30" s="2">
        <f t="shared" si="53"/>
        <v>0</v>
      </c>
      <c r="GM30" s="2">
        <f t="shared" si="54"/>
        <v>1033032</v>
      </c>
      <c r="GN30" s="2">
        <f t="shared" si="55"/>
        <v>1033032</v>
      </c>
      <c r="GO30" s="2">
        <f t="shared" si="56"/>
        <v>0</v>
      </c>
      <c r="GP30" s="2">
        <f t="shared" si="57"/>
        <v>0</v>
      </c>
      <c r="GQ30" s="2"/>
      <c r="GR30" s="2">
        <v>0</v>
      </c>
      <c r="GS30" s="2">
        <v>2</v>
      </c>
      <c r="GT30" s="2">
        <v>0</v>
      </c>
      <c r="GU30" s="2" t="s">
        <v>3</v>
      </c>
      <c r="GV30" s="2">
        <f t="shared" si="58"/>
        <v>0</v>
      </c>
      <c r="GW30" s="2">
        <v>1</v>
      </c>
      <c r="GX30" s="2">
        <f t="shared" si="59"/>
        <v>0</v>
      </c>
      <c r="GY30" s="2"/>
      <c r="GZ30" s="2"/>
      <c r="HA30" s="2">
        <v>0</v>
      </c>
      <c r="HB30" s="2">
        <v>0</v>
      </c>
      <c r="HC30" s="2">
        <f t="shared" si="60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35</v>
      </c>
      <c r="HO30" s="2" t="s">
        <v>36</v>
      </c>
      <c r="HP30" s="2" t="s">
        <v>33</v>
      </c>
      <c r="HQ30" s="2" t="s">
        <v>33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20</v>
      </c>
      <c r="E31" t="s">
        <v>37</v>
      </c>
      <c r="F31" t="s">
        <v>38</v>
      </c>
      <c r="G31" t="s">
        <v>39</v>
      </c>
      <c r="H31" t="s">
        <v>40</v>
      </c>
      <c r="I31">
        <f>I29*J31</f>
        <v>83.85</v>
      </c>
      <c r="J31">
        <v>99.99999999999999</v>
      </c>
      <c r="K31">
        <v>100</v>
      </c>
      <c r="O31">
        <f t="shared" si="21"/>
        <v>1033032</v>
      </c>
      <c r="P31">
        <f t="shared" si="22"/>
        <v>1033032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55724170</v>
      </c>
      <c r="AB31">
        <f t="shared" si="32"/>
        <v>12320</v>
      </c>
      <c r="AC31">
        <f t="shared" si="33"/>
        <v>12320</v>
      </c>
      <c r="AD31">
        <f t="shared" si="34"/>
        <v>0</v>
      </c>
      <c r="AE31">
        <f t="shared" si="35"/>
        <v>0</v>
      </c>
      <c r="AF31">
        <f t="shared" si="36"/>
        <v>0</v>
      </c>
      <c r="AG31">
        <f t="shared" si="37"/>
        <v>0</v>
      </c>
      <c r="AH31">
        <f t="shared" si="38"/>
        <v>0</v>
      </c>
      <c r="AI31">
        <f t="shared" si="39"/>
        <v>0</v>
      </c>
      <c r="AJ31">
        <f t="shared" si="40"/>
        <v>0</v>
      </c>
      <c r="AK31">
        <v>12320</v>
      </c>
      <c r="AL31">
        <v>12320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90</v>
      </c>
      <c r="AU31">
        <v>45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M31">
        <v>63001</v>
      </c>
      <c r="BN31">
        <v>0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90</v>
      </c>
      <c r="CA31">
        <v>45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41"/>
        <v>1033032</v>
      </c>
      <c r="CQ31">
        <f t="shared" si="42"/>
        <v>12320</v>
      </c>
      <c r="CR31">
        <f t="shared" si="43"/>
        <v>0</v>
      </c>
      <c r="CS31">
        <f t="shared" si="44"/>
        <v>0</v>
      </c>
      <c r="CT31">
        <f t="shared" si="45"/>
        <v>0</v>
      </c>
      <c r="CU31">
        <f t="shared" si="46"/>
        <v>0</v>
      </c>
      <c r="CV31">
        <f t="shared" si="47"/>
        <v>0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40</v>
      </c>
      <c r="DW31" t="s">
        <v>40</v>
      </c>
      <c r="DX31">
        <v>1</v>
      </c>
      <c r="EE31">
        <v>55471797</v>
      </c>
      <c r="EF31">
        <v>6</v>
      </c>
      <c r="EG31" t="s">
        <v>31</v>
      </c>
      <c r="EH31">
        <v>97</v>
      </c>
      <c r="EI31" t="s">
        <v>32</v>
      </c>
      <c r="EJ31">
        <v>1</v>
      </c>
      <c r="EK31">
        <v>63001</v>
      </c>
      <c r="EL31" t="s">
        <v>33</v>
      </c>
      <c r="EM31" t="s">
        <v>34</v>
      </c>
      <c r="EQ31">
        <v>0</v>
      </c>
      <c r="ER31">
        <v>0</v>
      </c>
      <c r="ES31">
        <v>12320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2"/>
        <v>0</v>
      </c>
      <c r="FS31">
        <v>0</v>
      </c>
      <c r="FX31">
        <v>90</v>
      </c>
      <c r="FY31">
        <v>45</v>
      </c>
      <c r="GA31" t="s">
        <v>41</v>
      </c>
      <c r="GD31">
        <v>1</v>
      </c>
      <c r="GF31">
        <v>-378200896</v>
      </c>
      <c r="GG31">
        <v>2</v>
      </c>
      <c r="GH31">
        <v>2</v>
      </c>
      <c r="GI31">
        <v>3</v>
      </c>
      <c r="GJ31">
        <v>0</v>
      </c>
      <c r="GK31">
        <v>0</v>
      </c>
      <c r="GL31">
        <f t="shared" si="53"/>
        <v>0</v>
      </c>
      <c r="GM31">
        <f t="shared" si="54"/>
        <v>1033032</v>
      </c>
      <c r="GN31">
        <f t="shared" si="55"/>
        <v>1033032</v>
      </c>
      <c r="GO31">
        <f t="shared" si="56"/>
        <v>0</v>
      </c>
      <c r="GP31">
        <f t="shared" si="57"/>
        <v>0</v>
      </c>
      <c r="GR31">
        <v>0</v>
      </c>
      <c r="GS31">
        <v>4</v>
      </c>
      <c r="GT31">
        <v>0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HN31" t="s">
        <v>35</v>
      </c>
      <c r="HO31" t="s">
        <v>36</v>
      </c>
      <c r="HP31" t="s">
        <v>33</v>
      </c>
      <c r="HQ31" t="s">
        <v>33</v>
      </c>
      <c r="IK31">
        <v>0</v>
      </c>
    </row>
    <row r="32" spans="1:255" ht="12.75">
      <c r="A32" s="2">
        <v>18</v>
      </c>
      <c r="B32" s="2">
        <v>1</v>
      </c>
      <c r="C32" s="2">
        <v>9</v>
      </c>
      <c r="D32" s="2"/>
      <c r="E32" s="2" t="s">
        <v>42</v>
      </c>
      <c r="F32" s="2" t="s">
        <v>43</v>
      </c>
      <c r="G32" s="2" t="s">
        <v>44</v>
      </c>
      <c r="H32" s="2" t="s">
        <v>45</v>
      </c>
      <c r="I32" s="2">
        <f>I28*J32</f>
        <v>93.4</v>
      </c>
      <c r="J32" s="2">
        <v>111.38938580799046</v>
      </c>
      <c r="K32" s="2">
        <v>111.389386</v>
      </c>
      <c r="L32" s="2"/>
      <c r="M32" s="2"/>
      <c r="N32" s="2"/>
      <c r="O32" s="2">
        <f t="shared" si="21"/>
        <v>23350</v>
      </c>
      <c r="P32" s="2">
        <f t="shared" si="22"/>
        <v>23350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55724169</v>
      </c>
      <c r="AB32" s="2">
        <f t="shared" si="32"/>
        <v>250</v>
      </c>
      <c r="AC32" s="2">
        <f t="shared" si="33"/>
        <v>250</v>
      </c>
      <c r="AD32" s="2">
        <f t="shared" si="34"/>
        <v>0</v>
      </c>
      <c r="AE32" s="2">
        <f t="shared" si="35"/>
        <v>0</v>
      </c>
      <c r="AF32" s="2">
        <f t="shared" si="36"/>
        <v>0</v>
      </c>
      <c r="AG32" s="2">
        <f t="shared" si="37"/>
        <v>0</v>
      </c>
      <c r="AH32" s="2">
        <f t="shared" si="38"/>
        <v>0</v>
      </c>
      <c r="AI32" s="2">
        <f t="shared" si="39"/>
        <v>0</v>
      </c>
      <c r="AJ32" s="2">
        <f t="shared" si="40"/>
        <v>0</v>
      </c>
      <c r="AK32" s="2">
        <v>250</v>
      </c>
      <c r="AL32" s="2">
        <v>250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90</v>
      </c>
      <c r="AU32" s="2">
        <v>45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63001</v>
      </c>
      <c r="BN32" s="2">
        <v>0</v>
      </c>
      <c r="BO32" s="2" t="s">
        <v>3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90</v>
      </c>
      <c r="CA32" s="2">
        <v>45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41"/>
        <v>23350</v>
      </c>
      <c r="CQ32" s="2">
        <f t="shared" si="42"/>
        <v>250</v>
      </c>
      <c r="CR32" s="2">
        <f t="shared" si="43"/>
        <v>0</v>
      </c>
      <c r="CS32" s="2">
        <f t="shared" si="44"/>
        <v>0</v>
      </c>
      <c r="CT32" s="2">
        <f t="shared" si="45"/>
        <v>0</v>
      </c>
      <c r="CU32" s="2">
        <f t="shared" si="46"/>
        <v>0</v>
      </c>
      <c r="CV32" s="2">
        <f t="shared" si="47"/>
        <v>0</v>
      </c>
      <c r="CW32" s="2">
        <f t="shared" si="48"/>
        <v>0</v>
      </c>
      <c r="CX32" s="2">
        <f t="shared" si="49"/>
        <v>0</v>
      </c>
      <c r="CY32" s="2">
        <f t="shared" si="50"/>
        <v>0</v>
      </c>
      <c r="CZ32" s="2">
        <f t="shared" si="51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45</v>
      </c>
      <c r="DW32" s="2" t="s">
        <v>45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55471797</v>
      </c>
      <c r="EF32" s="2">
        <v>6</v>
      </c>
      <c r="EG32" s="2" t="s">
        <v>31</v>
      </c>
      <c r="EH32" s="2">
        <v>97</v>
      </c>
      <c r="EI32" s="2" t="s">
        <v>32</v>
      </c>
      <c r="EJ32" s="2">
        <v>1</v>
      </c>
      <c r="EK32" s="2">
        <v>63001</v>
      </c>
      <c r="EL32" s="2" t="s">
        <v>33</v>
      </c>
      <c r="EM32" s="2" t="s">
        <v>34</v>
      </c>
      <c r="EN32" s="2"/>
      <c r="EO32" s="2" t="s">
        <v>3</v>
      </c>
      <c r="EP32" s="2"/>
      <c r="EQ32" s="2">
        <v>0</v>
      </c>
      <c r="ER32" s="2">
        <v>0</v>
      </c>
      <c r="ES32" s="2">
        <v>250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52"/>
        <v>0</v>
      </c>
      <c r="FS32" s="2">
        <v>0</v>
      </c>
      <c r="FT32" s="2"/>
      <c r="FU32" s="2"/>
      <c r="FV32" s="2"/>
      <c r="FW32" s="2"/>
      <c r="FX32" s="2">
        <v>90</v>
      </c>
      <c r="FY32" s="2">
        <v>45</v>
      </c>
      <c r="FZ32" s="2"/>
      <c r="GA32" s="2" t="s">
        <v>41</v>
      </c>
      <c r="GB32" s="2"/>
      <c r="GC32" s="2"/>
      <c r="GD32" s="2">
        <v>1</v>
      </c>
      <c r="GE32" s="2"/>
      <c r="GF32" s="2">
        <v>-1282863111</v>
      </c>
      <c r="GG32" s="2">
        <v>2</v>
      </c>
      <c r="GH32" s="2">
        <v>4</v>
      </c>
      <c r="GI32" s="2">
        <v>-2</v>
      </c>
      <c r="GJ32" s="2">
        <v>0</v>
      </c>
      <c r="GK32" s="2">
        <v>0</v>
      </c>
      <c r="GL32" s="2">
        <f t="shared" si="53"/>
        <v>0</v>
      </c>
      <c r="GM32" s="2">
        <f t="shared" si="54"/>
        <v>23350</v>
      </c>
      <c r="GN32" s="2">
        <f t="shared" si="55"/>
        <v>23350</v>
      </c>
      <c r="GO32" s="2">
        <f t="shared" si="56"/>
        <v>0</v>
      </c>
      <c r="GP32" s="2">
        <f t="shared" si="57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58"/>
        <v>0</v>
      </c>
      <c r="GW32" s="2">
        <v>1</v>
      </c>
      <c r="GX32" s="2">
        <f t="shared" si="59"/>
        <v>0</v>
      </c>
      <c r="GY32" s="2"/>
      <c r="GZ32" s="2"/>
      <c r="HA32" s="2">
        <v>0</v>
      </c>
      <c r="HB32" s="2">
        <v>0</v>
      </c>
      <c r="HC32" s="2">
        <f t="shared" si="60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 t="s">
        <v>35</v>
      </c>
      <c r="HO32" s="2" t="s">
        <v>36</v>
      </c>
      <c r="HP32" s="2" t="s">
        <v>33</v>
      </c>
      <c r="HQ32" s="2" t="s">
        <v>33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19</v>
      </c>
      <c r="E33" t="s">
        <v>42</v>
      </c>
      <c r="F33" t="s">
        <v>43</v>
      </c>
      <c r="G33" t="s">
        <v>44</v>
      </c>
      <c r="H33" t="s">
        <v>45</v>
      </c>
      <c r="I33">
        <f>I29*J33</f>
        <v>93.4</v>
      </c>
      <c r="J33">
        <v>111.38938580799046</v>
      </c>
      <c r="K33">
        <v>111.389386</v>
      </c>
      <c r="O33">
        <f t="shared" si="21"/>
        <v>23350</v>
      </c>
      <c r="P33">
        <f t="shared" si="22"/>
        <v>23350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55724170</v>
      </c>
      <c r="AB33">
        <f t="shared" si="32"/>
        <v>250</v>
      </c>
      <c r="AC33">
        <f t="shared" si="33"/>
        <v>250</v>
      </c>
      <c r="AD33">
        <f t="shared" si="34"/>
        <v>0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250</v>
      </c>
      <c r="AL33">
        <v>250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45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1</v>
      </c>
      <c r="BM33">
        <v>63001</v>
      </c>
      <c r="BN33">
        <v>0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90</v>
      </c>
      <c r="CA33">
        <v>45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41"/>
        <v>23350</v>
      </c>
      <c r="CQ33">
        <f t="shared" si="42"/>
        <v>250</v>
      </c>
      <c r="CR33">
        <f t="shared" si="43"/>
        <v>0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45</v>
      </c>
      <c r="DW33" t="s">
        <v>45</v>
      </c>
      <c r="DX33">
        <v>1</v>
      </c>
      <c r="EE33">
        <v>55471797</v>
      </c>
      <c r="EF33">
        <v>6</v>
      </c>
      <c r="EG33" t="s">
        <v>31</v>
      </c>
      <c r="EH33">
        <v>97</v>
      </c>
      <c r="EI33" t="s">
        <v>32</v>
      </c>
      <c r="EJ33">
        <v>1</v>
      </c>
      <c r="EK33">
        <v>63001</v>
      </c>
      <c r="EL33" t="s">
        <v>33</v>
      </c>
      <c r="EM33" t="s">
        <v>34</v>
      </c>
      <c r="EQ33">
        <v>0</v>
      </c>
      <c r="ER33">
        <v>0</v>
      </c>
      <c r="ES33">
        <v>250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2"/>
        <v>0</v>
      </c>
      <c r="FS33">
        <v>0</v>
      </c>
      <c r="FX33">
        <v>90</v>
      </c>
      <c r="FY33">
        <v>45</v>
      </c>
      <c r="GA33" t="s">
        <v>41</v>
      </c>
      <c r="GD33">
        <v>1</v>
      </c>
      <c r="GF33">
        <v>-1282863111</v>
      </c>
      <c r="GG33">
        <v>2</v>
      </c>
      <c r="GH33">
        <v>2</v>
      </c>
      <c r="GI33">
        <v>3</v>
      </c>
      <c r="GJ33">
        <v>0</v>
      </c>
      <c r="GK33">
        <v>0</v>
      </c>
      <c r="GL33">
        <f t="shared" si="53"/>
        <v>0</v>
      </c>
      <c r="GM33">
        <f t="shared" si="54"/>
        <v>23350</v>
      </c>
      <c r="GN33">
        <f t="shared" si="55"/>
        <v>23350</v>
      </c>
      <c r="GO33">
        <f t="shared" si="56"/>
        <v>0</v>
      </c>
      <c r="GP33">
        <f t="shared" si="57"/>
        <v>0</v>
      </c>
      <c r="GR33">
        <v>0</v>
      </c>
      <c r="GS33">
        <v>4</v>
      </c>
      <c r="GT33">
        <v>0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HN33" t="s">
        <v>35</v>
      </c>
      <c r="HO33" t="s">
        <v>36</v>
      </c>
      <c r="HP33" t="s">
        <v>33</v>
      </c>
      <c r="HQ33" t="s">
        <v>33</v>
      </c>
      <c r="IK33">
        <v>0</v>
      </c>
    </row>
    <row r="34" spans="1:255" ht="12.75">
      <c r="A34" s="2">
        <v>18</v>
      </c>
      <c r="B34" s="2">
        <v>1</v>
      </c>
      <c r="C34" s="2">
        <v>8</v>
      </c>
      <c r="D34" s="2"/>
      <c r="E34" s="2" t="s">
        <v>46</v>
      </c>
      <c r="F34" s="2" t="s">
        <v>47</v>
      </c>
      <c r="G34" s="2" t="s">
        <v>48</v>
      </c>
      <c r="H34" s="2" t="s">
        <v>49</v>
      </c>
      <c r="I34" s="2">
        <f>I28*J34</f>
        <v>4.72</v>
      </c>
      <c r="J34" s="2">
        <v>5.629099582587954</v>
      </c>
      <c r="K34" s="2">
        <v>5.6291</v>
      </c>
      <c r="L34" s="2"/>
      <c r="M34" s="2"/>
      <c r="N34" s="2"/>
      <c r="O34" s="2">
        <f t="shared" si="21"/>
        <v>25960</v>
      </c>
      <c r="P34" s="2">
        <f t="shared" si="22"/>
        <v>25960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1"/>
        <v>0</v>
      </c>
      <c r="Z34" s="2"/>
      <c r="AA34" s="2">
        <v>55724169</v>
      </c>
      <c r="AB34" s="2">
        <f t="shared" si="32"/>
        <v>5500</v>
      </c>
      <c r="AC34" s="2">
        <f t="shared" si="33"/>
        <v>5500</v>
      </c>
      <c r="AD34" s="2">
        <f t="shared" si="34"/>
        <v>0</v>
      </c>
      <c r="AE34" s="2">
        <f t="shared" si="35"/>
        <v>0</v>
      </c>
      <c r="AF34" s="2">
        <f t="shared" si="36"/>
        <v>0</v>
      </c>
      <c r="AG34" s="2">
        <f t="shared" si="37"/>
        <v>0</v>
      </c>
      <c r="AH34" s="2">
        <f t="shared" si="38"/>
        <v>0</v>
      </c>
      <c r="AI34" s="2">
        <f t="shared" si="39"/>
        <v>0</v>
      </c>
      <c r="AJ34" s="2">
        <f t="shared" si="40"/>
        <v>0</v>
      </c>
      <c r="AK34" s="2">
        <v>5500</v>
      </c>
      <c r="AL34" s="2">
        <v>5500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90</v>
      </c>
      <c r="AU34" s="2">
        <v>45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3</v>
      </c>
      <c r="BK34" s="2"/>
      <c r="BL34" s="2"/>
      <c r="BM34" s="2">
        <v>63001</v>
      </c>
      <c r="BN34" s="2">
        <v>0</v>
      </c>
      <c r="BO34" s="2" t="s">
        <v>3</v>
      </c>
      <c r="BP34" s="2">
        <v>0</v>
      </c>
      <c r="BQ34" s="2">
        <v>6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90</v>
      </c>
      <c r="CA34" s="2">
        <v>45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41"/>
        <v>25960</v>
      </c>
      <c r="CQ34" s="2">
        <f t="shared" si="42"/>
        <v>5500</v>
      </c>
      <c r="CR34" s="2">
        <f t="shared" si="43"/>
        <v>0</v>
      </c>
      <c r="CS34" s="2">
        <f t="shared" si="44"/>
        <v>0</v>
      </c>
      <c r="CT34" s="2">
        <f t="shared" si="45"/>
        <v>0</v>
      </c>
      <c r="CU34" s="2">
        <f t="shared" si="46"/>
        <v>0</v>
      </c>
      <c r="CV34" s="2">
        <f t="shared" si="47"/>
        <v>0</v>
      </c>
      <c r="CW34" s="2">
        <f t="shared" si="48"/>
        <v>0</v>
      </c>
      <c r="CX34" s="2">
        <f t="shared" si="49"/>
        <v>0</v>
      </c>
      <c r="CY34" s="2">
        <f t="shared" si="50"/>
        <v>0</v>
      </c>
      <c r="CZ34" s="2">
        <f t="shared" si="51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49</v>
      </c>
      <c r="DW34" s="2" t="s">
        <v>49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55471797</v>
      </c>
      <c r="EF34" s="2">
        <v>6</v>
      </c>
      <c r="EG34" s="2" t="s">
        <v>31</v>
      </c>
      <c r="EH34" s="2">
        <v>97</v>
      </c>
      <c r="EI34" s="2" t="s">
        <v>32</v>
      </c>
      <c r="EJ34" s="2">
        <v>1</v>
      </c>
      <c r="EK34" s="2">
        <v>63001</v>
      </c>
      <c r="EL34" s="2" t="s">
        <v>33</v>
      </c>
      <c r="EM34" s="2" t="s">
        <v>34</v>
      </c>
      <c r="EN34" s="2"/>
      <c r="EO34" s="2" t="s">
        <v>3</v>
      </c>
      <c r="EP34" s="2"/>
      <c r="EQ34" s="2">
        <v>0</v>
      </c>
      <c r="ER34" s="2">
        <v>0</v>
      </c>
      <c r="ES34" s="2">
        <v>5500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52"/>
        <v>0</v>
      </c>
      <c r="FS34" s="2">
        <v>0</v>
      </c>
      <c r="FT34" s="2"/>
      <c r="FU34" s="2"/>
      <c r="FV34" s="2"/>
      <c r="FW34" s="2"/>
      <c r="FX34" s="2">
        <v>90</v>
      </c>
      <c r="FY34" s="2">
        <v>45</v>
      </c>
      <c r="FZ34" s="2"/>
      <c r="GA34" s="2" t="s">
        <v>41</v>
      </c>
      <c r="GB34" s="2"/>
      <c r="GC34" s="2"/>
      <c r="GD34" s="2">
        <v>1</v>
      </c>
      <c r="GE34" s="2"/>
      <c r="GF34" s="2">
        <v>1313449911</v>
      </c>
      <c r="GG34" s="2">
        <v>2</v>
      </c>
      <c r="GH34" s="2">
        <v>4</v>
      </c>
      <c r="GI34" s="2">
        <v>-2</v>
      </c>
      <c r="GJ34" s="2">
        <v>0</v>
      </c>
      <c r="GK34" s="2">
        <v>0</v>
      </c>
      <c r="GL34" s="2">
        <f t="shared" si="53"/>
        <v>0</v>
      </c>
      <c r="GM34" s="2">
        <f t="shared" si="54"/>
        <v>25960</v>
      </c>
      <c r="GN34" s="2">
        <f t="shared" si="55"/>
        <v>25960</v>
      </c>
      <c r="GO34" s="2">
        <f t="shared" si="56"/>
        <v>0</v>
      </c>
      <c r="GP34" s="2">
        <f t="shared" si="57"/>
        <v>0</v>
      </c>
      <c r="GQ34" s="2"/>
      <c r="GR34" s="2">
        <v>0</v>
      </c>
      <c r="GS34" s="2">
        <v>2</v>
      </c>
      <c r="GT34" s="2">
        <v>0</v>
      </c>
      <c r="GU34" s="2" t="s">
        <v>3</v>
      </c>
      <c r="GV34" s="2">
        <f t="shared" si="58"/>
        <v>0</v>
      </c>
      <c r="GW34" s="2">
        <v>1</v>
      </c>
      <c r="GX34" s="2">
        <f t="shared" si="59"/>
        <v>0</v>
      </c>
      <c r="GY34" s="2"/>
      <c r="GZ34" s="2"/>
      <c r="HA34" s="2">
        <v>0</v>
      </c>
      <c r="HB34" s="2">
        <v>0</v>
      </c>
      <c r="HC34" s="2">
        <f t="shared" si="60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 t="s">
        <v>35</v>
      </c>
      <c r="HO34" s="2" t="s">
        <v>36</v>
      </c>
      <c r="HP34" s="2" t="s">
        <v>33</v>
      </c>
      <c r="HQ34" s="2" t="s">
        <v>33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18</v>
      </c>
      <c r="E35" t="s">
        <v>46</v>
      </c>
      <c r="F35" t="s">
        <v>47</v>
      </c>
      <c r="G35" t="s">
        <v>48</v>
      </c>
      <c r="H35" t="s">
        <v>49</v>
      </c>
      <c r="I35">
        <f>I29*J35</f>
        <v>4.72</v>
      </c>
      <c r="J35">
        <v>5.629099582587954</v>
      </c>
      <c r="K35">
        <v>5.6291</v>
      </c>
      <c r="O35">
        <f t="shared" si="21"/>
        <v>25960</v>
      </c>
      <c r="P35">
        <f t="shared" si="22"/>
        <v>25960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55724170</v>
      </c>
      <c r="AB35">
        <f t="shared" si="32"/>
        <v>5500</v>
      </c>
      <c r="AC35">
        <f t="shared" si="33"/>
        <v>5500</v>
      </c>
      <c r="AD35">
        <f t="shared" si="34"/>
        <v>0</v>
      </c>
      <c r="AE35">
        <f t="shared" si="35"/>
        <v>0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5500</v>
      </c>
      <c r="AL35">
        <v>5500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45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1</v>
      </c>
      <c r="BM35">
        <v>63001</v>
      </c>
      <c r="BN35">
        <v>0</v>
      </c>
      <c r="BP35">
        <v>0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90</v>
      </c>
      <c r="CA35">
        <v>45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41"/>
        <v>25960</v>
      </c>
      <c r="CQ35">
        <f t="shared" si="42"/>
        <v>5500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49</v>
      </c>
      <c r="DW35" t="s">
        <v>49</v>
      </c>
      <c r="DX35">
        <v>1</v>
      </c>
      <c r="EE35">
        <v>55471797</v>
      </c>
      <c r="EF35">
        <v>6</v>
      </c>
      <c r="EG35" t="s">
        <v>31</v>
      </c>
      <c r="EH35">
        <v>97</v>
      </c>
      <c r="EI35" t="s">
        <v>32</v>
      </c>
      <c r="EJ35">
        <v>1</v>
      </c>
      <c r="EK35">
        <v>63001</v>
      </c>
      <c r="EL35" t="s">
        <v>33</v>
      </c>
      <c r="EM35" t="s">
        <v>34</v>
      </c>
      <c r="EQ35">
        <v>0</v>
      </c>
      <c r="ER35">
        <v>0</v>
      </c>
      <c r="ES35">
        <v>5500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2"/>
        <v>0</v>
      </c>
      <c r="FS35">
        <v>0</v>
      </c>
      <c r="FX35">
        <v>90</v>
      </c>
      <c r="FY35">
        <v>45</v>
      </c>
      <c r="GA35" t="s">
        <v>41</v>
      </c>
      <c r="GD35">
        <v>1</v>
      </c>
      <c r="GF35">
        <v>1313449911</v>
      </c>
      <c r="GG35">
        <v>2</v>
      </c>
      <c r="GH35">
        <v>2</v>
      </c>
      <c r="GI35">
        <v>3</v>
      </c>
      <c r="GJ35">
        <v>0</v>
      </c>
      <c r="GK35">
        <v>0</v>
      </c>
      <c r="GL35">
        <f t="shared" si="53"/>
        <v>0</v>
      </c>
      <c r="GM35">
        <f t="shared" si="54"/>
        <v>25960</v>
      </c>
      <c r="GN35">
        <f t="shared" si="55"/>
        <v>25960</v>
      </c>
      <c r="GO35">
        <f t="shared" si="56"/>
        <v>0</v>
      </c>
      <c r="GP35">
        <f t="shared" si="57"/>
        <v>0</v>
      </c>
      <c r="GR35">
        <v>0</v>
      </c>
      <c r="GS35">
        <v>4</v>
      </c>
      <c r="GT35">
        <v>0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HN35" t="s">
        <v>35</v>
      </c>
      <c r="HO35" t="s">
        <v>36</v>
      </c>
      <c r="HP35" t="s">
        <v>33</v>
      </c>
      <c r="HQ35" t="s">
        <v>33</v>
      </c>
      <c r="IK35">
        <v>0</v>
      </c>
    </row>
    <row r="36" spans="1:255" ht="12.75">
      <c r="A36" s="2">
        <v>18</v>
      </c>
      <c r="B36" s="2">
        <v>1</v>
      </c>
      <c r="C36" s="2">
        <v>7</v>
      </c>
      <c r="D36" s="2"/>
      <c r="E36" s="2" t="s">
        <v>50</v>
      </c>
      <c r="F36" s="2" t="s">
        <v>51</v>
      </c>
      <c r="G36" s="2" t="s">
        <v>52</v>
      </c>
      <c r="H36" s="2" t="s">
        <v>53</v>
      </c>
      <c r="I36" s="2">
        <f>I28*J36</f>
        <v>1.02297</v>
      </c>
      <c r="J36" s="2">
        <v>1.22</v>
      </c>
      <c r="K36" s="2">
        <v>1.22</v>
      </c>
      <c r="L36" s="2"/>
      <c r="M36" s="2"/>
      <c r="N36" s="2"/>
      <c r="O36" s="2">
        <f t="shared" si="21"/>
        <v>0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55724169</v>
      </c>
      <c r="AB36" s="2">
        <f t="shared" si="32"/>
        <v>0</v>
      </c>
      <c r="AC36" s="2">
        <f t="shared" si="33"/>
        <v>0</v>
      </c>
      <c r="AD36" s="2">
        <f t="shared" si="34"/>
        <v>0</v>
      </c>
      <c r="AE36" s="2">
        <f t="shared" si="35"/>
        <v>0</v>
      </c>
      <c r="AF36" s="2">
        <f t="shared" si="36"/>
        <v>0</v>
      </c>
      <c r="AG36" s="2">
        <f t="shared" si="37"/>
        <v>0</v>
      </c>
      <c r="AH36" s="2">
        <f t="shared" si="38"/>
        <v>0</v>
      </c>
      <c r="AI36" s="2">
        <f t="shared" si="39"/>
        <v>0</v>
      </c>
      <c r="AJ36" s="2">
        <f t="shared" si="40"/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90</v>
      </c>
      <c r="AU36" s="2">
        <v>45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63001</v>
      </c>
      <c r="BN36" s="2">
        <v>0</v>
      </c>
      <c r="BO36" s="2" t="s">
        <v>3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90</v>
      </c>
      <c r="CA36" s="2">
        <v>45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41"/>
        <v>0</v>
      </c>
      <c r="CQ36" s="2">
        <f t="shared" si="42"/>
        <v>0</v>
      </c>
      <c r="CR36" s="2">
        <f t="shared" si="43"/>
        <v>0</v>
      </c>
      <c r="CS36" s="2">
        <f t="shared" si="44"/>
        <v>0</v>
      </c>
      <c r="CT36" s="2">
        <f t="shared" si="45"/>
        <v>0</v>
      </c>
      <c r="CU36" s="2">
        <f t="shared" si="46"/>
        <v>0</v>
      </c>
      <c r="CV36" s="2">
        <f t="shared" si="47"/>
        <v>0</v>
      </c>
      <c r="CW36" s="2">
        <f t="shared" si="48"/>
        <v>0</v>
      </c>
      <c r="CX36" s="2">
        <f t="shared" si="49"/>
        <v>0</v>
      </c>
      <c r="CY36" s="2">
        <f t="shared" si="50"/>
        <v>0</v>
      </c>
      <c r="CZ36" s="2">
        <f t="shared" si="51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53</v>
      </c>
      <c r="DW36" s="2" t="s">
        <v>53</v>
      </c>
      <c r="DX36" s="2">
        <v>1000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55471797</v>
      </c>
      <c r="EF36" s="2">
        <v>6</v>
      </c>
      <c r="EG36" s="2" t="s">
        <v>31</v>
      </c>
      <c r="EH36" s="2">
        <v>97</v>
      </c>
      <c r="EI36" s="2" t="s">
        <v>32</v>
      </c>
      <c r="EJ36" s="2">
        <v>1</v>
      </c>
      <c r="EK36" s="2">
        <v>63001</v>
      </c>
      <c r="EL36" s="2" t="s">
        <v>33</v>
      </c>
      <c r="EM36" s="2" t="s">
        <v>34</v>
      </c>
      <c r="EN36" s="2"/>
      <c r="EO36" s="2" t="s">
        <v>3</v>
      </c>
      <c r="EP36" s="2"/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52"/>
        <v>0</v>
      </c>
      <c r="FS36" s="2">
        <v>0</v>
      </c>
      <c r="FT36" s="2"/>
      <c r="FU36" s="2"/>
      <c r="FV36" s="2"/>
      <c r="FW36" s="2"/>
      <c r="FX36" s="2">
        <v>90</v>
      </c>
      <c r="FY36" s="2">
        <v>45</v>
      </c>
      <c r="FZ36" s="2"/>
      <c r="GA36" s="2" t="s">
        <v>3</v>
      </c>
      <c r="GB36" s="2"/>
      <c r="GC36" s="2"/>
      <c r="GD36" s="2">
        <v>1</v>
      </c>
      <c r="GE36" s="2"/>
      <c r="GF36" s="2">
        <v>2102561428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53"/>
        <v>0</v>
      </c>
      <c r="GM36" s="2">
        <f t="shared" si="54"/>
        <v>0</v>
      </c>
      <c r="GN36" s="2">
        <f t="shared" si="55"/>
        <v>0</v>
      </c>
      <c r="GO36" s="2">
        <f t="shared" si="56"/>
        <v>0</v>
      </c>
      <c r="GP36" s="2">
        <f t="shared" si="57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8"/>
        <v>0</v>
      </c>
      <c r="GW36" s="2">
        <v>1</v>
      </c>
      <c r="GX36" s="2">
        <f t="shared" si="59"/>
        <v>0</v>
      </c>
      <c r="GY36" s="2"/>
      <c r="GZ36" s="2"/>
      <c r="HA36" s="2">
        <v>0</v>
      </c>
      <c r="HB36" s="2">
        <v>0</v>
      </c>
      <c r="HC36" s="2">
        <f t="shared" si="60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35</v>
      </c>
      <c r="HO36" s="2" t="s">
        <v>36</v>
      </c>
      <c r="HP36" s="2" t="s">
        <v>33</v>
      </c>
      <c r="HQ36" s="2" t="s">
        <v>33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17</v>
      </c>
      <c r="E37" t="s">
        <v>50</v>
      </c>
      <c r="F37" t="s">
        <v>51</v>
      </c>
      <c r="G37" t="s">
        <v>52</v>
      </c>
      <c r="H37" t="s">
        <v>53</v>
      </c>
      <c r="I37">
        <f>I29*J37</f>
        <v>1.02297</v>
      </c>
      <c r="J37">
        <v>1.22</v>
      </c>
      <c r="K37">
        <v>1.22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55724170</v>
      </c>
      <c r="AB37">
        <f t="shared" si="32"/>
        <v>0</v>
      </c>
      <c r="AC37">
        <f t="shared" si="33"/>
        <v>0</v>
      </c>
      <c r="AD37">
        <f t="shared" si="34"/>
        <v>0</v>
      </c>
      <c r="AE37">
        <f t="shared" si="35"/>
        <v>0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45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6.82</v>
      </c>
      <c r="BH37">
        <v>3</v>
      </c>
      <c r="BI37">
        <v>1</v>
      </c>
      <c r="BM37">
        <v>63001</v>
      </c>
      <c r="BN37">
        <v>0</v>
      </c>
      <c r="BP37">
        <v>0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90</v>
      </c>
      <c r="CA37">
        <v>45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41"/>
        <v>0</v>
      </c>
      <c r="CQ37">
        <f t="shared" si="42"/>
        <v>0</v>
      </c>
      <c r="CR37">
        <f t="shared" si="43"/>
        <v>0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53</v>
      </c>
      <c r="DW37" t="s">
        <v>53</v>
      </c>
      <c r="DX37">
        <v>1000</v>
      </c>
      <c r="EE37">
        <v>55471797</v>
      </c>
      <c r="EF37">
        <v>6</v>
      </c>
      <c r="EG37" t="s">
        <v>31</v>
      </c>
      <c r="EH37">
        <v>97</v>
      </c>
      <c r="EI37" t="s">
        <v>32</v>
      </c>
      <c r="EJ37">
        <v>1</v>
      </c>
      <c r="EK37">
        <v>63001</v>
      </c>
      <c r="EL37" t="s">
        <v>33</v>
      </c>
      <c r="EM37" t="s">
        <v>34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52"/>
        <v>0</v>
      </c>
      <c r="FS37">
        <v>0</v>
      </c>
      <c r="FX37">
        <v>90</v>
      </c>
      <c r="FY37">
        <v>45</v>
      </c>
      <c r="GD37">
        <v>1</v>
      </c>
      <c r="GF37">
        <v>2102561428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3"/>
        <v>0</v>
      </c>
      <c r="GM37">
        <f t="shared" si="54"/>
        <v>0</v>
      </c>
      <c r="GN37">
        <f t="shared" si="55"/>
        <v>0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HN37" t="s">
        <v>35</v>
      </c>
      <c r="HO37" t="s">
        <v>36</v>
      </c>
      <c r="HP37" t="s">
        <v>33</v>
      </c>
      <c r="HQ37" t="s">
        <v>33</v>
      </c>
      <c r="IK37">
        <v>0</v>
      </c>
    </row>
    <row r="38" spans="1:255" ht="12.75">
      <c r="A38" s="2">
        <v>18</v>
      </c>
      <c r="B38" s="2">
        <v>1</v>
      </c>
      <c r="C38" s="2">
        <v>6</v>
      </c>
      <c r="D38" s="2"/>
      <c r="E38" s="2" t="s">
        <v>54</v>
      </c>
      <c r="F38" s="2" t="s">
        <v>55</v>
      </c>
      <c r="G38" s="2" t="s">
        <v>56</v>
      </c>
      <c r="H38" s="2" t="s">
        <v>49</v>
      </c>
      <c r="I38" s="2">
        <f>I28*J38</f>
        <v>-46.956</v>
      </c>
      <c r="J38" s="2">
        <v>-56</v>
      </c>
      <c r="K38" s="2">
        <v>-56</v>
      </c>
      <c r="L38" s="2"/>
      <c r="M38" s="2"/>
      <c r="N38" s="2"/>
      <c r="O38" s="2">
        <f t="shared" si="21"/>
        <v>-920.81</v>
      </c>
      <c r="P38" s="2">
        <f t="shared" si="22"/>
        <v>-920.81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55724169</v>
      </c>
      <c r="AB38" s="2">
        <f t="shared" si="32"/>
        <v>19.61</v>
      </c>
      <c r="AC38" s="2">
        <f t="shared" si="33"/>
        <v>19.61</v>
      </c>
      <c r="AD38" s="2">
        <f t="shared" si="34"/>
        <v>0</v>
      </c>
      <c r="AE38" s="2">
        <f t="shared" si="35"/>
        <v>0</v>
      </c>
      <c r="AF38" s="2">
        <f t="shared" si="36"/>
        <v>0</v>
      </c>
      <c r="AG38" s="2">
        <f t="shared" si="37"/>
        <v>0</v>
      </c>
      <c r="AH38" s="2">
        <f t="shared" si="38"/>
        <v>0</v>
      </c>
      <c r="AI38" s="2">
        <f t="shared" si="39"/>
        <v>0</v>
      </c>
      <c r="AJ38" s="2">
        <f t="shared" si="40"/>
        <v>0</v>
      </c>
      <c r="AK38" s="2">
        <v>19.61</v>
      </c>
      <c r="AL38" s="2">
        <v>19.61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90</v>
      </c>
      <c r="AU38" s="2">
        <v>45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57</v>
      </c>
      <c r="BK38" s="2"/>
      <c r="BL38" s="2"/>
      <c r="BM38" s="2">
        <v>63001</v>
      </c>
      <c r="BN38" s="2">
        <v>0</v>
      </c>
      <c r="BO38" s="2" t="s">
        <v>3</v>
      </c>
      <c r="BP38" s="2">
        <v>0</v>
      </c>
      <c r="BQ38" s="2">
        <v>6</v>
      </c>
      <c r="BR38" s="2">
        <v>1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90</v>
      </c>
      <c r="CA38" s="2">
        <v>45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41"/>
        <v>-920.81</v>
      </c>
      <c r="CQ38" s="2">
        <f t="shared" si="42"/>
        <v>19.61</v>
      </c>
      <c r="CR38" s="2">
        <f t="shared" si="43"/>
        <v>0</v>
      </c>
      <c r="CS38" s="2">
        <f t="shared" si="44"/>
        <v>0</v>
      </c>
      <c r="CT38" s="2">
        <f t="shared" si="45"/>
        <v>0</v>
      </c>
      <c r="CU38" s="2">
        <f t="shared" si="46"/>
        <v>0</v>
      </c>
      <c r="CV38" s="2">
        <f t="shared" si="47"/>
        <v>0</v>
      </c>
      <c r="CW38" s="2">
        <f t="shared" si="48"/>
        <v>0</v>
      </c>
      <c r="CX38" s="2">
        <f t="shared" si="49"/>
        <v>0</v>
      </c>
      <c r="CY38" s="2">
        <f t="shared" si="50"/>
        <v>0</v>
      </c>
      <c r="CZ38" s="2">
        <f t="shared" si="51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49</v>
      </c>
      <c r="DW38" s="2" t="s">
        <v>49</v>
      </c>
      <c r="DX38" s="2">
        <v>1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55471797</v>
      </c>
      <c r="EF38" s="2">
        <v>6</v>
      </c>
      <c r="EG38" s="2" t="s">
        <v>31</v>
      </c>
      <c r="EH38" s="2">
        <v>97</v>
      </c>
      <c r="EI38" s="2" t="s">
        <v>32</v>
      </c>
      <c r="EJ38" s="2">
        <v>1</v>
      </c>
      <c r="EK38" s="2">
        <v>63001</v>
      </c>
      <c r="EL38" s="2" t="s">
        <v>33</v>
      </c>
      <c r="EM38" s="2" t="s">
        <v>34</v>
      </c>
      <c r="EN38" s="2"/>
      <c r="EO38" s="2" t="s">
        <v>3</v>
      </c>
      <c r="EP38" s="2"/>
      <c r="EQ38" s="2">
        <v>0</v>
      </c>
      <c r="ER38" s="2">
        <v>19.61</v>
      </c>
      <c r="ES38" s="2">
        <v>19.61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52"/>
        <v>0</v>
      </c>
      <c r="FS38" s="2">
        <v>0</v>
      </c>
      <c r="FT38" s="2"/>
      <c r="FU38" s="2"/>
      <c r="FV38" s="2"/>
      <c r="FW38" s="2"/>
      <c r="FX38" s="2">
        <v>90</v>
      </c>
      <c r="FY38" s="2">
        <v>45</v>
      </c>
      <c r="FZ38" s="2"/>
      <c r="GA38" s="2" t="s">
        <v>3</v>
      </c>
      <c r="GB38" s="2"/>
      <c r="GC38" s="2"/>
      <c r="GD38" s="2">
        <v>1</v>
      </c>
      <c r="GE38" s="2"/>
      <c r="GF38" s="2">
        <v>991942845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53"/>
        <v>0</v>
      </c>
      <c r="GM38" s="2">
        <f t="shared" si="54"/>
        <v>-920.81</v>
      </c>
      <c r="GN38" s="2">
        <f t="shared" si="55"/>
        <v>-920.81</v>
      </c>
      <c r="GO38" s="2">
        <f t="shared" si="56"/>
        <v>0</v>
      </c>
      <c r="GP38" s="2">
        <f t="shared" si="57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8"/>
        <v>0</v>
      </c>
      <c r="GW38" s="2">
        <v>1</v>
      </c>
      <c r="GX38" s="2">
        <f t="shared" si="59"/>
        <v>0</v>
      </c>
      <c r="GY38" s="2"/>
      <c r="GZ38" s="2"/>
      <c r="HA38" s="2">
        <v>0</v>
      </c>
      <c r="HB38" s="2">
        <v>0</v>
      </c>
      <c r="HC38" s="2">
        <f t="shared" si="60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35</v>
      </c>
      <c r="HO38" s="2" t="s">
        <v>36</v>
      </c>
      <c r="HP38" s="2" t="s">
        <v>33</v>
      </c>
      <c r="HQ38" s="2" t="s">
        <v>33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18</v>
      </c>
      <c r="B39">
        <v>1</v>
      </c>
      <c r="C39">
        <v>16</v>
      </c>
      <c r="E39" t="s">
        <v>54</v>
      </c>
      <c r="F39" t="s">
        <v>55</v>
      </c>
      <c r="G39" t="s">
        <v>56</v>
      </c>
      <c r="H39" t="s">
        <v>49</v>
      </c>
      <c r="I39">
        <f>I29*J39</f>
        <v>-46.956</v>
      </c>
      <c r="J39">
        <v>-56</v>
      </c>
      <c r="K39">
        <v>-56</v>
      </c>
      <c r="O39">
        <f t="shared" si="21"/>
        <v>-6279.9</v>
      </c>
      <c r="P39">
        <f t="shared" si="22"/>
        <v>-6279.9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55724170</v>
      </c>
      <c r="AB39">
        <f t="shared" si="32"/>
        <v>19.61</v>
      </c>
      <c r="AC39">
        <f t="shared" si="33"/>
        <v>19.61</v>
      </c>
      <c r="AD39">
        <f t="shared" si="34"/>
        <v>0</v>
      </c>
      <c r="AE39">
        <f t="shared" si="35"/>
        <v>0</v>
      </c>
      <c r="AF39">
        <f t="shared" si="36"/>
        <v>0</v>
      </c>
      <c r="AG39">
        <f t="shared" si="37"/>
        <v>0</v>
      </c>
      <c r="AH39">
        <f t="shared" si="38"/>
        <v>0</v>
      </c>
      <c r="AI39">
        <f t="shared" si="39"/>
        <v>0</v>
      </c>
      <c r="AJ39">
        <f t="shared" si="40"/>
        <v>0</v>
      </c>
      <c r="AK39">
        <v>19.61</v>
      </c>
      <c r="AL39">
        <v>19.61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45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6.82</v>
      </c>
      <c r="BH39">
        <v>3</v>
      </c>
      <c r="BI39">
        <v>1</v>
      </c>
      <c r="BJ39" t="s">
        <v>57</v>
      </c>
      <c r="BM39">
        <v>63001</v>
      </c>
      <c r="BN39">
        <v>0</v>
      </c>
      <c r="BP39">
        <v>0</v>
      </c>
      <c r="BQ39">
        <v>6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90</v>
      </c>
      <c r="CA39">
        <v>45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41"/>
        <v>-6279.9</v>
      </c>
      <c r="CQ39">
        <f t="shared" si="42"/>
        <v>133.74020000000002</v>
      </c>
      <c r="CR39">
        <f t="shared" si="43"/>
        <v>0</v>
      </c>
      <c r="CS39">
        <f t="shared" si="44"/>
        <v>0</v>
      </c>
      <c r="CT39">
        <f t="shared" si="45"/>
        <v>0</v>
      </c>
      <c r="CU39">
        <f t="shared" si="46"/>
        <v>0</v>
      </c>
      <c r="CV39">
        <f t="shared" si="47"/>
        <v>0</v>
      </c>
      <c r="CW39">
        <f t="shared" si="48"/>
        <v>0</v>
      </c>
      <c r="CX39">
        <f t="shared" si="49"/>
        <v>0</v>
      </c>
      <c r="CY39">
        <f t="shared" si="50"/>
        <v>0</v>
      </c>
      <c r="CZ39">
        <f t="shared" si="51"/>
        <v>0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49</v>
      </c>
      <c r="DW39" t="s">
        <v>49</v>
      </c>
      <c r="DX39">
        <v>1</v>
      </c>
      <c r="EE39">
        <v>55471797</v>
      </c>
      <c r="EF39">
        <v>6</v>
      </c>
      <c r="EG39" t="s">
        <v>31</v>
      </c>
      <c r="EH39">
        <v>97</v>
      </c>
      <c r="EI39" t="s">
        <v>32</v>
      </c>
      <c r="EJ39">
        <v>1</v>
      </c>
      <c r="EK39">
        <v>63001</v>
      </c>
      <c r="EL39" t="s">
        <v>33</v>
      </c>
      <c r="EM39" t="s">
        <v>34</v>
      </c>
      <c r="EQ39">
        <v>0</v>
      </c>
      <c r="ER39">
        <v>19.61</v>
      </c>
      <c r="ES39">
        <v>19.61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52"/>
        <v>0</v>
      </c>
      <c r="FS39">
        <v>0</v>
      </c>
      <c r="FX39">
        <v>90</v>
      </c>
      <c r="FY39">
        <v>45</v>
      </c>
      <c r="GD39">
        <v>1</v>
      </c>
      <c r="GF39">
        <v>991942845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53"/>
        <v>0</v>
      </c>
      <c r="GM39">
        <f t="shared" si="54"/>
        <v>-6279.9</v>
      </c>
      <c r="GN39">
        <f t="shared" si="55"/>
        <v>-6279.9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HN39" t="s">
        <v>35</v>
      </c>
      <c r="HO39" t="s">
        <v>36</v>
      </c>
      <c r="HP39" t="s">
        <v>33</v>
      </c>
      <c r="HQ39" t="s">
        <v>33</v>
      </c>
      <c r="IK39">
        <v>0</v>
      </c>
    </row>
    <row r="41" spans="1:206" ht="12.75">
      <c r="A41" s="3">
        <v>51</v>
      </c>
      <c r="B41" s="3">
        <f>B24</f>
        <v>1</v>
      </c>
      <c r="C41" s="3">
        <f>A24</f>
        <v>4</v>
      </c>
      <c r="D41" s="3">
        <f>ROW(A24)</f>
        <v>24</v>
      </c>
      <c r="E41" s="3"/>
      <c r="F41" s="3" t="str">
        <f>IF(F24&lt;&gt;"",F24,"")</f>
        <v>Новый раздел</v>
      </c>
      <c r="G41" s="3" t="str">
        <f>IF(G24&lt;&gt;"",G24,"")</f>
        <v>Замена стекол на стеклопакеты</v>
      </c>
      <c r="H41" s="3">
        <v>0</v>
      </c>
      <c r="I41" s="3"/>
      <c r="J41" s="3"/>
      <c r="K41" s="3"/>
      <c r="L41" s="3"/>
      <c r="M41" s="3"/>
      <c r="N41" s="3"/>
      <c r="O41" s="3">
        <f aca="true" t="shared" si="61" ref="O41:T41">ROUND(AB41,2)</f>
        <v>1083989.61</v>
      </c>
      <c r="P41" s="3">
        <f t="shared" si="61"/>
        <v>1082342.3</v>
      </c>
      <c r="Q41" s="3">
        <f t="shared" si="61"/>
        <v>20.33</v>
      </c>
      <c r="R41" s="3">
        <f t="shared" si="61"/>
        <v>5.27</v>
      </c>
      <c r="S41" s="3">
        <f t="shared" si="61"/>
        <v>1626.98</v>
      </c>
      <c r="T41" s="3">
        <f t="shared" si="61"/>
        <v>0</v>
      </c>
      <c r="U41" s="3">
        <f>AH41</f>
        <v>183.63150000000002</v>
      </c>
      <c r="V41" s="3">
        <f>AI41</f>
        <v>0.41925</v>
      </c>
      <c r="W41" s="3">
        <f>ROUND(AJ41,2)</f>
        <v>0</v>
      </c>
      <c r="X41" s="3">
        <f>ROUND(AK41,2)</f>
        <v>1469.03</v>
      </c>
      <c r="Y41" s="3">
        <f>ROUND(AL41,2)</f>
        <v>734.51</v>
      </c>
      <c r="Z41" s="3"/>
      <c r="AA41" s="3"/>
      <c r="AB41" s="3">
        <f>ROUND(SUMIF(AA28:AA39,"=55724169",O28:O39),2)</f>
        <v>1083989.61</v>
      </c>
      <c r="AC41" s="3">
        <f>ROUND(SUMIF(AA28:AA39,"=55724169",P28:P39),2)</f>
        <v>1082342.3</v>
      </c>
      <c r="AD41" s="3">
        <f>ROUND(SUMIF(AA28:AA39,"=55724169",Q28:Q39),2)</f>
        <v>20.33</v>
      </c>
      <c r="AE41" s="3">
        <f>ROUND(SUMIF(AA28:AA39,"=55724169",R28:R39),2)</f>
        <v>5.27</v>
      </c>
      <c r="AF41" s="3">
        <f>ROUND(SUMIF(AA28:AA39,"=55724169",S28:S39),2)</f>
        <v>1626.98</v>
      </c>
      <c r="AG41" s="3">
        <f>ROUND(SUMIF(AA28:AA39,"=55724169",T28:T39),2)</f>
        <v>0</v>
      </c>
      <c r="AH41" s="3">
        <f>SUMIF(AA28:AA39,"=55724169",U28:U39)</f>
        <v>183.63150000000002</v>
      </c>
      <c r="AI41" s="3">
        <f>SUMIF(AA28:AA39,"=55724169",V28:V39)</f>
        <v>0.41925</v>
      </c>
      <c r="AJ41" s="3">
        <f>ROUND(SUMIF(AA28:AA39,"=55724169",W28:W39),2)</f>
        <v>0</v>
      </c>
      <c r="AK41" s="3">
        <f>ROUND(SUMIF(AA28:AA39,"=55724169",X28:X39),2)</f>
        <v>1469.03</v>
      </c>
      <c r="AL41" s="3">
        <f>ROUND(SUMIF(AA28:AA39,"=55724169",Y28:Y39),2)</f>
        <v>734.51</v>
      </c>
      <c r="AM41" s="3"/>
      <c r="AN41" s="3"/>
      <c r="AO41" s="3">
        <f aca="true" t="shared" si="62" ref="AO41:BD41">ROUND(BX41,2)</f>
        <v>0</v>
      </c>
      <c r="AP41" s="3">
        <f t="shared" si="62"/>
        <v>0</v>
      </c>
      <c r="AQ41" s="3">
        <f t="shared" si="62"/>
        <v>0</v>
      </c>
      <c r="AR41" s="3">
        <f t="shared" si="62"/>
        <v>1086193.15</v>
      </c>
      <c r="AS41" s="3">
        <f t="shared" si="62"/>
        <v>1086193.15</v>
      </c>
      <c r="AT41" s="3">
        <f t="shared" si="62"/>
        <v>0</v>
      </c>
      <c r="AU41" s="3">
        <f t="shared" si="62"/>
        <v>0</v>
      </c>
      <c r="AV41" s="3">
        <f t="shared" si="62"/>
        <v>1082342.3</v>
      </c>
      <c r="AW41" s="3">
        <f t="shared" si="62"/>
        <v>1082342.3</v>
      </c>
      <c r="AX41" s="3">
        <f t="shared" si="62"/>
        <v>0</v>
      </c>
      <c r="AY41" s="3">
        <f t="shared" si="62"/>
        <v>1082342.3</v>
      </c>
      <c r="AZ41" s="3">
        <f t="shared" si="62"/>
        <v>0</v>
      </c>
      <c r="BA41" s="3">
        <f t="shared" si="62"/>
        <v>0</v>
      </c>
      <c r="BB41" s="3">
        <f t="shared" si="62"/>
        <v>0</v>
      </c>
      <c r="BC41" s="3">
        <f t="shared" si="62"/>
        <v>0</v>
      </c>
      <c r="BD41" s="3">
        <f t="shared" si="62"/>
        <v>0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>
        <f>ROUND(SUMIF(AA28:AA39,"=55724169",FQ28:FQ39),2)</f>
        <v>0</v>
      </c>
      <c r="BY41" s="3">
        <f>ROUND(SUMIF(AA28:AA39,"=55724169",FR28:FR39),2)</f>
        <v>0</v>
      </c>
      <c r="BZ41" s="3">
        <f>ROUND(SUMIF(AA28:AA39,"=55724169",GL28:GL39),2)</f>
        <v>0</v>
      </c>
      <c r="CA41" s="3">
        <f>ROUND(SUMIF(AA28:AA39,"=55724169",GM28:GM39),2)</f>
        <v>1086193.15</v>
      </c>
      <c r="CB41" s="3">
        <f>ROUND(SUMIF(AA28:AA39,"=55724169",GN28:GN39),2)</f>
        <v>1086193.15</v>
      </c>
      <c r="CC41" s="3">
        <f>ROUND(SUMIF(AA28:AA39,"=55724169",GO28:GO39),2)</f>
        <v>0</v>
      </c>
      <c r="CD41" s="3">
        <f>ROUND(SUMIF(AA28:AA39,"=55724169",GP28:GP39),2)</f>
        <v>0</v>
      </c>
      <c r="CE41" s="3">
        <f>AC41-BX41</f>
        <v>1082342.3</v>
      </c>
      <c r="CF41" s="3">
        <f>AC41-BY41</f>
        <v>1082342.3</v>
      </c>
      <c r="CG41" s="3">
        <f>BX41-BZ41</f>
        <v>0</v>
      </c>
      <c r="CH41" s="3">
        <f>AC41-BX41-BY41+BZ41</f>
        <v>1082342.3</v>
      </c>
      <c r="CI41" s="3">
        <f>BY41-BZ41</f>
        <v>0</v>
      </c>
      <c r="CJ41" s="3">
        <f>ROUND(SUMIF(AA28:AA39,"=55724169",GX28:GX39),2)</f>
        <v>0</v>
      </c>
      <c r="CK41" s="3">
        <f>ROUND(SUMIF(AA28:AA39,"=55724169",GY28:GY39),2)</f>
        <v>0</v>
      </c>
      <c r="CL41" s="3">
        <f>ROUND(SUMIF(AA28:AA39,"=55724169",GZ28:GZ39),2)</f>
        <v>0</v>
      </c>
      <c r="CM41" s="3">
        <f>ROUND(SUMIF(AA28:AA39,"=55724169",HD28:HD39),2)</f>
        <v>0</v>
      </c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4">
        <f aca="true" t="shared" si="63" ref="DG41:DL41">ROUND(DT41,2)</f>
        <v>1145402.11</v>
      </c>
      <c r="DH41" s="4">
        <f t="shared" si="63"/>
        <v>1082344.06</v>
      </c>
      <c r="DI41" s="4">
        <f t="shared" si="63"/>
        <v>273.08</v>
      </c>
      <c r="DJ41" s="4">
        <f t="shared" si="63"/>
        <v>203.21</v>
      </c>
      <c r="DK41" s="4">
        <f t="shared" si="63"/>
        <v>62784.97</v>
      </c>
      <c r="DL41" s="4">
        <f t="shared" si="63"/>
        <v>0</v>
      </c>
      <c r="DM41" s="4">
        <f>DZ41</f>
        <v>183.63150000000002</v>
      </c>
      <c r="DN41" s="4">
        <f>EA41</f>
        <v>0.41925</v>
      </c>
      <c r="DO41" s="4">
        <f>ROUND(EB41,2)</f>
        <v>0</v>
      </c>
      <c r="DP41" s="4">
        <f>ROUND(EC41,2)</f>
        <v>56689.36</v>
      </c>
      <c r="DQ41" s="4">
        <f>ROUND(ED41,2)</f>
        <v>28344.68</v>
      </c>
      <c r="DR41" s="4"/>
      <c r="DS41" s="4"/>
      <c r="DT41" s="4">
        <f>ROUND(SUMIF(AA28:AA39,"=55724170",O28:O39),2)</f>
        <v>1145402.11</v>
      </c>
      <c r="DU41" s="4">
        <f>ROUND(SUMIF(AA28:AA39,"=55724170",P28:P39),2)</f>
        <v>1082344.06</v>
      </c>
      <c r="DV41" s="4">
        <f>ROUND(SUMIF(AA28:AA39,"=55724170",Q28:Q39),2)</f>
        <v>273.08</v>
      </c>
      <c r="DW41" s="4">
        <f>ROUND(SUMIF(AA28:AA39,"=55724170",R28:R39),2)</f>
        <v>203.21</v>
      </c>
      <c r="DX41" s="4">
        <f>ROUND(SUMIF(AA28:AA39,"=55724170",S28:S39),2)</f>
        <v>62784.97</v>
      </c>
      <c r="DY41" s="4">
        <f>ROUND(SUMIF(AA28:AA39,"=55724170",T28:T39),2)</f>
        <v>0</v>
      </c>
      <c r="DZ41" s="4">
        <f>SUMIF(AA28:AA39,"=55724170",U28:U39)</f>
        <v>183.63150000000002</v>
      </c>
      <c r="EA41" s="4">
        <f>SUMIF(AA28:AA39,"=55724170",V28:V39)</f>
        <v>0.41925</v>
      </c>
      <c r="EB41" s="4">
        <f>ROUND(SUMIF(AA28:AA39,"=55724170",W28:W39),2)</f>
        <v>0</v>
      </c>
      <c r="EC41" s="4">
        <f>ROUND(SUMIF(AA28:AA39,"=55724170",X28:X39),2)</f>
        <v>56689.36</v>
      </c>
      <c r="ED41" s="4">
        <f>ROUND(SUMIF(AA28:AA39,"=55724170",Y28:Y39),2)</f>
        <v>28344.68</v>
      </c>
      <c r="EE41" s="4"/>
      <c r="EF41" s="4"/>
      <c r="EG41" s="4">
        <f aca="true" t="shared" si="64" ref="EG41:EV41">ROUND(FP41,2)</f>
        <v>0</v>
      </c>
      <c r="EH41" s="4">
        <f t="shared" si="64"/>
        <v>0</v>
      </c>
      <c r="EI41" s="4">
        <f t="shared" si="64"/>
        <v>0</v>
      </c>
      <c r="EJ41" s="4">
        <f t="shared" si="64"/>
        <v>1230436.15</v>
      </c>
      <c r="EK41" s="4">
        <f t="shared" si="64"/>
        <v>1230436.15</v>
      </c>
      <c r="EL41" s="4">
        <f t="shared" si="64"/>
        <v>0</v>
      </c>
      <c r="EM41" s="4">
        <f t="shared" si="64"/>
        <v>0</v>
      </c>
      <c r="EN41" s="4">
        <f t="shared" si="64"/>
        <v>1082344.06</v>
      </c>
      <c r="EO41" s="4">
        <f t="shared" si="64"/>
        <v>1082344.06</v>
      </c>
      <c r="EP41" s="4">
        <f t="shared" si="64"/>
        <v>0</v>
      </c>
      <c r="EQ41" s="4">
        <f t="shared" si="64"/>
        <v>1082344.06</v>
      </c>
      <c r="ER41" s="4">
        <f t="shared" si="64"/>
        <v>0</v>
      </c>
      <c r="ES41" s="4">
        <f t="shared" si="64"/>
        <v>0</v>
      </c>
      <c r="ET41" s="4">
        <f t="shared" si="64"/>
        <v>0</v>
      </c>
      <c r="EU41" s="4">
        <f t="shared" si="64"/>
        <v>0</v>
      </c>
      <c r="EV41" s="4">
        <f t="shared" si="64"/>
        <v>0</v>
      </c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>
        <f>ROUND(SUMIF(AA28:AA39,"=55724170",FQ28:FQ39),2)</f>
        <v>0</v>
      </c>
      <c r="FQ41" s="4">
        <f>ROUND(SUMIF(AA28:AA39,"=55724170",FR28:FR39),2)</f>
        <v>0</v>
      </c>
      <c r="FR41" s="4">
        <f>ROUND(SUMIF(AA28:AA39,"=55724170",GL28:GL39),2)</f>
        <v>0</v>
      </c>
      <c r="FS41" s="4">
        <f>ROUND(SUMIF(AA28:AA39,"=55724170",GM28:GM39),2)</f>
        <v>1230436.15</v>
      </c>
      <c r="FT41" s="4">
        <f>ROUND(SUMIF(AA28:AA39,"=55724170",GN28:GN39),2)</f>
        <v>1230436.15</v>
      </c>
      <c r="FU41" s="4">
        <f>ROUND(SUMIF(AA28:AA39,"=55724170",GO28:GO39),2)</f>
        <v>0</v>
      </c>
      <c r="FV41" s="4">
        <f>ROUND(SUMIF(AA28:AA39,"=55724170",GP28:GP39),2)</f>
        <v>0</v>
      </c>
      <c r="FW41" s="4">
        <f>DU41-FP41</f>
        <v>1082344.06</v>
      </c>
      <c r="FX41" s="4">
        <f>DU41-FQ41</f>
        <v>1082344.06</v>
      </c>
      <c r="FY41" s="4">
        <f>FP41-FR41</f>
        <v>0</v>
      </c>
      <c r="FZ41" s="4">
        <f>DU41-FP41-FQ41+FR41</f>
        <v>1082344.06</v>
      </c>
      <c r="GA41" s="4">
        <f>FQ41-FR41</f>
        <v>0</v>
      </c>
      <c r="GB41" s="4">
        <f>ROUND(SUMIF(AA28:AA39,"=55724170",GX28:GX39),2)</f>
        <v>0</v>
      </c>
      <c r="GC41" s="4">
        <f>ROUND(SUMIF(AA28:AA39,"=55724170",GY28:GY39),2)</f>
        <v>0</v>
      </c>
      <c r="GD41" s="4">
        <f>ROUND(SUMIF(AA28:AA39,"=55724170",GZ28:GZ39),2)</f>
        <v>0</v>
      </c>
      <c r="GE41" s="4">
        <f>ROUND(SUMIF(AA28:AA39,"=55724170",HD28:HD39),2)</f>
        <v>0</v>
      </c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201</v>
      </c>
      <c r="F43" s="5">
        <f>ROUND(Source!O41,O43)</f>
        <v>1083989.61</v>
      </c>
      <c r="G43" s="5" t="s">
        <v>58</v>
      </c>
      <c r="H43" s="5" t="s">
        <v>59</v>
      </c>
      <c r="I43" s="5"/>
      <c r="J43" s="5"/>
      <c r="K43" s="5">
        <v>201</v>
      </c>
      <c r="L43" s="5">
        <v>1</v>
      </c>
      <c r="M43" s="5">
        <v>3</v>
      </c>
      <c r="N43" s="5" t="s">
        <v>3</v>
      </c>
      <c r="O43" s="5">
        <v>2</v>
      </c>
      <c r="P43" s="5">
        <f>ROUND(Source!DG41,O43)</f>
        <v>1145402.11</v>
      </c>
      <c r="Q43" s="5"/>
      <c r="R43" s="5"/>
      <c r="S43" s="5"/>
      <c r="T43" s="5"/>
      <c r="U43" s="5"/>
      <c r="V43" s="5"/>
      <c r="W43" s="5">
        <v>1083989.61</v>
      </c>
      <c r="X43" s="5">
        <v>1</v>
      </c>
      <c r="Y43" s="5">
        <v>1083989.61</v>
      </c>
      <c r="Z43" s="5">
        <v>1145402.11</v>
      </c>
      <c r="AA43" s="5">
        <v>1</v>
      </c>
      <c r="AB43" s="5">
        <v>1145402.11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202</v>
      </c>
      <c r="F44" s="5">
        <f>ROUND(Source!P41,O44)</f>
        <v>1082342.3</v>
      </c>
      <c r="G44" s="5" t="s">
        <v>60</v>
      </c>
      <c r="H44" s="5" t="s">
        <v>61</v>
      </c>
      <c r="I44" s="5"/>
      <c r="J44" s="5"/>
      <c r="K44" s="5">
        <v>202</v>
      </c>
      <c r="L44" s="5">
        <v>2</v>
      </c>
      <c r="M44" s="5">
        <v>3</v>
      </c>
      <c r="N44" s="5" t="s">
        <v>3</v>
      </c>
      <c r="O44" s="5">
        <v>2</v>
      </c>
      <c r="P44" s="5">
        <f>ROUND(Source!DH41,O44)</f>
        <v>1082344.06</v>
      </c>
      <c r="Q44" s="5"/>
      <c r="R44" s="5"/>
      <c r="S44" s="5"/>
      <c r="T44" s="5"/>
      <c r="U44" s="5"/>
      <c r="V44" s="5"/>
      <c r="W44" s="5">
        <v>1082342.3</v>
      </c>
      <c r="X44" s="5">
        <v>1</v>
      </c>
      <c r="Y44" s="5">
        <v>1082342.3</v>
      </c>
      <c r="Z44" s="5">
        <v>1082344.06</v>
      </c>
      <c r="AA44" s="5">
        <v>1</v>
      </c>
      <c r="AB44" s="5">
        <v>1082344.06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222</v>
      </c>
      <c r="F45" s="5">
        <f>ROUND(Source!AO41,O45)</f>
        <v>0</v>
      </c>
      <c r="G45" s="5" t="s">
        <v>62</v>
      </c>
      <c r="H45" s="5" t="s">
        <v>63</v>
      </c>
      <c r="I45" s="5"/>
      <c r="J45" s="5"/>
      <c r="K45" s="5">
        <v>222</v>
      </c>
      <c r="L45" s="5">
        <v>3</v>
      </c>
      <c r="M45" s="5">
        <v>3</v>
      </c>
      <c r="N45" s="5" t="s">
        <v>3</v>
      </c>
      <c r="O45" s="5">
        <v>2</v>
      </c>
      <c r="P45" s="5">
        <f>ROUND(Source!EG41,O45)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225</v>
      </c>
      <c r="F46" s="5">
        <f>ROUND(Source!AV41,O46)</f>
        <v>1082342.3</v>
      </c>
      <c r="G46" s="5" t="s">
        <v>64</v>
      </c>
      <c r="H46" s="5" t="s">
        <v>65</v>
      </c>
      <c r="I46" s="5"/>
      <c r="J46" s="5"/>
      <c r="K46" s="5">
        <v>225</v>
      </c>
      <c r="L46" s="5">
        <v>4</v>
      </c>
      <c r="M46" s="5">
        <v>3</v>
      </c>
      <c r="N46" s="5" t="s">
        <v>3</v>
      </c>
      <c r="O46" s="5">
        <v>2</v>
      </c>
      <c r="P46" s="5">
        <f>ROUND(Source!EN41,O46)</f>
        <v>1082344.06</v>
      </c>
      <c r="Q46" s="5"/>
      <c r="R46" s="5"/>
      <c r="S46" s="5"/>
      <c r="T46" s="5"/>
      <c r="U46" s="5"/>
      <c r="V46" s="5"/>
      <c r="W46" s="5">
        <v>1082342.3</v>
      </c>
      <c r="X46" s="5">
        <v>1</v>
      </c>
      <c r="Y46" s="5">
        <v>1082342.3</v>
      </c>
      <c r="Z46" s="5">
        <v>1082344.06</v>
      </c>
      <c r="AA46" s="5">
        <v>1</v>
      </c>
      <c r="AB46" s="5">
        <v>1082344.06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226</v>
      </c>
      <c r="F47" s="5">
        <f>ROUND(Source!AW41,O47)</f>
        <v>1082342.3</v>
      </c>
      <c r="G47" s="5" t="s">
        <v>66</v>
      </c>
      <c r="H47" s="5" t="s">
        <v>67</v>
      </c>
      <c r="I47" s="5"/>
      <c r="J47" s="5"/>
      <c r="K47" s="5">
        <v>226</v>
      </c>
      <c r="L47" s="5">
        <v>5</v>
      </c>
      <c r="M47" s="5">
        <v>3</v>
      </c>
      <c r="N47" s="5" t="s">
        <v>3</v>
      </c>
      <c r="O47" s="5">
        <v>2</v>
      </c>
      <c r="P47" s="5">
        <f>ROUND(Source!EO41,O47)</f>
        <v>1082344.06</v>
      </c>
      <c r="Q47" s="5"/>
      <c r="R47" s="5"/>
      <c r="S47" s="5"/>
      <c r="T47" s="5"/>
      <c r="U47" s="5"/>
      <c r="V47" s="5"/>
      <c r="W47" s="5">
        <v>1082342.3</v>
      </c>
      <c r="X47" s="5">
        <v>1</v>
      </c>
      <c r="Y47" s="5">
        <v>1082342.3</v>
      </c>
      <c r="Z47" s="5">
        <v>1082344.06</v>
      </c>
      <c r="AA47" s="5">
        <v>1</v>
      </c>
      <c r="AB47" s="5">
        <v>1082344.06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227</v>
      </c>
      <c r="F48" s="5">
        <f>ROUND(Source!AX41,O48)</f>
        <v>0</v>
      </c>
      <c r="G48" s="5" t="s">
        <v>68</v>
      </c>
      <c r="H48" s="5" t="s">
        <v>69</v>
      </c>
      <c r="I48" s="5"/>
      <c r="J48" s="5"/>
      <c r="K48" s="5">
        <v>227</v>
      </c>
      <c r="L48" s="5">
        <v>6</v>
      </c>
      <c r="M48" s="5">
        <v>3</v>
      </c>
      <c r="N48" s="5" t="s">
        <v>3</v>
      </c>
      <c r="O48" s="5">
        <v>2</v>
      </c>
      <c r="P48" s="5">
        <f>ROUND(Source!EP41,O48)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228</v>
      </c>
      <c r="F49" s="5">
        <f>ROUND(Source!AY41,O49)</f>
        <v>1082342.3</v>
      </c>
      <c r="G49" s="5" t="s">
        <v>70</v>
      </c>
      <c r="H49" s="5" t="s">
        <v>71</v>
      </c>
      <c r="I49" s="5"/>
      <c r="J49" s="5"/>
      <c r="K49" s="5">
        <v>228</v>
      </c>
      <c r="L49" s="5">
        <v>7</v>
      </c>
      <c r="M49" s="5">
        <v>3</v>
      </c>
      <c r="N49" s="5" t="s">
        <v>3</v>
      </c>
      <c r="O49" s="5">
        <v>2</v>
      </c>
      <c r="P49" s="5">
        <f>ROUND(Source!EQ41,O49)</f>
        <v>1082344.06</v>
      </c>
      <c r="Q49" s="5"/>
      <c r="R49" s="5"/>
      <c r="S49" s="5"/>
      <c r="T49" s="5"/>
      <c r="U49" s="5"/>
      <c r="V49" s="5"/>
      <c r="W49" s="5">
        <v>1082342.3</v>
      </c>
      <c r="X49" s="5">
        <v>1</v>
      </c>
      <c r="Y49" s="5">
        <v>1082342.3</v>
      </c>
      <c r="Z49" s="5">
        <v>1082344.06</v>
      </c>
      <c r="AA49" s="5">
        <v>1</v>
      </c>
      <c r="AB49" s="5">
        <v>1082344.06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216</v>
      </c>
      <c r="F50" s="5">
        <f>ROUND(Source!AP41,O50)</f>
        <v>0</v>
      </c>
      <c r="G50" s="5" t="s">
        <v>72</v>
      </c>
      <c r="H50" s="5" t="s">
        <v>73</v>
      </c>
      <c r="I50" s="5"/>
      <c r="J50" s="5"/>
      <c r="K50" s="5">
        <v>216</v>
      </c>
      <c r="L50" s="5">
        <v>8</v>
      </c>
      <c r="M50" s="5">
        <v>3</v>
      </c>
      <c r="N50" s="5" t="s">
        <v>3</v>
      </c>
      <c r="O50" s="5">
        <v>2</v>
      </c>
      <c r="P50" s="5">
        <f>ROUND(Source!EH41,O50)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223</v>
      </c>
      <c r="F51" s="5">
        <f>ROUND(Source!AQ41,O51)</f>
        <v>0</v>
      </c>
      <c r="G51" s="5" t="s">
        <v>74</v>
      </c>
      <c r="H51" s="5" t="s">
        <v>75</v>
      </c>
      <c r="I51" s="5"/>
      <c r="J51" s="5"/>
      <c r="K51" s="5">
        <v>223</v>
      </c>
      <c r="L51" s="5">
        <v>9</v>
      </c>
      <c r="M51" s="5">
        <v>3</v>
      </c>
      <c r="N51" s="5" t="s">
        <v>3</v>
      </c>
      <c r="O51" s="5">
        <v>2</v>
      </c>
      <c r="P51" s="5">
        <f>ROUND(Source!EI41,O51)</f>
        <v>0</v>
      </c>
      <c r="Q51" s="5"/>
      <c r="R51" s="5"/>
      <c r="S51" s="5"/>
      <c r="T51" s="5"/>
      <c r="U51" s="5"/>
      <c r="V51" s="5"/>
      <c r="W51" s="5">
        <v>0</v>
      </c>
      <c r="X51" s="5">
        <v>1</v>
      </c>
      <c r="Y51" s="5">
        <v>0</v>
      </c>
      <c r="Z51" s="5">
        <v>0</v>
      </c>
      <c r="AA51" s="5">
        <v>1</v>
      </c>
      <c r="AB51" s="5">
        <v>0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229</v>
      </c>
      <c r="F52" s="5">
        <f>ROUND(Source!AZ41,O52)</f>
        <v>0</v>
      </c>
      <c r="G52" s="5" t="s">
        <v>76</v>
      </c>
      <c r="H52" s="5" t="s">
        <v>77</v>
      </c>
      <c r="I52" s="5"/>
      <c r="J52" s="5"/>
      <c r="K52" s="5">
        <v>229</v>
      </c>
      <c r="L52" s="5">
        <v>10</v>
      </c>
      <c r="M52" s="5">
        <v>3</v>
      </c>
      <c r="N52" s="5" t="s">
        <v>3</v>
      </c>
      <c r="O52" s="5">
        <v>2</v>
      </c>
      <c r="P52" s="5">
        <f>ROUND(Source!ER41,O52)</f>
        <v>0</v>
      </c>
      <c r="Q52" s="5"/>
      <c r="R52" s="5"/>
      <c r="S52" s="5"/>
      <c r="T52" s="5"/>
      <c r="U52" s="5"/>
      <c r="V52" s="5"/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203</v>
      </c>
      <c r="F53" s="5">
        <f>ROUND(Source!Q41,O53)</f>
        <v>20.33</v>
      </c>
      <c r="G53" s="5" t="s">
        <v>78</v>
      </c>
      <c r="H53" s="5" t="s">
        <v>79</v>
      </c>
      <c r="I53" s="5"/>
      <c r="J53" s="5"/>
      <c r="K53" s="5">
        <v>203</v>
      </c>
      <c r="L53" s="5">
        <v>11</v>
      </c>
      <c r="M53" s="5">
        <v>3</v>
      </c>
      <c r="N53" s="5" t="s">
        <v>3</v>
      </c>
      <c r="O53" s="5">
        <v>2</v>
      </c>
      <c r="P53" s="5">
        <f>ROUND(Source!DI41,O53)</f>
        <v>273.08</v>
      </c>
      <c r="Q53" s="5"/>
      <c r="R53" s="5"/>
      <c r="S53" s="5"/>
      <c r="T53" s="5"/>
      <c r="U53" s="5"/>
      <c r="V53" s="5"/>
      <c r="W53" s="5">
        <v>20.33</v>
      </c>
      <c r="X53" s="5">
        <v>1</v>
      </c>
      <c r="Y53" s="5">
        <v>20.33</v>
      </c>
      <c r="Z53" s="5">
        <v>273.08</v>
      </c>
      <c r="AA53" s="5">
        <v>1</v>
      </c>
      <c r="AB53" s="5">
        <v>273.08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231</v>
      </c>
      <c r="F54" s="5">
        <f>ROUND(Source!BB41,O54)</f>
        <v>0</v>
      </c>
      <c r="G54" s="5" t="s">
        <v>80</v>
      </c>
      <c r="H54" s="5" t="s">
        <v>81</v>
      </c>
      <c r="I54" s="5"/>
      <c r="J54" s="5"/>
      <c r="K54" s="5">
        <v>231</v>
      </c>
      <c r="L54" s="5">
        <v>12</v>
      </c>
      <c r="M54" s="5">
        <v>3</v>
      </c>
      <c r="N54" s="5" t="s">
        <v>3</v>
      </c>
      <c r="O54" s="5">
        <v>2</v>
      </c>
      <c r="P54" s="5">
        <f>ROUND(Source!ET41,O54)</f>
        <v>0</v>
      </c>
      <c r="Q54" s="5"/>
      <c r="R54" s="5"/>
      <c r="S54" s="5"/>
      <c r="T54" s="5"/>
      <c r="U54" s="5"/>
      <c r="V54" s="5"/>
      <c r="W54" s="5">
        <v>0</v>
      </c>
      <c r="X54" s="5">
        <v>1</v>
      </c>
      <c r="Y54" s="5">
        <v>0</v>
      </c>
      <c r="Z54" s="5">
        <v>0</v>
      </c>
      <c r="AA54" s="5">
        <v>1</v>
      </c>
      <c r="AB54" s="5">
        <v>0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204</v>
      </c>
      <c r="F55" s="5">
        <f>ROUND(Source!R41,O55)</f>
        <v>5.27</v>
      </c>
      <c r="G55" s="5" t="s">
        <v>82</v>
      </c>
      <c r="H55" s="5" t="s">
        <v>83</v>
      </c>
      <c r="I55" s="5"/>
      <c r="J55" s="5"/>
      <c r="K55" s="5">
        <v>204</v>
      </c>
      <c r="L55" s="5">
        <v>13</v>
      </c>
      <c r="M55" s="5">
        <v>3</v>
      </c>
      <c r="N55" s="5" t="s">
        <v>3</v>
      </c>
      <c r="O55" s="5">
        <v>2</v>
      </c>
      <c r="P55" s="5">
        <f>ROUND(Source!DJ41,O55)</f>
        <v>203.21</v>
      </c>
      <c r="Q55" s="5"/>
      <c r="R55" s="5"/>
      <c r="S55" s="5"/>
      <c r="T55" s="5"/>
      <c r="U55" s="5"/>
      <c r="V55" s="5"/>
      <c r="W55" s="5">
        <v>5.27</v>
      </c>
      <c r="X55" s="5">
        <v>1</v>
      </c>
      <c r="Y55" s="5">
        <v>5.27</v>
      </c>
      <c r="Z55" s="5">
        <v>203.21</v>
      </c>
      <c r="AA55" s="5">
        <v>1</v>
      </c>
      <c r="AB55" s="5">
        <v>203.21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205</v>
      </c>
      <c r="F56" s="5">
        <f>ROUND(Source!S41,O56)</f>
        <v>1626.98</v>
      </c>
      <c r="G56" s="5" t="s">
        <v>84</v>
      </c>
      <c r="H56" s="5" t="s">
        <v>85</v>
      </c>
      <c r="I56" s="5"/>
      <c r="J56" s="5"/>
      <c r="K56" s="5">
        <v>205</v>
      </c>
      <c r="L56" s="5">
        <v>14</v>
      </c>
      <c r="M56" s="5">
        <v>3</v>
      </c>
      <c r="N56" s="5" t="s">
        <v>3</v>
      </c>
      <c r="O56" s="5">
        <v>2</v>
      </c>
      <c r="P56" s="5">
        <f>ROUND(Source!DK41,O56)</f>
        <v>62784.97</v>
      </c>
      <c r="Q56" s="5"/>
      <c r="R56" s="5"/>
      <c r="S56" s="5"/>
      <c r="T56" s="5"/>
      <c r="U56" s="5"/>
      <c r="V56" s="5"/>
      <c r="W56" s="5">
        <v>1626.98</v>
      </c>
      <c r="X56" s="5">
        <v>1</v>
      </c>
      <c r="Y56" s="5">
        <v>1626.98</v>
      </c>
      <c r="Z56" s="5">
        <v>62784.97</v>
      </c>
      <c r="AA56" s="5">
        <v>1</v>
      </c>
      <c r="AB56" s="5">
        <v>62784.97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232</v>
      </c>
      <c r="F57" s="5">
        <f>ROUND(Source!BC41,O57)</f>
        <v>0</v>
      </c>
      <c r="G57" s="5" t="s">
        <v>86</v>
      </c>
      <c r="H57" s="5" t="s">
        <v>87</v>
      </c>
      <c r="I57" s="5"/>
      <c r="J57" s="5"/>
      <c r="K57" s="5">
        <v>232</v>
      </c>
      <c r="L57" s="5">
        <v>15</v>
      </c>
      <c r="M57" s="5">
        <v>3</v>
      </c>
      <c r="N57" s="5" t="s">
        <v>3</v>
      </c>
      <c r="O57" s="5">
        <v>2</v>
      </c>
      <c r="P57" s="5">
        <f>ROUND(Source!EU41,O57)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214</v>
      </c>
      <c r="F58" s="5">
        <f>ROUND(Source!AS41,O58)</f>
        <v>1086193.15</v>
      </c>
      <c r="G58" s="5" t="s">
        <v>88</v>
      </c>
      <c r="H58" s="5" t="s">
        <v>89</v>
      </c>
      <c r="I58" s="5"/>
      <c r="J58" s="5"/>
      <c r="K58" s="5">
        <v>214</v>
      </c>
      <c r="L58" s="5">
        <v>16</v>
      </c>
      <c r="M58" s="5">
        <v>3</v>
      </c>
      <c r="N58" s="5" t="s">
        <v>3</v>
      </c>
      <c r="O58" s="5">
        <v>2</v>
      </c>
      <c r="P58" s="5">
        <f>ROUND(Source!EK41,O58)</f>
        <v>1230436.15</v>
      </c>
      <c r="Q58" s="5"/>
      <c r="R58" s="5"/>
      <c r="S58" s="5"/>
      <c r="T58" s="5"/>
      <c r="U58" s="5"/>
      <c r="V58" s="5"/>
      <c r="W58" s="5">
        <v>1086193.15</v>
      </c>
      <c r="X58" s="5">
        <v>1</v>
      </c>
      <c r="Y58" s="5">
        <v>1086193.15</v>
      </c>
      <c r="Z58" s="5">
        <v>1230436.15</v>
      </c>
      <c r="AA58" s="5">
        <v>1</v>
      </c>
      <c r="AB58" s="5">
        <v>1230436.15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215</v>
      </c>
      <c r="F59" s="5">
        <f>ROUND(Source!AT41,O59)</f>
        <v>0</v>
      </c>
      <c r="G59" s="5" t="s">
        <v>90</v>
      </c>
      <c r="H59" s="5" t="s">
        <v>91</v>
      </c>
      <c r="I59" s="5"/>
      <c r="J59" s="5"/>
      <c r="K59" s="5">
        <v>215</v>
      </c>
      <c r="L59" s="5">
        <v>17</v>
      </c>
      <c r="M59" s="5">
        <v>3</v>
      </c>
      <c r="N59" s="5" t="s">
        <v>3</v>
      </c>
      <c r="O59" s="5">
        <v>2</v>
      </c>
      <c r="P59" s="5">
        <f>ROUND(Source!EL41,O59)</f>
        <v>0</v>
      </c>
      <c r="Q59" s="5"/>
      <c r="R59" s="5"/>
      <c r="S59" s="5"/>
      <c r="T59" s="5"/>
      <c r="U59" s="5"/>
      <c r="V59" s="5"/>
      <c r="W59" s="5">
        <v>0</v>
      </c>
      <c r="X59" s="5">
        <v>1</v>
      </c>
      <c r="Y59" s="5">
        <v>0</v>
      </c>
      <c r="Z59" s="5">
        <v>0</v>
      </c>
      <c r="AA59" s="5">
        <v>1</v>
      </c>
      <c r="AB59" s="5">
        <v>0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217</v>
      </c>
      <c r="F60" s="5">
        <f>ROUND(Source!AU41,O60)</f>
        <v>0</v>
      </c>
      <c r="G60" s="5" t="s">
        <v>92</v>
      </c>
      <c r="H60" s="5" t="s">
        <v>93</v>
      </c>
      <c r="I60" s="5"/>
      <c r="J60" s="5"/>
      <c r="K60" s="5">
        <v>217</v>
      </c>
      <c r="L60" s="5">
        <v>18</v>
      </c>
      <c r="M60" s="5">
        <v>3</v>
      </c>
      <c r="N60" s="5" t="s">
        <v>3</v>
      </c>
      <c r="O60" s="5">
        <v>2</v>
      </c>
      <c r="P60" s="5">
        <f>ROUND(Source!EM41,O60)</f>
        <v>0</v>
      </c>
      <c r="Q60" s="5"/>
      <c r="R60" s="5"/>
      <c r="S60" s="5"/>
      <c r="T60" s="5"/>
      <c r="U60" s="5"/>
      <c r="V60" s="5"/>
      <c r="W60" s="5">
        <v>0</v>
      </c>
      <c r="X60" s="5">
        <v>1</v>
      </c>
      <c r="Y60" s="5">
        <v>0</v>
      </c>
      <c r="Z60" s="5">
        <v>0</v>
      </c>
      <c r="AA60" s="5">
        <v>1</v>
      </c>
      <c r="AB60" s="5">
        <v>0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230</v>
      </c>
      <c r="F61" s="5">
        <f>ROUND(Source!BA41,O61)</f>
        <v>0</v>
      </c>
      <c r="G61" s="5" t="s">
        <v>94</v>
      </c>
      <c r="H61" s="5" t="s">
        <v>95</v>
      </c>
      <c r="I61" s="5"/>
      <c r="J61" s="5"/>
      <c r="K61" s="5">
        <v>230</v>
      </c>
      <c r="L61" s="5">
        <v>19</v>
      </c>
      <c r="M61" s="5">
        <v>3</v>
      </c>
      <c r="N61" s="5" t="s">
        <v>3</v>
      </c>
      <c r="O61" s="5">
        <v>2</v>
      </c>
      <c r="P61" s="5">
        <f>ROUND(Source!ES41,O61)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206</v>
      </c>
      <c r="F62" s="5">
        <f>ROUND(Source!T41,O62)</f>
        <v>0</v>
      </c>
      <c r="G62" s="5" t="s">
        <v>96</v>
      </c>
      <c r="H62" s="5" t="s">
        <v>97</v>
      </c>
      <c r="I62" s="5"/>
      <c r="J62" s="5"/>
      <c r="K62" s="5">
        <v>206</v>
      </c>
      <c r="L62" s="5">
        <v>20</v>
      </c>
      <c r="M62" s="5">
        <v>3</v>
      </c>
      <c r="N62" s="5" t="s">
        <v>3</v>
      </c>
      <c r="O62" s="5">
        <v>2</v>
      </c>
      <c r="P62" s="5">
        <f>ROUND(Source!DL41,O62)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207</v>
      </c>
      <c r="F63" s="5">
        <f>Source!U41</f>
        <v>183.63150000000002</v>
      </c>
      <c r="G63" s="5" t="s">
        <v>98</v>
      </c>
      <c r="H63" s="5" t="s">
        <v>99</v>
      </c>
      <c r="I63" s="5"/>
      <c r="J63" s="5"/>
      <c r="K63" s="5">
        <v>207</v>
      </c>
      <c r="L63" s="5">
        <v>21</v>
      </c>
      <c r="M63" s="5">
        <v>3</v>
      </c>
      <c r="N63" s="5" t="s">
        <v>3</v>
      </c>
      <c r="O63" s="5">
        <v>-1</v>
      </c>
      <c r="P63" s="5">
        <f>Source!DM41</f>
        <v>183.63150000000002</v>
      </c>
      <c r="Q63" s="5"/>
      <c r="R63" s="5"/>
      <c r="S63" s="5"/>
      <c r="T63" s="5"/>
      <c r="U63" s="5"/>
      <c r="V63" s="5"/>
      <c r="W63" s="5">
        <v>183.6315</v>
      </c>
      <c r="X63" s="5">
        <v>1</v>
      </c>
      <c r="Y63" s="5">
        <v>183.6315</v>
      </c>
      <c r="Z63" s="5">
        <v>183.6315</v>
      </c>
      <c r="AA63" s="5">
        <v>1</v>
      </c>
      <c r="AB63" s="5">
        <v>183.6315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208</v>
      </c>
      <c r="F64" s="5">
        <f>Source!V41</f>
        <v>0.41925</v>
      </c>
      <c r="G64" s="5" t="s">
        <v>100</v>
      </c>
      <c r="H64" s="5" t="s">
        <v>101</v>
      </c>
      <c r="I64" s="5"/>
      <c r="J64" s="5"/>
      <c r="K64" s="5">
        <v>208</v>
      </c>
      <c r="L64" s="5">
        <v>22</v>
      </c>
      <c r="M64" s="5">
        <v>3</v>
      </c>
      <c r="N64" s="5" t="s">
        <v>3</v>
      </c>
      <c r="O64" s="5">
        <v>-1</v>
      </c>
      <c r="P64" s="5">
        <f>Source!DN41</f>
        <v>0.41925</v>
      </c>
      <c r="Q64" s="5"/>
      <c r="R64" s="5"/>
      <c r="S64" s="5"/>
      <c r="T64" s="5"/>
      <c r="U64" s="5"/>
      <c r="V64" s="5"/>
      <c r="W64" s="5">
        <v>0.41925</v>
      </c>
      <c r="X64" s="5">
        <v>1</v>
      </c>
      <c r="Y64" s="5">
        <v>0.41925</v>
      </c>
      <c r="Z64" s="5">
        <v>0.41925</v>
      </c>
      <c r="AA64" s="5">
        <v>1</v>
      </c>
      <c r="AB64" s="5">
        <v>0.41925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209</v>
      </c>
      <c r="F65" s="5">
        <f>ROUND(Source!W41,O65)</f>
        <v>0</v>
      </c>
      <c r="G65" s="5" t="s">
        <v>102</v>
      </c>
      <c r="H65" s="5" t="s">
        <v>103</v>
      </c>
      <c r="I65" s="5"/>
      <c r="J65" s="5"/>
      <c r="K65" s="5">
        <v>209</v>
      </c>
      <c r="L65" s="5">
        <v>23</v>
      </c>
      <c r="M65" s="5">
        <v>3</v>
      </c>
      <c r="N65" s="5" t="s">
        <v>3</v>
      </c>
      <c r="O65" s="5">
        <v>2</v>
      </c>
      <c r="P65" s="5">
        <f>ROUND(Source!DO41,O65)</f>
        <v>0</v>
      </c>
      <c r="Q65" s="5"/>
      <c r="R65" s="5"/>
      <c r="S65" s="5"/>
      <c r="T65" s="5"/>
      <c r="U65" s="5"/>
      <c r="V65" s="5"/>
      <c r="W65" s="5">
        <v>0</v>
      </c>
      <c r="X65" s="5">
        <v>1</v>
      </c>
      <c r="Y65" s="5">
        <v>0</v>
      </c>
      <c r="Z65" s="5">
        <v>0</v>
      </c>
      <c r="AA65" s="5">
        <v>1</v>
      </c>
      <c r="AB65" s="5">
        <v>0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233</v>
      </c>
      <c r="F66" s="5">
        <f>ROUND(Source!BD41,O66)</f>
        <v>0</v>
      </c>
      <c r="G66" s="5" t="s">
        <v>104</v>
      </c>
      <c r="H66" s="5" t="s">
        <v>105</v>
      </c>
      <c r="I66" s="5"/>
      <c r="J66" s="5"/>
      <c r="K66" s="5">
        <v>233</v>
      </c>
      <c r="L66" s="5">
        <v>24</v>
      </c>
      <c r="M66" s="5">
        <v>3</v>
      </c>
      <c r="N66" s="5" t="s">
        <v>3</v>
      </c>
      <c r="O66" s="5">
        <v>2</v>
      </c>
      <c r="P66" s="5">
        <f>ROUND(Source!EV41,O66)</f>
        <v>0</v>
      </c>
      <c r="Q66" s="5"/>
      <c r="R66" s="5"/>
      <c r="S66" s="5"/>
      <c r="T66" s="5"/>
      <c r="U66" s="5"/>
      <c r="V66" s="5"/>
      <c r="W66" s="5">
        <v>0</v>
      </c>
      <c r="X66" s="5">
        <v>1</v>
      </c>
      <c r="Y66" s="5">
        <v>0</v>
      </c>
      <c r="Z66" s="5">
        <v>0</v>
      </c>
      <c r="AA66" s="5">
        <v>1</v>
      </c>
      <c r="AB66" s="5">
        <v>0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210</v>
      </c>
      <c r="F67" s="5">
        <f>ROUND(Source!X41,O67)</f>
        <v>1469.03</v>
      </c>
      <c r="G67" s="5" t="s">
        <v>106</v>
      </c>
      <c r="H67" s="5" t="s">
        <v>107</v>
      </c>
      <c r="I67" s="5"/>
      <c r="J67" s="5"/>
      <c r="K67" s="5">
        <v>210</v>
      </c>
      <c r="L67" s="5">
        <v>25</v>
      </c>
      <c r="M67" s="5">
        <v>3</v>
      </c>
      <c r="N67" s="5" t="s">
        <v>3</v>
      </c>
      <c r="O67" s="5">
        <v>2</v>
      </c>
      <c r="P67" s="5">
        <f>ROUND(Source!DP41,O67)</f>
        <v>56689.36</v>
      </c>
      <c r="Q67" s="5"/>
      <c r="R67" s="5"/>
      <c r="S67" s="5"/>
      <c r="T67" s="5"/>
      <c r="U67" s="5"/>
      <c r="V67" s="5"/>
      <c r="W67" s="5">
        <v>1469.03</v>
      </c>
      <c r="X67" s="5">
        <v>1</v>
      </c>
      <c r="Y67" s="5">
        <v>1469.03</v>
      </c>
      <c r="Z67" s="5">
        <v>56689.36</v>
      </c>
      <c r="AA67" s="5">
        <v>1</v>
      </c>
      <c r="AB67" s="5">
        <v>56689.36</v>
      </c>
    </row>
    <row r="68" spans="1:28" ht="12.75">
      <c r="A68" s="5">
        <v>50</v>
      </c>
      <c r="B68" s="5">
        <v>0</v>
      </c>
      <c r="C68" s="5">
        <v>0</v>
      </c>
      <c r="D68" s="5">
        <v>1</v>
      </c>
      <c r="E68" s="5">
        <v>211</v>
      </c>
      <c r="F68" s="5">
        <f>ROUND(Source!Y41,O68)</f>
        <v>734.51</v>
      </c>
      <c r="G68" s="5" t="s">
        <v>108</v>
      </c>
      <c r="H68" s="5" t="s">
        <v>109</v>
      </c>
      <c r="I68" s="5"/>
      <c r="J68" s="5"/>
      <c r="K68" s="5">
        <v>211</v>
      </c>
      <c r="L68" s="5">
        <v>26</v>
      </c>
      <c r="M68" s="5">
        <v>3</v>
      </c>
      <c r="N68" s="5" t="s">
        <v>3</v>
      </c>
      <c r="O68" s="5">
        <v>2</v>
      </c>
      <c r="P68" s="5">
        <f>ROUND(Source!DQ41,O68)</f>
        <v>28344.68</v>
      </c>
      <c r="Q68" s="5"/>
      <c r="R68" s="5"/>
      <c r="S68" s="5"/>
      <c r="T68" s="5"/>
      <c r="U68" s="5"/>
      <c r="V68" s="5"/>
      <c r="W68" s="5">
        <v>734.51</v>
      </c>
      <c r="X68" s="5">
        <v>1</v>
      </c>
      <c r="Y68" s="5">
        <v>734.51</v>
      </c>
      <c r="Z68" s="5">
        <v>28344.68</v>
      </c>
      <c r="AA68" s="5">
        <v>1</v>
      </c>
      <c r="AB68" s="5">
        <v>28344.68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224</v>
      </c>
      <c r="F69" s="5">
        <f>ROUND(Source!AR41,O69)</f>
        <v>1086193.15</v>
      </c>
      <c r="G69" s="5" t="s">
        <v>110</v>
      </c>
      <c r="H69" s="5" t="s">
        <v>111</v>
      </c>
      <c r="I69" s="5"/>
      <c r="J69" s="5"/>
      <c r="K69" s="5">
        <v>224</v>
      </c>
      <c r="L69" s="5">
        <v>27</v>
      </c>
      <c r="M69" s="5">
        <v>3</v>
      </c>
      <c r="N69" s="5" t="s">
        <v>3</v>
      </c>
      <c r="O69" s="5">
        <v>2</v>
      </c>
      <c r="P69" s="5">
        <f>ROUND(Source!EJ41,O69)</f>
        <v>1230436.15</v>
      </c>
      <c r="Q69" s="5"/>
      <c r="R69" s="5"/>
      <c r="S69" s="5"/>
      <c r="T69" s="5"/>
      <c r="U69" s="5"/>
      <c r="V69" s="5"/>
      <c r="W69" s="5">
        <v>1086193.1500000001</v>
      </c>
      <c r="X69" s="5">
        <v>1</v>
      </c>
      <c r="Y69" s="5">
        <v>1086193.1500000001</v>
      </c>
      <c r="Z69" s="5">
        <v>1230436.1500000001</v>
      </c>
      <c r="AA69" s="5">
        <v>1</v>
      </c>
      <c r="AB69" s="5">
        <v>1230436.1500000001</v>
      </c>
    </row>
    <row r="70" spans="1:28" ht="12.75">
      <c r="A70" s="5">
        <v>50</v>
      </c>
      <c r="B70" s="5">
        <v>0</v>
      </c>
      <c r="C70" s="5">
        <v>0</v>
      </c>
      <c r="D70" s="5">
        <v>2</v>
      </c>
      <c r="E70" s="5">
        <v>0</v>
      </c>
      <c r="F70" s="5">
        <f>ROUND(F69,O70)</f>
        <v>1086193.15</v>
      </c>
      <c r="G70" s="5" t="s">
        <v>112</v>
      </c>
      <c r="H70" s="5" t="s">
        <v>113</v>
      </c>
      <c r="I70" s="5"/>
      <c r="J70" s="5"/>
      <c r="K70" s="5">
        <v>212</v>
      </c>
      <c r="L70" s="5">
        <v>28</v>
      </c>
      <c r="M70" s="5">
        <v>3</v>
      </c>
      <c r="N70" s="5" t="s">
        <v>3</v>
      </c>
      <c r="O70" s="5">
        <v>2</v>
      </c>
      <c r="P70" s="5">
        <f>ROUND(P69,O70)</f>
        <v>1230436.15</v>
      </c>
      <c r="Q70" s="5"/>
      <c r="R70" s="5"/>
      <c r="S70" s="5"/>
      <c r="T70" s="5"/>
      <c r="U70" s="5"/>
      <c r="V70" s="5"/>
      <c r="W70" s="5">
        <v>1086193.15</v>
      </c>
      <c r="X70" s="5">
        <v>1</v>
      </c>
      <c r="Y70" s="5">
        <v>1086193.15</v>
      </c>
      <c r="Z70" s="5">
        <v>1230436.15</v>
      </c>
      <c r="AA70" s="5">
        <v>1</v>
      </c>
      <c r="AB70" s="5">
        <v>1230436.15</v>
      </c>
    </row>
    <row r="72" spans="1:88" ht="12.75">
      <c r="A72" s="1">
        <v>4</v>
      </c>
      <c r="B72" s="1">
        <v>1</v>
      </c>
      <c r="C72" s="1"/>
      <c r="D72" s="1">
        <f>ROW(A85)</f>
        <v>85</v>
      </c>
      <c r="E72" s="1"/>
      <c r="F72" s="1" t="s">
        <v>24</v>
      </c>
      <c r="G72" s="1" t="s">
        <v>114</v>
      </c>
      <c r="H72" s="1" t="s">
        <v>3</v>
      </c>
      <c r="I72" s="1">
        <v>0</v>
      </c>
      <c r="J72" s="1"/>
      <c r="K72" s="1">
        <v>0</v>
      </c>
      <c r="L72" s="1"/>
      <c r="M72" s="1" t="s">
        <v>3</v>
      </c>
      <c r="N72" s="1"/>
      <c r="O72" s="1"/>
      <c r="P72" s="1"/>
      <c r="Q72" s="1"/>
      <c r="R72" s="1"/>
      <c r="S72" s="1">
        <v>0</v>
      </c>
      <c r="T72" s="1">
        <v>0</v>
      </c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06" ht="12.75">
      <c r="A74" s="3">
        <v>52</v>
      </c>
      <c r="B74" s="3">
        <f aca="true" t="shared" si="65" ref="B74:G74">B85</f>
        <v>1</v>
      </c>
      <c r="C74" s="3">
        <f t="shared" si="65"/>
        <v>4</v>
      </c>
      <c r="D74" s="3">
        <f t="shared" si="65"/>
        <v>72</v>
      </c>
      <c r="E74" s="3">
        <f t="shared" si="65"/>
        <v>0</v>
      </c>
      <c r="F74" s="3" t="str">
        <f t="shared" si="65"/>
        <v>Новый раздел</v>
      </c>
      <c r="G74" s="3" t="str">
        <f t="shared" si="65"/>
        <v>Разные работы</v>
      </c>
      <c r="H74" s="3"/>
      <c r="I74" s="3"/>
      <c r="J74" s="3"/>
      <c r="K74" s="3"/>
      <c r="L74" s="3"/>
      <c r="M74" s="3"/>
      <c r="N74" s="3"/>
      <c r="O74" s="3">
        <f aca="true" t="shared" si="66" ref="O74:AT74">O85</f>
        <v>13.63</v>
      </c>
      <c r="P74" s="3">
        <f t="shared" si="66"/>
        <v>0</v>
      </c>
      <c r="Q74" s="3">
        <f t="shared" si="66"/>
        <v>0</v>
      </c>
      <c r="R74" s="3">
        <f t="shared" si="66"/>
        <v>0</v>
      </c>
      <c r="S74" s="3">
        <f t="shared" si="66"/>
        <v>13.63</v>
      </c>
      <c r="T74" s="3">
        <f t="shared" si="66"/>
        <v>0</v>
      </c>
      <c r="U74" s="3">
        <f t="shared" si="66"/>
        <v>1.8800000000000001</v>
      </c>
      <c r="V74" s="3">
        <f t="shared" si="66"/>
        <v>0</v>
      </c>
      <c r="W74" s="3">
        <f t="shared" si="66"/>
        <v>0</v>
      </c>
      <c r="X74" s="3">
        <f t="shared" si="66"/>
        <v>12.54</v>
      </c>
      <c r="Y74" s="3">
        <f t="shared" si="66"/>
        <v>6</v>
      </c>
      <c r="Z74" s="3">
        <f t="shared" si="66"/>
        <v>0</v>
      </c>
      <c r="AA74" s="3">
        <f t="shared" si="66"/>
        <v>0</v>
      </c>
      <c r="AB74" s="3">
        <f t="shared" si="66"/>
        <v>13.63</v>
      </c>
      <c r="AC74" s="3">
        <f t="shared" si="66"/>
        <v>0</v>
      </c>
      <c r="AD74" s="3">
        <f t="shared" si="66"/>
        <v>0</v>
      </c>
      <c r="AE74" s="3">
        <f t="shared" si="66"/>
        <v>0</v>
      </c>
      <c r="AF74" s="3">
        <f t="shared" si="66"/>
        <v>13.63</v>
      </c>
      <c r="AG74" s="3">
        <f t="shared" si="66"/>
        <v>0</v>
      </c>
      <c r="AH74" s="3">
        <f t="shared" si="66"/>
        <v>1.8800000000000001</v>
      </c>
      <c r="AI74" s="3">
        <f t="shared" si="66"/>
        <v>0</v>
      </c>
      <c r="AJ74" s="3">
        <f t="shared" si="66"/>
        <v>0</v>
      </c>
      <c r="AK74" s="3">
        <f t="shared" si="66"/>
        <v>12.54</v>
      </c>
      <c r="AL74" s="3">
        <f t="shared" si="66"/>
        <v>6</v>
      </c>
      <c r="AM74" s="3">
        <f t="shared" si="66"/>
        <v>0</v>
      </c>
      <c r="AN74" s="3">
        <f t="shared" si="66"/>
        <v>0</v>
      </c>
      <c r="AO74" s="3">
        <f t="shared" si="66"/>
        <v>0</v>
      </c>
      <c r="AP74" s="3">
        <f t="shared" si="66"/>
        <v>0</v>
      </c>
      <c r="AQ74" s="3">
        <f t="shared" si="66"/>
        <v>0</v>
      </c>
      <c r="AR74" s="3">
        <f t="shared" si="66"/>
        <v>121.52</v>
      </c>
      <c r="AS74" s="3">
        <f t="shared" si="66"/>
        <v>121.52</v>
      </c>
      <c r="AT74" s="3">
        <f t="shared" si="66"/>
        <v>0</v>
      </c>
      <c r="AU74" s="3">
        <f aca="true" t="shared" si="67" ref="AU74:BZ74">AU85</f>
        <v>0</v>
      </c>
      <c r="AV74" s="3">
        <f t="shared" si="67"/>
        <v>0</v>
      </c>
      <c r="AW74" s="3">
        <f t="shared" si="67"/>
        <v>0</v>
      </c>
      <c r="AX74" s="3">
        <f t="shared" si="67"/>
        <v>0</v>
      </c>
      <c r="AY74" s="3">
        <f t="shared" si="67"/>
        <v>0</v>
      </c>
      <c r="AZ74" s="3">
        <f t="shared" si="67"/>
        <v>0</v>
      </c>
      <c r="BA74" s="3">
        <f t="shared" si="67"/>
        <v>0</v>
      </c>
      <c r="BB74" s="3">
        <f t="shared" si="67"/>
        <v>0</v>
      </c>
      <c r="BC74" s="3">
        <f t="shared" si="67"/>
        <v>0</v>
      </c>
      <c r="BD74" s="3">
        <f t="shared" si="67"/>
        <v>89.35</v>
      </c>
      <c r="BE74" s="3">
        <f t="shared" si="67"/>
        <v>0</v>
      </c>
      <c r="BF74" s="3">
        <f t="shared" si="67"/>
        <v>0</v>
      </c>
      <c r="BG74" s="3">
        <f t="shared" si="67"/>
        <v>0</v>
      </c>
      <c r="BH74" s="3">
        <f t="shared" si="67"/>
        <v>0</v>
      </c>
      <c r="BI74" s="3">
        <f t="shared" si="67"/>
        <v>0</v>
      </c>
      <c r="BJ74" s="3">
        <f t="shared" si="67"/>
        <v>0</v>
      </c>
      <c r="BK74" s="3">
        <f t="shared" si="67"/>
        <v>0</v>
      </c>
      <c r="BL74" s="3">
        <f t="shared" si="67"/>
        <v>0</v>
      </c>
      <c r="BM74" s="3">
        <f t="shared" si="67"/>
        <v>0</v>
      </c>
      <c r="BN74" s="3">
        <f t="shared" si="67"/>
        <v>0</v>
      </c>
      <c r="BO74" s="3">
        <f t="shared" si="67"/>
        <v>0</v>
      </c>
      <c r="BP74" s="3">
        <f t="shared" si="67"/>
        <v>0</v>
      </c>
      <c r="BQ74" s="3">
        <f t="shared" si="67"/>
        <v>0</v>
      </c>
      <c r="BR74" s="3">
        <f t="shared" si="67"/>
        <v>0</v>
      </c>
      <c r="BS74" s="3">
        <f t="shared" si="67"/>
        <v>0</v>
      </c>
      <c r="BT74" s="3">
        <f t="shared" si="67"/>
        <v>0</v>
      </c>
      <c r="BU74" s="3">
        <f t="shared" si="67"/>
        <v>0</v>
      </c>
      <c r="BV74" s="3">
        <f t="shared" si="67"/>
        <v>0</v>
      </c>
      <c r="BW74" s="3">
        <f t="shared" si="67"/>
        <v>0</v>
      </c>
      <c r="BX74" s="3">
        <f t="shared" si="67"/>
        <v>0</v>
      </c>
      <c r="BY74" s="3">
        <f t="shared" si="67"/>
        <v>0</v>
      </c>
      <c r="BZ74" s="3">
        <f t="shared" si="67"/>
        <v>0</v>
      </c>
      <c r="CA74" s="3">
        <f aca="true" t="shared" si="68" ref="CA74:DF74">CA85</f>
        <v>121.52</v>
      </c>
      <c r="CB74" s="3">
        <f t="shared" si="68"/>
        <v>121.52</v>
      </c>
      <c r="CC74" s="3">
        <f t="shared" si="68"/>
        <v>0</v>
      </c>
      <c r="CD74" s="3">
        <f t="shared" si="68"/>
        <v>0</v>
      </c>
      <c r="CE74" s="3">
        <f t="shared" si="68"/>
        <v>0</v>
      </c>
      <c r="CF74" s="3">
        <f t="shared" si="68"/>
        <v>0</v>
      </c>
      <c r="CG74" s="3">
        <f t="shared" si="68"/>
        <v>0</v>
      </c>
      <c r="CH74" s="3">
        <f t="shared" si="68"/>
        <v>0</v>
      </c>
      <c r="CI74" s="3">
        <f t="shared" si="68"/>
        <v>0</v>
      </c>
      <c r="CJ74" s="3">
        <f t="shared" si="68"/>
        <v>0</v>
      </c>
      <c r="CK74" s="3">
        <f t="shared" si="68"/>
        <v>0</v>
      </c>
      <c r="CL74" s="3">
        <f t="shared" si="68"/>
        <v>0</v>
      </c>
      <c r="CM74" s="3">
        <f t="shared" si="68"/>
        <v>89.35</v>
      </c>
      <c r="CN74" s="3">
        <f t="shared" si="68"/>
        <v>0</v>
      </c>
      <c r="CO74" s="3">
        <f t="shared" si="68"/>
        <v>0</v>
      </c>
      <c r="CP74" s="3">
        <f t="shared" si="68"/>
        <v>0</v>
      </c>
      <c r="CQ74" s="3">
        <f t="shared" si="68"/>
        <v>0</v>
      </c>
      <c r="CR74" s="3">
        <f t="shared" si="68"/>
        <v>0</v>
      </c>
      <c r="CS74" s="3">
        <f t="shared" si="68"/>
        <v>0</v>
      </c>
      <c r="CT74" s="3">
        <f t="shared" si="68"/>
        <v>0</v>
      </c>
      <c r="CU74" s="3">
        <f t="shared" si="68"/>
        <v>0</v>
      </c>
      <c r="CV74" s="3">
        <f t="shared" si="68"/>
        <v>0</v>
      </c>
      <c r="CW74" s="3">
        <f t="shared" si="68"/>
        <v>0</v>
      </c>
      <c r="CX74" s="3">
        <f t="shared" si="68"/>
        <v>0</v>
      </c>
      <c r="CY74" s="3">
        <f t="shared" si="68"/>
        <v>0</v>
      </c>
      <c r="CZ74" s="3">
        <f t="shared" si="68"/>
        <v>0</v>
      </c>
      <c r="DA74" s="3">
        <f t="shared" si="68"/>
        <v>0</v>
      </c>
      <c r="DB74" s="3">
        <f t="shared" si="68"/>
        <v>0</v>
      </c>
      <c r="DC74" s="3">
        <f t="shared" si="68"/>
        <v>0</v>
      </c>
      <c r="DD74" s="3">
        <f t="shared" si="68"/>
        <v>0</v>
      </c>
      <c r="DE74" s="3">
        <f t="shared" si="68"/>
        <v>0</v>
      </c>
      <c r="DF74" s="3">
        <f t="shared" si="68"/>
        <v>0</v>
      </c>
      <c r="DG74" s="4">
        <f aca="true" t="shared" si="69" ref="DG74:EL74">DG85</f>
        <v>525.98</v>
      </c>
      <c r="DH74" s="4">
        <f t="shared" si="69"/>
        <v>0</v>
      </c>
      <c r="DI74" s="4">
        <f t="shared" si="69"/>
        <v>0</v>
      </c>
      <c r="DJ74" s="4">
        <f t="shared" si="69"/>
        <v>0</v>
      </c>
      <c r="DK74" s="4">
        <f t="shared" si="69"/>
        <v>525.98</v>
      </c>
      <c r="DL74" s="4">
        <f t="shared" si="69"/>
        <v>0</v>
      </c>
      <c r="DM74" s="4">
        <f t="shared" si="69"/>
        <v>1.8800000000000001</v>
      </c>
      <c r="DN74" s="4">
        <f t="shared" si="69"/>
        <v>0</v>
      </c>
      <c r="DO74" s="4">
        <f t="shared" si="69"/>
        <v>0</v>
      </c>
      <c r="DP74" s="4">
        <f t="shared" si="69"/>
        <v>483.9</v>
      </c>
      <c r="DQ74" s="4">
        <f t="shared" si="69"/>
        <v>231.43</v>
      </c>
      <c r="DR74" s="4">
        <f t="shared" si="69"/>
        <v>0</v>
      </c>
      <c r="DS74" s="4">
        <f t="shared" si="69"/>
        <v>0</v>
      </c>
      <c r="DT74" s="4">
        <f t="shared" si="69"/>
        <v>525.98</v>
      </c>
      <c r="DU74" s="4">
        <f t="shared" si="69"/>
        <v>0</v>
      </c>
      <c r="DV74" s="4">
        <f t="shared" si="69"/>
        <v>0</v>
      </c>
      <c r="DW74" s="4">
        <f t="shared" si="69"/>
        <v>0</v>
      </c>
      <c r="DX74" s="4">
        <f t="shared" si="69"/>
        <v>525.98</v>
      </c>
      <c r="DY74" s="4">
        <f t="shared" si="69"/>
        <v>0</v>
      </c>
      <c r="DZ74" s="4">
        <f t="shared" si="69"/>
        <v>1.8800000000000001</v>
      </c>
      <c r="EA74" s="4">
        <f t="shared" si="69"/>
        <v>0</v>
      </c>
      <c r="EB74" s="4">
        <f t="shared" si="69"/>
        <v>0</v>
      </c>
      <c r="EC74" s="4">
        <f t="shared" si="69"/>
        <v>483.9</v>
      </c>
      <c r="ED74" s="4">
        <f t="shared" si="69"/>
        <v>231.43</v>
      </c>
      <c r="EE74" s="4">
        <f t="shared" si="69"/>
        <v>0</v>
      </c>
      <c r="EF74" s="4">
        <f t="shared" si="69"/>
        <v>0</v>
      </c>
      <c r="EG74" s="4">
        <f t="shared" si="69"/>
        <v>0</v>
      </c>
      <c r="EH74" s="4">
        <f t="shared" si="69"/>
        <v>0</v>
      </c>
      <c r="EI74" s="4">
        <f t="shared" si="69"/>
        <v>0</v>
      </c>
      <c r="EJ74" s="4">
        <f t="shared" si="69"/>
        <v>2441.28</v>
      </c>
      <c r="EK74" s="4">
        <f t="shared" si="69"/>
        <v>2441.28</v>
      </c>
      <c r="EL74" s="4">
        <f t="shared" si="69"/>
        <v>0</v>
      </c>
      <c r="EM74" s="4">
        <f aca="true" t="shared" si="70" ref="EM74:FR74">EM85</f>
        <v>0</v>
      </c>
      <c r="EN74" s="4">
        <f t="shared" si="70"/>
        <v>0</v>
      </c>
      <c r="EO74" s="4">
        <f t="shared" si="70"/>
        <v>0</v>
      </c>
      <c r="EP74" s="4">
        <f t="shared" si="70"/>
        <v>0</v>
      </c>
      <c r="EQ74" s="4">
        <f t="shared" si="70"/>
        <v>0</v>
      </c>
      <c r="ER74" s="4">
        <f t="shared" si="70"/>
        <v>0</v>
      </c>
      <c r="ES74" s="4">
        <f t="shared" si="70"/>
        <v>0</v>
      </c>
      <c r="ET74" s="4">
        <f t="shared" si="70"/>
        <v>0</v>
      </c>
      <c r="EU74" s="4">
        <f t="shared" si="70"/>
        <v>0</v>
      </c>
      <c r="EV74" s="4">
        <f t="shared" si="70"/>
        <v>1199.97</v>
      </c>
      <c r="EW74" s="4">
        <f t="shared" si="70"/>
        <v>0</v>
      </c>
      <c r="EX74" s="4">
        <f t="shared" si="70"/>
        <v>0</v>
      </c>
      <c r="EY74" s="4">
        <f t="shared" si="70"/>
        <v>0</v>
      </c>
      <c r="EZ74" s="4">
        <f t="shared" si="70"/>
        <v>0</v>
      </c>
      <c r="FA74" s="4">
        <f t="shared" si="70"/>
        <v>0</v>
      </c>
      <c r="FB74" s="4">
        <f t="shared" si="70"/>
        <v>0</v>
      </c>
      <c r="FC74" s="4">
        <f t="shared" si="70"/>
        <v>0</v>
      </c>
      <c r="FD74" s="4">
        <f t="shared" si="70"/>
        <v>0</v>
      </c>
      <c r="FE74" s="4">
        <f t="shared" si="70"/>
        <v>0</v>
      </c>
      <c r="FF74" s="4">
        <f t="shared" si="70"/>
        <v>0</v>
      </c>
      <c r="FG74" s="4">
        <f t="shared" si="70"/>
        <v>0</v>
      </c>
      <c r="FH74" s="4">
        <f t="shared" si="70"/>
        <v>0</v>
      </c>
      <c r="FI74" s="4">
        <f t="shared" si="70"/>
        <v>0</v>
      </c>
      <c r="FJ74" s="4">
        <f t="shared" si="70"/>
        <v>0</v>
      </c>
      <c r="FK74" s="4">
        <f t="shared" si="70"/>
        <v>0</v>
      </c>
      <c r="FL74" s="4">
        <f t="shared" si="70"/>
        <v>0</v>
      </c>
      <c r="FM74" s="4">
        <f t="shared" si="70"/>
        <v>0</v>
      </c>
      <c r="FN74" s="4">
        <f t="shared" si="70"/>
        <v>0</v>
      </c>
      <c r="FO74" s="4">
        <f t="shared" si="70"/>
        <v>0</v>
      </c>
      <c r="FP74" s="4">
        <f t="shared" si="70"/>
        <v>0</v>
      </c>
      <c r="FQ74" s="4">
        <f t="shared" si="70"/>
        <v>0</v>
      </c>
      <c r="FR74" s="4">
        <f t="shared" si="70"/>
        <v>0</v>
      </c>
      <c r="FS74" s="4">
        <f aca="true" t="shared" si="71" ref="FS74:GX74">FS85</f>
        <v>2441.28</v>
      </c>
      <c r="FT74" s="4">
        <f t="shared" si="71"/>
        <v>2441.28</v>
      </c>
      <c r="FU74" s="4">
        <f t="shared" si="71"/>
        <v>0</v>
      </c>
      <c r="FV74" s="4">
        <f t="shared" si="71"/>
        <v>0</v>
      </c>
      <c r="FW74" s="4">
        <f t="shared" si="71"/>
        <v>0</v>
      </c>
      <c r="FX74" s="4">
        <f t="shared" si="71"/>
        <v>0</v>
      </c>
      <c r="FY74" s="4">
        <f t="shared" si="71"/>
        <v>0</v>
      </c>
      <c r="FZ74" s="4">
        <f t="shared" si="71"/>
        <v>0</v>
      </c>
      <c r="GA74" s="4">
        <f t="shared" si="71"/>
        <v>0</v>
      </c>
      <c r="GB74" s="4">
        <f t="shared" si="71"/>
        <v>0</v>
      </c>
      <c r="GC74" s="4">
        <f t="shared" si="71"/>
        <v>0</v>
      </c>
      <c r="GD74" s="4">
        <f t="shared" si="71"/>
        <v>0</v>
      </c>
      <c r="GE74" s="4">
        <f t="shared" si="71"/>
        <v>1199.97</v>
      </c>
      <c r="GF74" s="4">
        <f t="shared" si="71"/>
        <v>0</v>
      </c>
      <c r="GG74" s="4">
        <f t="shared" si="71"/>
        <v>0</v>
      </c>
      <c r="GH74" s="4">
        <f t="shared" si="71"/>
        <v>0</v>
      </c>
      <c r="GI74" s="4">
        <f t="shared" si="71"/>
        <v>0</v>
      </c>
      <c r="GJ74" s="4">
        <f t="shared" si="71"/>
        <v>0</v>
      </c>
      <c r="GK74" s="4">
        <f t="shared" si="71"/>
        <v>0</v>
      </c>
      <c r="GL74" s="4">
        <f t="shared" si="71"/>
        <v>0</v>
      </c>
      <c r="GM74" s="4">
        <f t="shared" si="71"/>
        <v>0</v>
      </c>
      <c r="GN74" s="4">
        <f t="shared" si="71"/>
        <v>0</v>
      </c>
      <c r="GO74" s="4">
        <f t="shared" si="71"/>
        <v>0</v>
      </c>
      <c r="GP74" s="4">
        <f t="shared" si="71"/>
        <v>0</v>
      </c>
      <c r="GQ74" s="4">
        <f t="shared" si="71"/>
        <v>0</v>
      </c>
      <c r="GR74" s="4">
        <f t="shared" si="71"/>
        <v>0</v>
      </c>
      <c r="GS74" s="4">
        <f t="shared" si="71"/>
        <v>0</v>
      </c>
      <c r="GT74" s="4">
        <f t="shared" si="71"/>
        <v>0</v>
      </c>
      <c r="GU74" s="4">
        <f t="shared" si="71"/>
        <v>0</v>
      </c>
      <c r="GV74" s="4">
        <f t="shared" si="71"/>
        <v>0</v>
      </c>
      <c r="GW74" s="4">
        <f t="shared" si="71"/>
        <v>0</v>
      </c>
      <c r="GX74" s="4">
        <f t="shared" si="71"/>
        <v>0</v>
      </c>
    </row>
    <row r="76" spans="1:255" ht="12.75">
      <c r="A76" s="2">
        <v>17</v>
      </c>
      <c r="B76" s="2">
        <v>1</v>
      </c>
      <c r="C76" s="2">
        <f>ROW(SmtRes!A22)</f>
        <v>22</v>
      </c>
      <c r="D76" s="2">
        <f>ROW(EtalonRes!A22)</f>
        <v>22</v>
      </c>
      <c r="E76" s="2" t="s">
        <v>115</v>
      </c>
      <c r="F76" s="2" t="s">
        <v>116</v>
      </c>
      <c r="G76" s="2" t="s">
        <v>117</v>
      </c>
      <c r="H76" s="2" t="s">
        <v>118</v>
      </c>
      <c r="I76" s="2">
        <f>ROUND(1/100,7)</f>
        <v>0.01</v>
      </c>
      <c r="J76" s="2">
        <v>0</v>
      </c>
      <c r="K76" s="2">
        <f>ROUND(1/100,7)</f>
        <v>0.01</v>
      </c>
      <c r="L76" s="2"/>
      <c r="M76" s="2"/>
      <c r="N76" s="2"/>
      <c r="O76" s="2">
        <f>ROUND(CP76,2)</f>
        <v>13.63</v>
      </c>
      <c r="P76" s="2">
        <f>ROUND(CQ76*I76,2)</f>
        <v>0</v>
      </c>
      <c r="Q76" s="2">
        <f>ROUND(CR76*I76,2)</f>
        <v>0</v>
      </c>
      <c r="R76" s="2">
        <f>ROUND(CS76*I76,2)</f>
        <v>0</v>
      </c>
      <c r="S76" s="2">
        <f>ROUND(CT76*I76,2)</f>
        <v>13.63</v>
      </c>
      <c r="T76" s="2">
        <f>ROUND(CU76*I76,2)</f>
        <v>0</v>
      </c>
      <c r="U76" s="2">
        <f>CV76*I76</f>
        <v>1.8800000000000001</v>
      </c>
      <c r="V76" s="2">
        <f>CW76*I76</f>
        <v>0</v>
      </c>
      <c r="W76" s="2">
        <f>ROUND(CX76*I76,2)</f>
        <v>0</v>
      </c>
      <c r="X76" s="2">
        <f aca="true" t="shared" si="72" ref="X76:Y79">ROUND(CY76,2)</f>
        <v>12.54</v>
      </c>
      <c r="Y76" s="2">
        <f t="shared" si="72"/>
        <v>6</v>
      </c>
      <c r="Z76" s="2"/>
      <c r="AA76" s="2">
        <v>55724169</v>
      </c>
      <c r="AB76" s="2">
        <f>ROUND((AC76+AD76+AF76),6)</f>
        <v>1363</v>
      </c>
      <c r="AC76" s="2">
        <f>ROUND((ES76),6)</f>
        <v>0</v>
      </c>
      <c r="AD76" s="2">
        <f>ROUND((((ET76)-(EU76))+AE76),6)</f>
        <v>0</v>
      </c>
      <c r="AE76" s="2">
        <f aca="true" t="shared" si="73" ref="AE76:AF79">ROUND((EU76),6)</f>
        <v>0</v>
      </c>
      <c r="AF76" s="2">
        <f t="shared" si="73"/>
        <v>1363</v>
      </c>
      <c r="AG76" s="2">
        <f>ROUND((AP76),6)</f>
        <v>0</v>
      </c>
      <c r="AH76" s="2">
        <f aca="true" t="shared" si="74" ref="AH76:AI79">(EW76)</f>
        <v>188</v>
      </c>
      <c r="AI76" s="2">
        <f t="shared" si="74"/>
        <v>0</v>
      </c>
      <c r="AJ76" s="2">
        <f>(AS76)</f>
        <v>0</v>
      </c>
      <c r="AK76" s="2">
        <v>1363</v>
      </c>
      <c r="AL76" s="2">
        <v>0</v>
      </c>
      <c r="AM76" s="2">
        <v>0</v>
      </c>
      <c r="AN76" s="2">
        <v>0</v>
      </c>
      <c r="AO76" s="2">
        <v>1363</v>
      </c>
      <c r="AP76" s="2">
        <v>0</v>
      </c>
      <c r="AQ76" s="2">
        <v>188</v>
      </c>
      <c r="AR76" s="2">
        <v>0</v>
      </c>
      <c r="AS76" s="2">
        <v>0</v>
      </c>
      <c r="AT76" s="2">
        <v>92</v>
      </c>
      <c r="AU76" s="2">
        <v>44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119</v>
      </c>
      <c r="BK76" s="2"/>
      <c r="BL76" s="2"/>
      <c r="BM76" s="2">
        <v>69001</v>
      </c>
      <c r="BN76" s="2">
        <v>0</v>
      </c>
      <c r="BO76" s="2" t="s">
        <v>3</v>
      </c>
      <c r="BP76" s="2">
        <v>0</v>
      </c>
      <c r="BQ76" s="2">
        <v>6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92</v>
      </c>
      <c r="CA76" s="2">
        <v>44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>(P76+Q76+S76)</f>
        <v>13.63</v>
      </c>
      <c r="CQ76" s="2">
        <f>AC76*BC76</f>
        <v>0</v>
      </c>
      <c r="CR76" s="2">
        <f>(((ET76)*BB76-(EU76)*BS76)+AE76*BS76)</f>
        <v>0</v>
      </c>
      <c r="CS76" s="2">
        <f>AE76*BS76</f>
        <v>0</v>
      </c>
      <c r="CT76" s="2">
        <f>AF76*BA76</f>
        <v>1363</v>
      </c>
      <c r="CU76" s="2">
        <f aca="true" t="shared" si="75" ref="CU76:CX79">AG76</f>
        <v>0</v>
      </c>
      <c r="CV76" s="2">
        <f t="shared" si="75"/>
        <v>188</v>
      </c>
      <c r="CW76" s="2">
        <f t="shared" si="75"/>
        <v>0</v>
      </c>
      <c r="CX76" s="2">
        <f t="shared" si="75"/>
        <v>0</v>
      </c>
      <c r="CY76" s="2">
        <f>(((S76+R76)*AT76)/100)</f>
        <v>12.5396</v>
      </c>
      <c r="CZ76" s="2">
        <f>(((S76+R76)*AU76)/100)</f>
        <v>5.9972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118</v>
      </c>
      <c r="DW76" s="2" t="s">
        <v>118</v>
      </c>
      <c r="DX76" s="2">
        <v>100000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55471848</v>
      </c>
      <c r="EF76" s="2">
        <v>6</v>
      </c>
      <c r="EG76" s="2" t="s">
        <v>31</v>
      </c>
      <c r="EH76" s="2">
        <v>103</v>
      </c>
      <c r="EI76" s="2" t="s">
        <v>120</v>
      </c>
      <c r="EJ76" s="2">
        <v>1</v>
      </c>
      <c r="EK76" s="2">
        <v>69001</v>
      </c>
      <c r="EL76" s="2" t="s">
        <v>120</v>
      </c>
      <c r="EM76" s="2" t="s">
        <v>121</v>
      </c>
      <c r="EN76" s="2"/>
      <c r="EO76" s="2" t="s">
        <v>3</v>
      </c>
      <c r="EP76" s="2"/>
      <c r="EQ76" s="2">
        <v>0</v>
      </c>
      <c r="ER76" s="2">
        <v>1363</v>
      </c>
      <c r="ES76" s="2">
        <v>0</v>
      </c>
      <c r="ET76" s="2">
        <v>0</v>
      </c>
      <c r="EU76" s="2">
        <v>0</v>
      </c>
      <c r="EV76" s="2">
        <v>1363</v>
      </c>
      <c r="EW76" s="2">
        <v>188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aca="true" t="shared" si="76" ref="FR76:FR83">ROUND(IF(AND(BH76=3,BI76=3),P76,0),2)</f>
        <v>0</v>
      </c>
      <c r="FS76" s="2">
        <v>0</v>
      </c>
      <c r="FT76" s="2"/>
      <c r="FU76" s="2"/>
      <c r="FV76" s="2"/>
      <c r="FW76" s="2"/>
      <c r="FX76" s="2">
        <v>92</v>
      </c>
      <c r="FY76" s="2">
        <v>44</v>
      </c>
      <c r="FZ76" s="2"/>
      <c r="GA76" s="2" t="s">
        <v>3</v>
      </c>
      <c r="GB76" s="2"/>
      <c r="GC76" s="2"/>
      <c r="GD76" s="2">
        <v>1</v>
      </c>
      <c r="GE76" s="2"/>
      <c r="GF76" s="2">
        <v>-1742805421</v>
      </c>
      <c r="GG76" s="2">
        <v>2</v>
      </c>
      <c r="GH76" s="2">
        <v>1</v>
      </c>
      <c r="GI76" s="2">
        <v>-2</v>
      </c>
      <c r="GJ76" s="2">
        <v>0</v>
      </c>
      <c r="GK76" s="2">
        <v>0</v>
      </c>
      <c r="GL76" s="2">
        <f aca="true" t="shared" si="77" ref="GL76:GL83">ROUND(IF(AND(BH76=3,BI76=3,FS76&lt;&gt;0),P76,0),2)</f>
        <v>0</v>
      </c>
      <c r="GM76" s="2">
        <f>ROUND(O76+X76+Y76,2)+GX76</f>
        <v>32.17</v>
      </c>
      <c r="GN76" s="2">
        <f>IF(OR(BI76=0,BI76=1),ROUND(O76+X76+Y76,2),0)</f>
        <v>32.17</v>
      </c>
      <c r="GO76" s="2">
        <f>IF(BI76=2,ROUND(O76+X76+Y76,2),0)</f>
        <v>0</v>
      </c>
      <c r="GP76" s="2">
        <f>IF(BI76=4,ROUND(O76+X76+Y76,2)+GX76,0)</f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>ROUND((GT76),6)</f>
        <v>0</v>
      </c>
      <c r="GW76" s="2">
        <v>1</v>
      </c>
      <c r="GX76" s="2">
        <f>ROUND(HC76*I76,2)</f>
        <v>0</v>
      </c>
      <c r="GY76" s="2"/>
      <c r="GZ76" s="2"/>
      <c r="HA76" s="2">
        <v>0</v>
      </c>
      <c r="HB76" s="2">
        <v>0</v>
      </c>
      <c r="HC76" s="2">
        <f>GV76*GW76</f>
        <v>0</v>
      </c>
      <c r="HD76" s="2"/>
      <c r="HE76" s="2" t="s">
        <v>3</v>
      </c>
      <c r="HF76" s="2" t="s">
        <v>3</v>
      </c>
      <c r="HG76" s="2"/>
      <c r="HH76" s="2"/>
      <c r="HI76" s="2"/>
      <c r="HJ76" s="2"/>
      <c r="HK76" s="2"/>
      <c r="HL76" s="2"/>
      <c r="HM76" s="2" t="s">
        <v>3</v>
      </c>
      <c r="HN76" s="2" t="s">
        <v>122</v>
      </c>
      <c r="HO76" s="2" t="s">
        <v>123</v>
      </c>
      <c r="HP76" s="2" t="s">
        <v>120</v>
      </c>
      <c r="HQ76" s="2" t="s">
        <v>120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17</v>
      </c>
      <c r="B77">
        <v>1</v>
      </c>
      <c r="C77">
        <f>ROW(SmtRes!A24)</f>
        <v>24</v>
      </c>
      <c r="D77">
        <f>ROW(EtalonRes!A24)</f>
        <v>24</v>
      </c>
      <c r="E77" t="s">
        <v>115</v>
      </c>
      <c r="F77" t="s">
        <v>116</v>
      </c>
      <c r="G77" t="s">
        <v>117</v>
      </c>
      <c r="H77" t="s">
        <v>118</v>
      </c>
      <c r="I77">
        <f>ROUND(1/100,7)</f>
        <v>0.01</v>
      </c>
      <c r="J77">
        <v>0</v>
      </c>
      <c r="K77">
        <f>ROUND(1/100,7)</f>
        <v>0.01</v>
      </c>
      <c r="O77">
        <f>ROUND(CP77,2)</f>
        <v>525.98</v>
      </c>
      <c r="P77">
        <f>ROUND(CQ77*I77,2)</f>
        <v>0</v>
      </c>
      <c r="Q77">
        <f>ROUND(CR77*I77,2)</f>
        <v>0</v>
      </c>
      <c r="R77">
        <f>ROUND(CS77*I77,2)</f>
        <v>0</v>
      </c>
      <c r="S77">
        <f>ROUND(CT77*I77,2)</f>
        <v>525.98</v>
      </c>
      <c r="T77">
        <f>ROUND(CU77*I77,2)</f>
        <v>0</v>
      </c>
      <c r="U77">
        <f>CV77*I77</f>
        <v>1.8800000000000001</v>
      </c>
      <c r="V77">
        <f>CW77*I77</f>
        <v>0</v>
      </c>
      <c r="W77">
        <f>ROUND(CX77*I77,2)</f>
        <v>0</v>
      </c>
      <c r="X77">
        <f t="shared" si="72"/>
        <v>483.9</v>
      </c>
      <c r="Y77">
        <f t="shared" si="72"/>
        <v>231.43</v>
      </c>
      <c r="AA77">
        <v>55724170</v>
      </c>
      <c r="AB77">
        <f>ROUND((AC77+AD77+AF77),6)</f>
        <v>1363</v>
      </c>
      <c r="AC77">
        <f>ROUND((ES77),6)</f>
        <v>0</v>
      </c>
      <c r="AD77">
        <f>ROUND((((ET77)-(EU77))+AE77),6)</f>
        <v>0</v>
      </c>
      <c r="AE77">
        <f t="shared" si="73"/>
        <v>0</v>
      </c>
      <c r="AF77">
        <f t="shared" si="73"/>
        <v>1363</v>
      </c>
      <c r="AG77">
        <f>ROUND((AP77),6)</f>
        <v>0</v>
      </c>
      <c r="AH77">
        <f t="shared" si="74"/>
        <v>188</v>
      </c>
      <c r="AI77">
        <f t="shared" si="74"/>
        <v>0</v>
      </c>
      <c r="AJ77">
        <f>(AS77)</f>
        <v>0</v>
      </c>
      <c r="AK77">
        <v>1363</v>
      </c>
      <c r="AL77">
        <v>0</v>
      </c>
      <c r="AM77">
        <v>0</v>
      </c>
      <c r="AN77">
        <v>0</v>
      </c>
      <c r="AO77">
        <v>1363</v>
      </c>
      <c r="AP77">
        <v>0</v>
      </c>
      <c r="AQ77">
        <v>188</v>
      </c>
      <c r="AR77">
        <v>0</v>
      </c>
      <c r="AS77">
        <v>0</v>
      </c>
      <c r="AT77">
        <v>92</v>
      </c>
      <c r="AU77">
        <v>44</v>
      </c>
      <c r="AV77">
        <v>1</v>
      </c>
      <c r="AW77">
        <v>1</v>
      </c>
      <c r="AZ77">
        <v>1</v>
      </c>
      <c r="BA77">
        <v>38.59</v>
      </c>
      <c r="BB77">
        <v>13.43</v>
      </c>
      <c r="BC77">
        <v>6.82</v>
      </c>
      <c r="BH77">
        <v>0</v>
      </c>
      <c r="BI77">
        <v>1</v>
      </c>
      <c r="BJ77" t="s">
        <v>119</v>
      </c>
      <c r="BM77">
        <v>69001</v>
      </c>
      <c r="BN77">
        <v>0</v>
      </c>
      <c r="BP77">
        <v>0</v>
      </c>
      <c r="BQ77">
        <v>6</v>
      </c>
      <c r="BR77">
        <v>0</v>
      </c>
      <c r="BS77">
        <v>38.59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92</v>
      </c>
      <c r="CA77">
        <v>44</v>
      </c>
      <c r="CE77">
        <v>0</v>
      </c>
      <c r="CF77">
        <v>0</v>
      </c>
      <c r="CG77">
        <v>0</v>
      </c>
      <c r="CM77">
        <v>0</v>
      </c>
      <c r="CO77">
        <v>0</v>
      </c>
      <c r="CP77">
        <f>(P77+Q77+S77)</f>
        <v>525.98</v>
      </c>
      <c r="CQ77">
        <f>AC77*BC77</f>
        <v>0</v>
      </c>
      <c r="CR77">
        <f>(((ET77)*BB77-(EU77)*BS77)+AE77*BS77)</f>
        <v>0</v>
      </c>
      <c r="CS77">
        <f>AE77*BS77</f>
        <v>0</v>
      </c>
      <c r="CT77">
        <f>AF77*BA77</f>
        <v>52598.170000000006</v>
      </c>
      <c r="CU77">
        <f t="shared" si="75"/>
        <v>0</v>
      </c>
      <c r="CV77">
        <f t="shared" si="75"/>
        <v>188</v>
      </c>
      <c r="CW77">
        <f t="shared" si="75"/>
        <v>0</v>
      </c>
      <c r="CX77">
        <f t="shared" si="75"/>
        <v>0</v>
      </c>
      <c r="CY77">
        <f>(((S77+R77)*AT77)/100)</f>
        <v>483.90160000000003</v>
      </c>
      <c r="CZ77">
        <f>(((S77+R77)*AU77)/100)</f>
        <v>231.43120000000002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118</v>
      </c>
      <c r="DW77" t="s">
        <v>118</v>
      </c>
      <c r="DX77">
        <v>100000</v>
      </c>
      <c r="EE77">
        <v>55471848</v>
      </c>
      <c r="EF77">
        <v>6</v>
      </c>
      <c r="EG77" t="s">
        <v>31</v>
      </c>
      <c r="EH77">
        <v>103</v>
      </c>
      <c r="EI77" t="s">
        <v>120</v>
      </c>
      <c r="EJ77">
        <v>1</v>
      </c>
      <c r="EK77">
        <v>69001</v>
      </c>
      <c r="EL77" t="s">
        <v>120</v>
      </c>
      <c r="EM77" t="s">
        <v>121</v>
      </c>
      <c r="EQ77">
        <v>0</v>
      </c>
      <c r="ER77">
        <v>1363</v>
      </c>
      <c r="ES77">
        <v>0</v>
      </c>
      <c r="ET77">
        <v>0</v>
      </c>
      <c r="EU77">
        <v>0</v>
      </c>
      <c r="EV77">
        <v>1363</v>
      </c>
      <c r="EW77">
        <v>188</v>
      </c>
      <c r="EX77">
        <v>0</v>
      </c>
      <c r="EY77">
        <v>0</v>
      </c>
      <c r="FQ77">
        <v>0</v>
      </c>
      <c r="FR77">
        <f t="shared" si="76"/>
        <v>0</v>
      </c>
      <c r="FS77">
        <v>0</v>
      </c>
      <c r="FX77">
        <v>92</v>
      </c>
      <c r="FY77">
        <v>44</v>
      </c>
      <c r="GD77">
        <v>1</v>
      </c>
      <c r="GF77">
        <v>-1742805421</v>
      </c>
      <c r="GG77">
        <v>2</v>
      </c>
      <c r="GH77">
        <v>1</v>
      </c>
      <c r="GI77">
        <v>4</v>
      </c>
      <c r="GJ77">
        <v>0</v>
      </c>
      <c r="GK77">
        <v>0</v>
      </c>
      <c r="GL77">
        <f t="shared" si="77"/>
        <v>0</v>
      </c>
      <c r="GM77">
        <f>ROUND(O77+X77+Y77,2)+GX77</f>
        <v>1241.31</v>
      </c>
      <c r="GN77">
        <f>IF(OR(BI77=0,BI77=1),ROUND(O77+X77+Y77,2),0)</f>
        <v>1241.31</v>
      </c>
      <c r="GO77">
        <f>IF(BI77=2,ROUND(O77+X77+Y77,2),0)</f>
        <v>0</v>
      </c>
      <c r="GP77">
        <f>IF(BI77=4,ROUND(O77+X77+Y77,2)+GX77,0)</f>
        <v>0</v>
      </c>
      <c r="GR77">
        <v>0</v>
      </c>
      <c r="GS77">
        <v>0</v>
      </c>
      <c r="GT77">
        <v>0</v>
      </c>
      <c r="GV77">
        <f>ROUND((GT77),6)</f>
        <v>0</v>
      </c>
      <c r="GW77">
        <v>1</v>
      </c>
      <c r="GX77">
        <f>ROUND(HC77*I77,2)</f>
        <v>0</v>
      </c>
      <c r="HA77">
        <v>0</v>
      </c>
      <c r="HB77">
        <v>0</v>
      </c>
      <c r="HC77">
        <f>GV77*GW77</f>
        <v>0</v>
      </c>
      <c r="HN77" t="s">
        <v>122</v>
      </c>
      <c r="HO77" t="s">
        <v>123</v>
      </c>
      <c r="HP77" t="s">
        <v>120</v>
      </c>
      <c r="HQ77" t="s">
        <v>120</v>
      </c>
      <c r="IK77">
        <v>0</v>
      </c>
    </row>
    <row r="78" spans="1:255" ht="12.75">
      <c r="A78" s="2">
        <v>18</v>
      </c>
      <c r="B78" s="2">
        <v>1</v>
      </c>
      <c r="C78" s="2">
        <v>22</v>
      </c>
      <c r="D78" s="2"/>
      <c r="E78" s="2" t="s">
        <v>124</v>
      </c>
      <c r="F78" s="2" t="s">
        <v>125</v>
      </c>
      <c r="G78" s="2" t="s">
        <v>52</v>
      </c>
      <c r="H78" s="2" t="s">
        <v>53</v>
      </c>
      <c r="I78" s="2">
        <f>I76*J78</f>
        <v>1</v>
      </c>
      <c r="J78" s="2">
        <v>100</v>
      </c>
      <c r="K78" s="2">
        <v>100</v>
      </c>
      <c r="L78" s="2"/>
      <c r="M78" s="2"/>
      <c r="N78" s="2"/>
      <c r="O78" s="2">
        <f>ROUND(CP78,2)</f>
        <v>0</v>
      </c>
      <c r="P78" s="2">
        <f>ROUND(CQ78*I78,2)</f>
        <v>0</v>
      </c>
      <c r="Q78" s="2">
        <f>ROUND(CR78*I78,2)</f>
        <v>0</v>
      </c>
      <c r="R78" s="2">
        <f>ROUND(CS78*I78,2)</f>
        <v>0</v>
      </c>
      <c r="S78" s="2">
        <f>ROUND(CT78*I78,2)</f>
        <v>0</v>
      </c>
      <c r="T78" s="2">
        <f>ROUND(CU78*I78,2)</f>
        <v>0</v>
      </c>
      <c r="U78" s="2">
        <f>CV78*I78</f>
        <v>0</v>
      </c>
      <c r="V78" s="2">
        <f>CW78*I78</f>
        <v>0</v>
      </c>
      <c r="W78" s="2">
        <f>ROUND(CX78*I78,2)</f>
        <v>0</v>
      </c>
      <c r="X78" s="2">
        <f t="shared" si="72"/>
        <v>0</v>
      </c>
      <c r="Y78" s="2">
        <f t="shared" si="72"/>
        <v>0</v>
      </c>
      <c r="Z78" s="2"/>
      <c r="AA78" s="2">
        <v>55724169</v>
      </c>
      <c r="AB78" s="2">
        <f>ROUND((AC78+AD78+AF78),6)</f>
        <v>0</v>
      </c>
      <c r="AC78" s="2">
        <f>ROUND((ES78),6)</f>
        <v>0</v>
      </c>
      <c r="AD78" s="2">
        <f>ROUND((((ET78)-(EU78))+AE78),6)</f>
        <v>0</v>
      </c>
      <c r="AE78" s="2">
        <f t="shared" si="73"/>
        <v>0</v>
      </c>
      <c r="AF78" s="2">
        <f t="shared" si="73"/>
        <v>0</v>
      </c>
      <c r="AG78" s="2">
        <f>ROUND((AP78),6)</f>
        <v>0</v>
      </c>
      <c r="AH78" s="2">
        <f t="shared" si="74"/>
        <v>0</v>
      </c>
      <c r="AI78" s="2">
        <f t="shared" si="74"/>
        <v>0</v>
      </c>
      <c r="AJ78" s="2">
        <f>(AS78)</f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92</v>
      </c>
      <c r="AU78" s="2">
        <v>44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69001</v>
      </c>
      <c r="BN78" s="2">
        <v>0</v>
      </c>
      <c r="BO78" s="2" t="s">
        <v>3</v>
      </c>
      <c r="BP78" s="2">
        <v>0</v>
      </c>
      <c r="BQ78" s="2">
        <v>6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92</v>
      </c>
      <c r="CA78" s="2">
        <v>44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>(P78+Q78+S78)</f>
        <v>0</v>
      </c>
      <c r="CQ78" s="2">
        <f>AC78*BC78</f>
        <v>0</v>
      </c>
      <c r="CR78" s="2">
        <f>(((ET78)*BB78-(EU78)*BS78)+AE78*BS78)</f>
        <v>0</v>
      </c>
      <c r="CS78" s="2">
        <f>AE78*BS78</f>
        <v>0</v>
      </c>
      <c r="CT78" s="2">
        <f>AF78*BA78</f>
        <v>0</v>
      </c>
      <c r="CU78" s="2">
        <f t="shared" si="75"/>
        <v>0</v>
      </c>
      <c r="CV78" s="2">
        <f t="shared" si="75"/>
        <v>0</v>
      </c>
      <c r="CW78" s="2">
        <f t="shared" si="75"/>
        <v>0</v>
      </c>
      <c r="CX78" s="2">
        <f t="shared" si="75"/>
        <v>0</v>
      </c>
      <c r="CY78" s="2">
        <f>(((S78+R78)*AT78)/100)</f>
        <v>0</v>
      </c>
      <c r="CZ78" s="2">
        <f>(((S78+R78)*AU78)/100)</f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53</v>
      </c>
      <c r="DW78" s="2" t="s">
        <v>53</v>
      </c>
      <c r="DX78" s="2">
        <v>1000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55471848</v>
      </c>
      <c r="EF78" s="2">
        <v>6</v>
      </c>
      <c r="EG78" s="2" t="s">
        <v>31</v>
      </c>
      <c r="EH78" s="2">
        <v>103</v>
      </c>
      <c r="EI78" s="2" t="s">
        <v>120</v>
      </c>
      <c r="EJ78" s="2">
        <v>1</v>
      </c>
      <c r="EK78" s="2">
        <v>69001</v>
      </c>
      <c r="EL78" s="2" t="s">
        <v>120</v>
      </c>
      <c r="EM78" s="2" t="s">
        <v>121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76"/>
        <v>0</v>
      </c>
      <c r="FS78" s="2">
        <v>0</v>
      </c>
      <c r="FT78" s="2"/>
      <c r="FU78" s="2"/>
      <c r="FV78" s="2"/>
      <c r="FW78" s="2"/>
      <c r="FX78" s="2">
        <v>92</v>
      </c>
      <c r="FY78" s="2">
        <v>44</v>
      </c>
      <c r="FZ78" s="2"/>
      <c r="GA78" s="2" t="s">
        <v>3</v>
      </c>
      <c r="GB78" s="2"/>
      <c r="GC78" s="2"/>
      <c r="GD78" s="2">
        <v>1</v>
      </c>
      <c r="GE78" s="2"/>
      <c r="GF78" s="2">
        <v>-179832266</v>
      </c>
      <c r="GG78" s="2">
        <v>2</v>
      </c>
      <c r="GH78" s="2">
        <v>1</v>
      </c>
      <c r="GI78" s="2">
        <v>-2</v>
      </c>
      <c r="GJ78" s="2">
        <v>0</v>
      </c>
      <c r="GK78" s="2">
        <v>0</v>
      </c>
      <c r="GL78" s="2">
        <f t="shared" si="77"/>
        <v>0</v>
      </c>
      <c r="GM78" s="2">
        <f>ROUND(O78+X78+Y78,2)+GX78</f>
        <v>0</v>
      </c>
      <c r="GN78" s="2">
        <f>IF(OR(BI78=0,BI78=1),ROUND(O78+X78+Y78,2),0)</f>
        <v>0</v>
      </c>
      <c r="GO78" s="2">
        <f>IF(BI78=2,ROUND(O78+X78+Y78,2),0)</f>
        <v>0</v>
      </c>
      <c r="GP78" s="2">
        <f>IF(BI78=4,ROUND(O78+X78+Y78,2)+GX78,0)</f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>ROUND((GT78),6)</f>
        <v>0</v>
      </c>
      <c r="GW78" s="2">
        <v>1</v>
      </c>
      <c r="GX78" s="2">
        <f>ROUND(HC78*I78,2)</f>
        <v>0</v>
      </c>
      <c r="GY78" s="2"/>
      <c r="GZ78" s="2"/>
      <c r="HA78" s="2">
        <v>0</v>
      </c>
      <c r="HB78" s="2">
        <v>0</v>
      </c>
      <c r="HC78" s="2">
        <f>GV78*GW78</f>
        <v>0</v>
      </c>
      <c r="HD78" s="2"/>
      <c r="HE78" s="2" t="s">
        <v>3</v>
      </c>
      <c r="HF78" s="2" t="s">
        <v>3</v>
      </c>
      <c r="HG78" s="2"/>
      <c r="HH78" s="2"/>
      <c r="HI78" s="2"/>
      <c r="HJ78" s="2"/>
      <c r="HK78" s="2"/>
      <c r="HL78" s="2"/>
      <c r="HM78" s="2" t="s">
        <v>3</v>
      </c>
      <c r="HN78" s="2" t="s">
        <v>122</v>
      </c>
      <c r="HO78" s="2" t="s">
        <v>123</v>
      </c>
      <c r="HP78" s="2" t="s">
        <v>120</v>
      </c>
      <c r="HQ78" s="2" t="s">
        <v>120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18</v>
      </c>
      <c r="B79">
        <v>1</v>
      </c>
      <c r="C79">
        <v>24</v>
      </c>
      <c r="E79" t="s">
        <v>124</v>
      </c>
      <c r="F79" t="s">
        <v>125</v>
      </c>
      <c r="G79" t="s">
        <v>52</v>
      </c>
      <c r="H79" t="s">
        <v>53</v>
      </c>
      <c r="I79">
        <f>I77*J79</f>
        <v>1</v>
      </c>
      <c r="J79">
        <v>100</v>
      </c>
      <c r="K79">
        <v>100</v>
      </c>
      <c r="O79">
        <f>ROUND(CP79,2)</f>
        <v>0</v>
      </c>
      <c r="P79">
        <f>ROUND(CQ79*I79,2)</f>
        <v>0</v>
      </c>
      <c r="Q79">
        <f>ROUND(CR79*I79,2)</f>
        <v>0</v>
      </c>
      <c r="R79">
        <f>ROUND(CS79*I79,2)</f>
        <v>0</v>
      </c>
      <c r="S79">
        <f>ROUND(CT79*I79,2)</f>
        <v>0</v>
      </c>
      <c r="T79">
        <f>ROUND(CU79*I79,2)</f>
        <v>0</v>
      </c>
      <c r="U79">
        <f>CV79*I79</f>
        <v>0</v>
      </c>
      <c r="V79">
        <f>CW79*I79</f>
        <v>0</v>
      </c>
      <c r="W79">
        <f>ROUND(CX79*I79,2)</f>
        <v>0</v>
      </c>
      <c r="X79">
        <f t="shared" si="72"/>
        <v>0</v>
      </c>
      <c r="Y79">
        <f t="shared" si="72"/>
        <v>0</v>
      </c>
      <c r="AA79">
        <v>55724170</v>
      </c>
      <c r="AB79">
        <f>ROUND((AC79+AD79+AF79),6)</f>
        <v>0</v>
      </c>
      <c r="AC79">
        <f>ROUND((ES79),6)</f>
        <v>0</v>
      </c>
      <c r="AD79">
        <f>ROUND((((ET79)-(EU79))+AE79),6)</f>
        <v>0</v>
      </c>
      <c r="AE79">
        <f t="shared" si="73"/>
        <v>0</v>
      </c>
      <c r="AF79">
        <f t="shared" si="73"/>
        <v>0</v>
      </c>
      <c r="AG79">
        <f>ROUND((AP79),6)</f>
        <v>0</v>
      </c>
      <c r="AH79">
        <f t="shared" si="74"/>
        <v>0</v>
      </c>
      <c r="AI79">
        <f t="shared" si="74"/>
        <v>0</v>
      </c>
      <c r="AJ79">
        <f>(AS79)</f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92</v>
      </c>
      <c r="AU79">
        <v>44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6.82</v>
      </c>
      <c r="BH79">
        <v>3</v>
      </c>
      <c r="BI79">
        <v>1</v>
      </c>
      <c r="BM79">
        <v>69001</v>
      </c>
      <c r="BN79">
        <v>0</v>
      </c>
      <c r="BP79">
        <v>0</v>
      </c>
      <c r="BQ79">
        <v>6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92</v>
      </c>
      <c r="CA79">
        <v>44</v>
      </c>
      <c r="CE79">
        <v>0</v>
      </c>
      <c r="CF79">
        <v>0</v>
      </c>
      <c r="CG79">
        <v>0</v>
      </c>
      <c r="CM79">
        <v>0</v>
      </c>
      <c r="CO79">
        <v>0</v>
      </c>
      <c r="CP79">
        <f>(P79+Q79+S79)</f>
        <v>0</v>
      </c>
      <c r="CQ79">
        <f>AC79*BC79</f>
        <v>0</v>
      </c>
      <c r="CR79">
        <f>(((ET79)*BB79-(EU79)*BS79)+AE79*BS79)</f>
        <v>0</v>
      </c>
      <c r="CS79">
        <f>AE79*BS79</f>
        <v>0</v>
      </c>
      <c r="CT79">
        <f>AF79*BA79</f>
        <v>0</v>
      </c>
      <c r="CU79">
        <f t="shared" si="75"/>
        <v>0</v>
      </c>
      <c r="CV79">
        <f t="shared" si="75"/>
        <v>0</v>
      </c>
      <c r="CW79">
        <f t="shared" si="75"/>
        <v>0</v>
      </c>
      <c r="CX79">
        <f t="shared" si="75"/>
        <v>0</v>
      </c>
      <c r="CY79">
        <f>(((S79+R79)*AT79)/100)</f>
        <v>0</v>
      </c>
      <c r="CZ79">
        <f>(((S79+R79)*AU79)/100)</f>
        <v>0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53</v>
      </c>
      <c r="DW79" t="s">
        <v>53</v>
      </c>
      <c r="DX79">
        <v>1000</v>
      </c>
      <c r="EE79">
        <v>55471848</v>
      </c>
      <c r="EF79">
        <v>6</v>
      </c>
      <c r="EG79" t="s">
        <v>31</v>
      </c>
      <c r="EH79">
        <v>103</v>
      </c>
      <c r="EI79" t="s">
        <v>120</v>
      </c>
      <c r="EJ79">
        <v>1</v>
      </c>
      <c r="EK79">
        <v>69001</v>
      </c>
      <c r="EL79" t="s">
        <v>120</v>
      </c>
      <c r="EM79" t="s">
        <v>121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76"/>
        <v>0</v>
      </c>
      <c r="FS79">
        <v>0</v>
      </c>
      <c r="FX79">
        <v>92</v>
      </c>
      <c r="FY79">
        <v>44</v>
      </c>
      <c r="GD79">
        <v>1</v>
      </c>
      <c r="GF79">
        <v>-179832266</v>
      </c>
      <c r="GG79">
        <v>2</v>
      </c>
      <c r="GH79">
        <v>0</v>
      </c>
      <c r="GI79">
        <v>4</v>
      </c>
      <c r="GJ79">
        <v>0</v>
      </c>
      <c r="GK79">
        <v>0</v>
      </c>
      <c r="GL79">
        <f t="shared" si="77"/>
        <v>0</v>
      </c>
      <c r="GM79">
        <f>ROUND(O79+X79+Y79,2)+GX79</f>
        <v>0</v>
      </c>
      <c r="GN79">
        <f>IF(OR(BI79=0,BI79=1),ROUND(O79+X79+Y79,2),0)</f>
        <v>0</v>
      </c>
      <c r="GO79">
        <f>IF(BI79=2,ROUND(O79+X79+Y79,2),0)</f>
        <v>0</v>
      </c>
      <c r="GP79">
        <f>IF(BI79=4,ROUND(O79+X79+Y79,2)+GX79,0)</f>
        <v>0</v>
      </c>
      <c r="GR79">
        <v>0</v>
      </c>
      <c r="GS79">
        <v>0</v>
      </c>
      <c r="GT79">
        <v>0</v>
      </c>
      <c r="GV79">
        <f>ROUND((GT79),6)</f>
        <v>0</v>
      </c>
      <c r="GW79">
        <v>1</v>
      </c>
      <c r="GX79">
        <f>ROUND(HC79*I79,2)</f>
        <v>0</v>
      </c>
      <c r="HA79">
        <v>0</v>
      </c>
      <c r="HB79">
        <v>0</v>
      </c>
      <c r="HC79">
        <f>GV79*GW79</f>
        <v>0</v>
      </c>
      <c r="HN79" t="s">
        <v>122</v>
      </c>
      <c r="HO79" t="s">
        <v>123</v>
      </c>
      <c r="HP79" t="s">
        <v>120</v>
      </c>
      <c r="HQ79" t="s">
        <v>120</v>
      </c>
      <c r="IK79">
        <v>0</v>
      </c>
    </row>
    <row r="80" spans="1:255" ht="12.75">
      <c r="A80" s="2">
        <v>17</v>
      </c>
      <c r="B80" s="2">
        <v>1</v>
      </c>
      <c r="C80" s="2">
        <f>ROW(SmtRes!A26)</f>
        <v>26</v>
      </c>
      <c r="D80" s="2"/>
      <c r="E80" s="2" t="s">
        <v>126</v>
      </c>
      <c r="F80" s="2" t="s">
        <v>127</v>
      </c>
      <c r="G80" s="2" t="s">
        <v>128</v>
      </c>
      <c r="H80" s="2" t="s">
        <v>129</v>
      </c>
      <c r="I80" s="2">
        <v>1</v>
      </c>
      <c r="J80" s="2">
        <v>0</v>
      </c>
      <c r="K80" s="2">
        <v>1</v>
      </c>
      <c r="L80" s="2"/>
      <c r="M80" s="2"/>
      <c r="N80" s="2"/>
      <c r="O80" s="2">
        <f>0</f>
        <v>0</v>
      </c>
      <c r="P80" s="2">
        <f>0</f>
        <v>0</v>
      </c>
      <c r="Q80" s="2">
        <f>0</f>
        <v>0</v>
      </c>
      <c r="R80" s="2">
        <f>0</f>
        <v>0</v>
      </c>
      <c r="S80" s="2">
        <f>0</f>
        <v>0</v>
      </c>
      <c r="T80" s="2">
        <f>0</f>
        <v>0</v>
      </c>
      <c r="U80" s="2">
        <f>0</f>
        <v>0</v>
      </c>
      <c r="V80" s="2">
        <f>0</f>
        <v>0</v>
      </c>
      <c r="W80" s="2">
        <f>0</f>
        <v>0</v>
      </c>
      <c r="X80" s="2">
        <f>0</f>
        <v>0</v>
      </c>
      <c r="Y80" s="2">
        <f>0</f>
        <v>0</v>
      </c>
      <c r="Z80" s="2"/>
      <c r="AA80" s="2">
        <v>55724169</v>
      </c>
      <c r="AB80" s="2">
        <f>ROUND((AK80),6)</f>
        <v>42.98</v>
      </c>
      <c r="AC80" s="2">
        <f>0</f>
        <v>0</v>
      </c>
      <c r="AD80" s="2">
        <f>0</f>
        <v>0</v>
      </c>
      <c r="AE80" s="2">
        <f>0</f>
        <v>0</v>
      </c>
      <c r="AF80" s="2">
        <f>0</f>
        <v>0</v>
      </c>
      <c r="AG80" s="2">
        <f>0</f>
        <v>0</v>
      </c>
      <c r="AH80" s="2">
        <f>0</f>
        <v>0</v>
      </c>
      <c r="AI80" s="2">
        <f>0</f>
        <v>0</v>
      </c>
      <c r="AJ80" s="2">
        <f>0</f>
        <v>0</v>
      </c>
      <c r="AK80" s="2">
        <v>42.98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130</v>
      </c>
      <c r="BK80" s="2"/>
      <c r="BL80" s="2"/>
      <c r="BM80" s="2">
        <v>700004</v>
      </c>
      <c r="BN80" s="2">
        <v>0</v>
      </c>
      <c r="BO80" s="2" t="s">
        <v>3</v>
      </c>
      <c r="BP80" s="2">
        <v>0</v>
      </c>
      <c r="BQ80" s="2">
        <v>19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 t="s">
        <v>3</v>
      </c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>AB80*AZ80</f>
        <v>42.98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1013</v>
      </c>
      <c r="DV80" s="2" t="s">
        <v>129</v>
      </c>
      <c r="DW80" s="2" t="s">
        <v>129</v>
      </c>
      <c r="DX80" s="2">
        <v>1</v>
      </c>
      <c r="DY80" s="2"/>
      <c r="DZ80" s="2" t="s">
        <v>3</v>
      </c>
      <c r="EA80" s="2" t="s">
        <v>3</v>
      </c>
      <c r="EB80" s="2" t="s">
        <v>3</v>
      </c>
      <c r="EC80" s="2" t="s">
        <v>3</v>
      </c>
      <c r="ED80" s="2"/>
      <c r="EE80" s="2">
        <v>55471915</v>
      </c>
      <c r="EF80" s="2">
        <v>19</v>
      </c>
      <c r="EG80" s="2" t="s">
        <v>131</v>
      </c>
      <c r="EH80" s="2">
        <v>106</v>
      </c>
      <c r="EI80" s="2" t="s">
        <v>131</v>
      </c>
      <c r="EJ80" s="2">
        <v>1</v>
      </c>
      <c r="EK80" s="2">
        <v>700004</v>
      </c>
      <c r="EL80" s="2" t="s">
        <v>131</v>
      </c>
      <c r="EM80" s="2" t="s">
        <v>132</v>
      </c>
      <c r="EN80" s="2"/>
      <c r="EO80" s="2" t="s">
        <v>3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76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3</v>
      </c>
      <c r="GB80" s="2"/>
      <c r="GC80" s="2"/>
      <c r="GD80" s="2">
        <v>1</v>
      </c>
      <c r="GE80" s="2"/>
      <c r="GF80" s="2">
        <v>-441336689</v>
      </c>
      <c r="GG80" s="2">
        <v>2</v>
      </c>
      <c r="GH80" s="2">
        <v>1</v>
      </c>
      <c r="GI80" s="2">
        <v>-2</v>
      </c>
      <c r="GJ80" s="2">
        <v>2</v>
      </c>
      <c r="GK80" s="2">
        <v>0</v>
      </c>
      <c r="GL80" s="2">
        <f t="shared" si="77"/>
        <v>0</v>
      </c>
      <c r="GM80" s="2">
        <f>ROUND(CP80*I80,2)</f>
        <v>42.98</v>
      </c>
      <c r="GN80" s="2">
        <f>IF(OR(BI80=0,BI80=1),ROUND(CP80*I80,2),0)</f>
        <v>42.98</v>
      </c>
      <c r="GO80" s="2">
        <f>IF(BI80=2,ROUND(CP80*I80,2),0)</f>
        <v>0</v>
      </c>
      <c r="GP80" s="2">
        <f>IF(BI80=4,ROUND(CP80*I80,2)+GX80,0)</f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>0</f>
        <v>0</v>
      </c>
      <c r="GW80" s="2">
        <v>1</v>
      </c>
      <c r="GX80" s="2">
        <f>0</f>
        <v>0</v>
      </c>
      <c r="GY80" s="2"/>
      <c r="GZ80" s="2"/>
      <c r="HA80" s="2">
        <v>0</v>
      </c>
      <c r="HB80" s="2">
        <v>0</v>
      </c>
      <c r="HC80" s="2">
        <v>0</v>
      </c>
      <c r="HD80" s="2">
        <f>GM80</f>
        <v>42.98</v>
      </c>
      <c r="HE80" s="2" t="s">
        <v>3</v>
      </c>
      <c r="HF80" s="2" t="s">
        <v>3</v>
      </c>
      <c r="HG80" s="2"/>
      <c r="HH80" s="2"/>
      <c r="HI80" s="2"/>
      <c r="HJ80" s="2"/>
      <c r="HK80" s="2"/>
      <c r="HL80" s="2"/>
      <c r="HM80" s="2" t="s">
        <v>3</v>
      </c>
      <c r="HN80" s="2" t="s">
        <v>3</v>
      </c>
      <c r="HO80" s="2" t="s">
        <v>3</v>
      </c>
      <c r="HP80" s="2" t="s">
        <v>3</v>
      </c>
      <c r="HQ80" s="2" t="s">
        <v>3</v>
      </c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ht="12.75">
      <c r="A81">
        <v>17</v>
      </c>
      <c r="B81">
        <v>1</v>
      </c>
      <c r="C81">
        <f>ROW(SmtRes!A28)</f>
        <v>28</v>
      </c>
      <c r="E81" t="s">
        <v>126</v>
      </c>
      <c r="F81" t="s">
        <v>127</v>
      </c>
      <c r="G81" t="s">
        <v>128</v>
      </c>
      <c r="H81" t="s">
        <v>129</v>
      </c>
      <c r="I81">
        <v>1</v>
      </c>
      <c r="J81">
        <v>0</v>
      </c>
      <c r="K81">
        <v>1</v>
      </c>
      <c r="O81">
        <f>0</f>
        <v>0</v>
      </c>
      <c r="P81">
        <f>0</f>
        <v>0</v>
      </c>
      <c r="Q81">
        <f>0</f>
        <v>0</v>
      </c>
      <c r="R81">
        <f>0</f>
        <v>0</v>
      </c>
      <c r="S81">
        <f>0</f>
        <v>0</v>
      </c>
      <c r="T81">
        <f>0</f>
        <v>0</v>
      </c>
      <c r="U81">
        <f>0</f>
        <v>0</v>
      </c>
      <c r="V81">
        <f>0</f>
        <v>0</v>
      </c>
      <c r="W81">
        <f>0</f>
        <v>0</v>
      </c>
      <c r="X81">
        <f>0</f>
        <v>0</v>
      </c>
      <c r="Y81">
        <f>0</f>
        <v>0</v>
      </c>
      <c r="AA81">
        <v>55724170</v>
      </c>
      <c r="AB81">
        <f>ROUND((AK81),6)</f>
        <v>42.98</v>
      </c>
      <c r="AC81">
        <f>0</f>
        <v>0</v>
      </c>
      <c r="AD81">
        <f>0</f>
        <v>0</v>
      </c>
      <c r="AE81">
        <f>0</f>
        <v>0</v>
      </c>
      <c r="AF81">
        <f>0</f>
        <v>0</v>
      </c>
      <c r="AG81">
        <f>0</f>
        <v>0</v>
      </c>
      <c r="AH81">
        <f>0</f>
        <v>0</v>
      </c>
      <c r="AI81">
        <f>0</f>
        <v>0</v>
      </c>
      <c r="AJ81">
        <f>0</f>
        <v>0</v>
      </c>
      <c r="AK81">
        <v>42.98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13.43</v>
      </c>
      <c r="BA81">
        <v>1</v>
      </c>
      <c r="BB81">
        <v>1</v>
      </c>
      <c r="BC81">
        <v>1</v>
      </c>
      <c r="BH81">
        <v>0</v>
      </c>
      <c r="BI81">
        <v>1</v>
      </c>
      <c r="BJ81" t="s">
        <v>130</v>
      </c>
      <c r="BM81">
        <v>700004</v>
      </c>
      <c r="BN81">
        <v>0</v>
      </c>
      <c r="BP81">
        <v>0</v>
      </c>
      <c r="BQ81">
        <v>19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O81">
        <v>0</v>
      </c>
      <c r="CP81">
        <f>AB81*AZ81</f>
        <v>577.2213999999999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129</v>
      </c>
      <c r="DW81" t="s">
        <v>129</v>
      </c>
      <c r="DX81">
        <v>1</v>
      </c>
      <c r="EE81">
        <v>55471915</v>
      </c>
      <c r="EF81">
        <v>19</v>
      </c>
      <c r="EG81" t="s">
        <v>131</v>
      </c>
      <c r="EH81">
        <v>106</v>
      </c>
      <c r="EI81" t="s">
        <v>131</v>
      </c>
      <c r="EJ81">
        <v>1</v>
      </c>
      <c r="EK81">
        <v>700004</v>
      </c>
      <c r="EL81" t="s">
        <v>131</v>
      </c>
      <c r="EM81" t="s">
        <v>132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76"/>
        <v>0</v>
      </c>
      <c r="FS81">
        <v>0</v>
      </c>
      <c r="FX81">
        <v>0</v>
      </c>
      <c r="FY81">
        <v>0</v>
      </c>
      <c r="GD81">
        <v>1</v>
      </c>
      <c r="GF81">
        <v>-441336689</v>
      </c>
      <c r="GG81">
        <v>2</v>
      </c>
      <c r="GH81">
        <v>1</v>
      </c>
      <c r="GI81">
        <v>4</v>
      </c>
      <c r="GJ81">
        <v>2</v>
      </c>
      <c r="GK81">
        <v>0</v>
      </c>
      <c r="GL81">
        <f t="shared" si="77"/>
        <v>0</v>
      </c>
      <c r="GM81">
        <f>ROUND(CP81*I81,2)</f>
        <v>577.22</v>
      </c>
      <c r="GN81">
        <f>IF(OR(BI81=0,BI81=1),ROUND(CP81*I81,2),0)</f>
        <v>577.22</v>
      </c>
      <c r="GO81">
        <f>IF(BI81=2,ROUND(CP81*I81,2),0)</f>
        <v>0</v>
      </c>
      <c r="GP81">
        <f>IF(BI81=4,ROUND(CP81*I81,2)+GX81,0)</f>
        <v>0</v>
      </c>
      <c r="GR81">
        <v>0</v>
      </c>
      <c r="GS81">
        <v>0</v>
      </c>
      <c r="GT81">
        <v>0</v>
      </c>
      <c r="GV81">
        <f>0</f>
        <v>0</v>
      </c>
      <c r="GW81">
        <v>1</v>
      </c>
      <c r="GX81">
        <f>0</f>
        <v>0</v>
      </c>
      <c r="HA81">
        <v>0</v>
      </c>
      <c r="HB81">
        <v>0</v>
      </c>
      <c r="HC81">
        <v>0</v>
      </c>
      <c r="HD81">
        <f>GM81</f>
        <v>577.22</v>
      </c>
      <c r="IK81">
        <v>0</v>
      </c>
    </row>
    <row r="82" spans="1:255" ht="12.75">
      <c r="A82" s="2">
        <v>17</v>
      </c>
      <c r="B82" s="2">
        <v>1</v>
      </c>
      <c r="C82" s="2"/>
      <c r="D82" s="2"/>
      <c r="E82" s="2" t="s">
        <v>133</v>
      </c>
      <c r="F82" s="2" t="s">
        <v>134</v>
      </c>
      <c r="G82" s="2" t="s">
        <v>135</v>
      </c>
      <c r="H82" s="2" t="s">
        <v>129</v>
      </c>
      <c r="I82" s="2">
        <v>1</v>
      </c>
      <c r="J82" s="2">
        <v>0</v>
      </c>
      <c r="K82" s="2">
        <v>1</v>
      </c>
      <c r="L82" s="2"/>
      <c r="M82" s="2"/>
      <c r="N82" s="2"/>
      <c r="O82" s="2">
        <f>0</f>
        <v>0</v>
      </c>
      <c r="P82" s="2">
        <f>0</f>
        <v>0</v>
      </c>
      <c r="Q82" s="2">
        <f>0</f>
        <v>0</v>
      </c>
      <c r="R82" s="2">
        <f>0</f>
        <v>0</v>
      </c>
      <c r="S82" s="2">
        <f>0</f>
        <v>0</v>
      </c>
      <c r="T82" s="2">
        <f>0</f>
        <v>0</v>
      </c>
      <c r="U82" s="2">
        <f>0</f>
        <v>0</v>
      </c>
      <c r="V82" s="2">
        <f>0</f>
        <v>0</v>
      </c>
      <c r="W82" s="2">
        <f>0</f>
        <v>0</v>
      </c>
      <c r="X82" s="2">
        <f>0</f>
        <v>0</v>
      </c>
      <c r="Y82" s="2">
        <f>0</f>
        <v>0</v>
      </c>
      <c r="Z82" s="2"/>
      <c r="AA82" s="2">
        <v>55724169</v>
      </c>
      <c r="AB82" s="2">
        <f>ROUND((AK82),6)</f>
        <v>46.37</v>
      </c>
      <c r="AC82" s="2">
        <f>0</f>
        <v>0</v>
      </c>
      <c r="AD82" s="2">
        <f>0</f>
        <v>0</v>
      </c>
      <c r="AE82" s="2">
        <f>0</f>
        <v>0</v>
      </c>
      <c r="AF82" s="2">
        <f>0</f>
        <v>0</v>
      </c>
      <c r="AG82" s="2">
        <f>0</f>
        <v>0</v>
      </c>
      <c r="AH82" s="2">
        <f>0</f>
        <v>0</v>
      </c>
      <c r="AI82" s="2">
        <f>0</f>
        <v>0</v>
      </c>
      <c r="AJ82" s="2">
        <f>0</f>
        <v>0</v>
      </c>
      <c r="AK82" s="2">
        <v>46.37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0</v>
      </c>
      <c r="BI82" s="2">
        <v>1</v>
      </c>
      <c r="BJ82" s="2" t="s">
        <v>136</v>
      </c>
      <c r="BK82" s="2"/>
      <c r="BL82" s="2"/>
      <c r="BM82" s="2">
        <v>700005</v>
      </c>
      <c r="BN82" s="2">
        <v>0</v>
      </c>
      <c r="BO82" s="2" t="s">
        <v>3</v>
      </c>
      <c r="BP82" s="2">
        <v>0</v>
      </c>
      <c r="BQ82" s="2">
        <v>10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 t="s">
        <v>3</v>
      </c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>AB82*AZ82</f>
        <v>46.37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1013</v>
      </c>
      <c r="DV82" s="2" t="s">
        <v>129</v>
      </c>
      <c r="DW82" s="2" t="s">
        <v>129</v>
      </c>
      <c r="DX82" s="2">
        <v>1</v>
      </c>
      <c r="DY82" s="2"/>
      <c r="DZ82" s="2" t="s">
        <v>3</v>
      </c>
      <c r="EA82" s="2" t="s">
        <v>3</v>
      </c>
      <c r="EB82" s="2" t="s">
        <v>3</v>
      </c>
      <c r="EC82" s="2" t="s">
        <v>3</v>
      </c>
      <c r="ED82" s="2"/>
      <c r="EE82" s="2">
        <v>55471919</v>
      </c>
      <c r="EF82" s="2">
        <v>10</v>
      </c>
      <c r="EG82" s="2" t="s">
        <v>137</v>
      </c>
      <c r="EH82" s="2">
        <v>107</v>
      </c>
      <c r="EI82" s="2" t="s">
        <v>138</v>
      </c>
      <c r="EJ82" s="2">
        <v>1</v>
      </c>
      <c r="EK82" s="2">
        <v>700005</v>
      </c>
      <c r="EL82" s="2" t="s">
        <v>138</v>
      </c>
      <c r="EM82" s="2" t="s">
        <v>139</v>
      </c>
      <c r="EN82" s="2"/>
      <c r="EO82" s="2" t="s">
        <v>3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76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3</v>
      </c>
      <c r="GB82" s="2"/>
      <c r="GC82" s="2"/>
      <c r="GD82" s="2">
        <v>1</v>
      </c>
      <c r="GE82" s="2"/>
      <c r="GF82" s="2">
        <v>343111974</v>
      </c>
      <c r="GG82" s="2">
        <v>2</v>
      </c>
      <c r="GH82" s="2">
        <v>1</v>
      </c>
      <c r="GI82" s="2">
        <v>-2</v>
      </c>
      <c r="GJ82" s="2">
        <v>2</v>
      </c>
      <c r="GK82" s="2">
        <v>0</v>
      </c>
      <c r="GL82" s="2">
        <f t="shared" si="77"/>
        <v>0</v>
      </c>
      <c r="GM82" s="2">
        <f>ROUND(CP82*I82,2)</f>
        <v>46.37</v>
      </c>
      <c r="GN82" s="2">
        <f>IF(OR(BI82=0,BI82=1),ROUND(CP82*I82,2),0)</f>
        <v>46.37</v>
      </c>
      <c r="GO82" s="2">
        <f>IF(BI82=2,ROUND(CP82*I82,2),0)</f>
        <v>0</v>
      </c>
      <c r="GP82" s="2">
        <f>IF(BI82=4,ROUND(CP82*I82,2)+GX82,0)</f>
        <v>0</v>
      </c>
      <c r="GQ82" s="2"/>
      <c r="GR82" s="2">
        <v>0</v>
      </c>
      <c r="GS82" s="2">
        <v>3</v>
      </c>
      <c r="GT82" s="2">
        <v>0</v>
      </c>
      <c r="GU82" s="2" t="s">
        <v>3</v>
      </c>
      <c r="GV82" s="2">
        <f>0</f>
        <v>0</v>
      </c>
      <c r="GW82" s="2">
        <v>1</v>
      </c>
      <c r="GX82" s="2">
        <f>0</f>
        <v>0</v>
      </c>
      <c r="GY82" s="2"/>
      <c r="GZ82" s="2"/>
      <c r="HA82" s="2">
        <v>0</v>
      </c>
      <c r="HB82" s="2">
        <v>0</v>
      </c>
      <c r="HC82" s="2">
        <v>0</v>
      </c>
      <c r="HD82" s="2">
        <f>GM82</f>
        <v>46.37</v>
      </c>
      <c r="HE82" s="2" t="s">
        <v>3</v>
      </c>
      <c r="HF82" s="2" t="s">
        <v>3</v>
      </c>
      <c r="HG82" s="2"/>
      <c r="HH82" s="2"/>
      <c r="HI82" s="2"/>
      <c r="HJ82" s="2"/>
      <c r="HK82" s="2"/>
      <c r="HL82" s="2"/>
      <c r="HM82" s="2" t="s">
        <v>3</v>
      </c>
      <c r="HN82" s="2" t="s">
        <v>3</v>
      </c>
      <c r="HO82" s="2" t="s">
        <v>3</v>
      </c>
      <c r="HP82" s="2" t="s">
        <v>3</v>
      </c>
      <c r="HQ82" s="2" t="s">
        <v>3</v>
      </c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45" ht="12.75">
      <c r="A83">
        <v>17</v>
      </c>
      <c r="B83">
        <v>1</v>
      </c>
      <c r="E83" t="s">
        <v>133</v>
      </c>
      <c r="F83" t="s">
        <v>134</v>
      </c>
      <c r="G83" t="s">
        <v>135</v>
      </c>
      <c r="H83" t="s">
        <v>129</v>
      </c>
      <c r="I83">
        <v>1</v>
      </c>
      <c r="J83">
        <v>0</v>
      </c>
      <c r="K83">
        <v>1</v>
      </c>
      <c r="O83">
        <f>0</f>
        <v>0</v>
      </c>
      <c r="P83">
        <f>0</f>
        <v>0</v>
      </c>
      <c r="Q83">
        <f>0</f>
        <v>0</v>
      </c>
      <c r="R83">
        <f>0</f>
        <v>0</v>
      </c>
      <c r="S83">
        <f>0</f>
        <v>0</v>
      </c>
      <c r="T83">
        <f>0</f>
        <v>0</v>
      </c>
      <c r="U83">
        <f>0</f>
        <v>0</v>
      </c>
      <c r="V83">
        <f>0</f>
        <v>0</v>
      </c>
      <c r="W83">
        <f>0</f>
        <v>0</v>
      </c>
      <c r="X83">
        <f>0</f>
        <v>0</v>
      </c>
      <c r="Y83">
        <f>0</f>
        <v>0</v>
      </c>
      <c r="AA83">
        <v>55724170</v>
      </c>
      <c r="AB83">
        <f>ROUND((AK83),6)</f>
        <v>46.37</v>
      </c>
      <c r="AC83">
        <f>0</f>
        <v>0</v>
      </c>
      <c r="AD83">
        <f>0</f>
        <v>0</v>
      </c>
      <c r="AE83">
        <f>0</f>
        <v>0</v>
      </c>
      <c r="AF83">
        <f>0</f>
        <v>0</v>
      </c>
      <c r="AG83">
        <f>0</f>
        <v>0</v>
      </c>
      <c r="AH83">
        <f>0</f>
        <v>0</v>
      </c>
      <c r="AI83">
        <f>0</f>
        <v>0</v>
      </c>
      <c r="AJ83">
        <f>0</f>
        <v>0</v>
      </c>
      <c r="AK83">
        <v>46.37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13.43</v>
      </c>
      <c r="BA83">
        <v>1</v>
      </c>
      <c r="BB83">
        <v>1</v>
      </c>
      <c r="BC83">
        <v>1</v>
      </c>
      <c r="BH83">
        <v>0</v>
      </c>
      <c r="BI83">
        <v>1</v>
      </c>
      <c r="BJ83" t="s">
        <v>136</v>
      </c>
      <c r="BM83">
        <v>700005</v>
      </c>
      <c r="BN83">
        <v>0</v>
      </c>
      <c r="BP83">
        <v>0</v>
      </c>
      <c r="BQ83">
        <v>10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O83">
        <v>0</v>
      </c>
      <c r="CP83">
        <f>AB83*AZ83</f>
        <v>622.7491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129</v>
      </c>
      <c r="DW83" t="s">
        <v>129</v>
      </c>
      <c r="DX83">
        <v>1</v>
      </c>
      <c r="EE83">
        <v>55471919</v>
      </c>
      <c r="EF83">
        <v>10</v>
      </c>
      <c r="EG83" t="s">
        <v>137</v>
      </c>
      <c r="EH83">
        <v>107</v>
      </c>
      <c r="EI83" t="s">
        <v>138</v>
      </c>
      <c r="EJ83">
        <v>1</v>
      </c>
      <c r="EK83">
        <v>700005</v>
      </c>
      <c r="EL83" t="s">
        <v>138</v>
      </c>
      <c r="EM83" t="s">
        <v>139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76"/>
        <v>0</v>
      </c>
      <c r="FS83">
        <v>0</v>
      </c>
      <c r="FX83">
        <v>0</v>
      </c>
      <c r="FY83">
        <v>0</v>
      </c>
      <c r="GD83">
        <v>1</v>
      </c>
      <c r="GF83">
        <v>343111974</v>
      </c>
      <c r="GG83">
        <v>2</v>
      </c>
      <c r="GH83">
        <v>1</v>
      </c>
      <c r="GI83">
        <v>4</v>
      </c>
      <c r="GJ83">
        <v>2</v>
      </c>
      <c r="GK83">
        <v>0</v>
      </c>
      <c r="GL83">
        <f t="shared" si="77"/>
        <v>0</v>
      </c>
      <c r="GM83">
        <f>ROUND(CP83*I83,2)</f>
        <v>622.75</v>
      </c>
      <c r="GN83">
        <f>IF(OR(BI83=0,BI83=1),ROUND(CP83*I83,2),0)</f>
        <v>622.75</v>
      </c>
      <c r="GO83">
        <f>IF(BI83=2,ROUND(CP83*I83,2),0)</f>
        <v>0</v>
      </c>
      <c r="GP83">
        <f>IF(BI83=4,ROUND(CP83*I83,2)+GX83,0)</f>
        <v>0</v>
      </c>
      <c r="GR83">
        <v>0</v>
      </c>
      <c r="GS83">
        <v>3</v>
      </c>
      <c r="GT83">
        <v>0</v>
      </c>
      <c r="GV83">
        <f>0</f>
        <v>0</v>
      </c>
      <c r="GW83">
        <v>1</v>
      </c>
      <c r="GX83">
        <f>0</f>
        <v>0</v>
      </c>
      <c r="HA83">
        <v>0</v>
      </c>
      <c r="HB83">
        <v>0</v>
      </c>
      <c r="HC83">
        <v>0</v>
      </c>
      <c r="HD83">
        <f>GM83</f>
        <v>622.75</v>
      </c>
      <c r="IK83">
        <v>0</v>
      </c>
    </row>
    <row r="85" spans="1:206" ht="12.75">
      <c r="A85" s="3">
        <v>51</v>
      </c>
      <c r="B85" s="3">
        <f>B72</f>
        <v>1</v>
      </c>
      <c r="C85" s="3">
        <f>A72</f>
        <v>4</v>
      </c>
      <c r="D85" s="3">
        <f>ROW(A72)</f>
        <v>72</v>
      </c>
      <c r="E85" s="3"/>
      <c r="F85" s="3" t="str">
        <f>IF(F72&lt;&gt;"",F72,"")</f>
        <v>Новый раздел</v>
      </c>
      <c r="G85" s="3" t="str">
        <f>IF(G72&lt;&gt;"",G72,"")</f>
        <v>Разные работы</v>
      </c>
      <c r="H85" s="3">
        <v>0</v>
      </c>
      <c r="I85" s="3"/>
      <c r="J85" s="3"/>
      <c r="K85" s="3"/>
      <c r="L85" s="3"/>
      <c r="M85" s="3"/>
      <c r="N85" s="3"/>
      <c r="O85" s="3">
        <f aca="true" t="shared" si="78" ref="O85:T85">ROUND(AB85,2)</f>
        <v>13.63</v>
      </c>
      <c r="P85" s="3">
        <f t="shared" si="78"/>
        <v>0</v>
      </c>
      <c r="Q85" s="3">
        <f t="shared" si="78"/>
        <v>0</v>
      </c>
      <c r="R85" s="3">
        <f t="shared" si="78"/>
        <v>0</v>
      </c>
      <c r="S85" s="3">
        <f t="shared" si="78"/>
        <v>13.63</v>
      </c>
      <c r="T85" s="3">
        <f t="shared" si="78"/>
        <v>0</v>
      </c>
      <c r="U85" s="3">
        <f>AH85</f>
        <v>1.8800000000000001</v>
      </c>
      <c r="V85" s="3">
        <f>AI85</f>
        <v>0</v>
      </c>
      <c r="W85" s="3">
        <f>ROUND(AJ85,2)</f>
        <v>0</v>
      </c>
      <c r="X85" s="3">
        <f>ROUND(AK85,2)</f>
        <v>12.54</v>
      </c>
      <c r="Y85" s="3">
        <f>ROUND(AL85,2)</f>
        <v>6</v>
      </c>
      <c r="Z85" s="3"/>
      <c r="AA85" s="3"/>
      <c r="AB85" s="3">
        <f>ROUND(SUMIF(AA76:AA83,"=55724169",O76:O83),2)</f>
        <v>13.63</v>
      </c>
      <c r="AC85" s="3">
        <f>ROUND(SUMIF(AA76:AA83,"=55724169",P76:P83),2)</f>
        <v>0</v>
      </c>
      <c r="AD85" s="3">
        <f>ROUND(SUMIF(AA76:AA83,"=55724169",Q76:Q83),2)</f>
        <v>0</v>
      </c>
      <c r="AE85" s="3">
        <f>ROUND(SUMIF(AA76:AA83,"=55724169",R76:R83),2)</f>
        <v>0</v>
      </c>
      <c r="AF85" s="3">
        <f>ROUND(SUMIF(AA76:AA83,"=55724169",S76:S83),2)</f>
        <v>13.63</v>
      </c>
      <c r="AG85" s="3">
        <f>ROUND(SUMIF(AA76:AA83,"=55724169",T76:T83),2)</f>
        <v>0</v>
      </c>
      <c r="AH85" s="3">
        <f>SUMIF(AA76:AA83,"=55724169",U76:U83)</f>
        <v>1.8800000000000001</v>
      </c>
      <c r="AI85" s="3">
        <f>SUMIF(AA76:AA83,"=55724169",V76:V83)</f>
        <v>0</v>
      </c>
      <c r="AJ85" s="3">
        <f>ROUND(SUMIF(AA76:AA83,"=55724169",W76:W83),2)</f>
        <v>0</v>
      </c>
      <c r="AK85" s="3">
        <f>ROUND(SUMIF(AA76:AA83,"=55724169",X76:X83),2)</f>
        <v>12.54</v>
      </c>
      <c r="AL85" s="3">
        <f>ROUND(SUMIF(AA76:AA83,"=55724169",Y76:Y83),2)</f>
        <v>6</v>
      </c>
      <c r="AM85" s="3"/>
      <c r="AN85" s="3"/>
      <c r="AO85" s="3">
        <f aca="true" t="shared" si="79" ref="AO85:BD85">ROUND(BX85,2)</f>
        <v>0</v>
      </c>
      <c r="AP85" s="3">
        <f t="shared" si="79"/>
        <v>0</v>
      </c>
      <c r="AQ85" s="3">
        <f t="shared" si="79"/>
        <v>0</v>
      </c>
      <c r="AR85" s="3">
        <f t="shared" si="79"/>
        <v>121.52</v>
      </c>
      <c r="AS85" s="3">
        <f t="shared" si="79"/>
        <v>121.52</v>
      </c>
      <c r="AT85" s="3">
        <f t="shared" si="79"/>
        <v>0</v>
      </c>
      <c r="AU85" s="3">
        <f t="shared" si="79"/>
        <v>0</v>
      </c>
      <c r="AV85" s="3">
        <f t="shared" si="79"/>
        <v>0</v>
      </c>
      <c r="AW85" s="3">
        <f t="shared" si="79"/>
        <v>0</v>
      </c>
      <c r="AX85" s="3">
        <f t="shared" si="79"/>
        <v>0</v>
      </c>
      <c r="AY85" s="3">
        <f t="shared" si="79"/>
        <v>0</v>
      </c>
      <c r="AZ85" s="3">
        <f t="shared" si="79"/>
        <v>0</v>
      </c>
      <c r="BA85" s="3">
        <f t="shared" si="79"/>
        <v>0</v>
      </c>
      <c r="BB85" s="3">
        <f t="shared" si="79"/>
        <v>0</v>
      </c>
      <c r="BC85" s="3">
        <f t="shared" si="79"/>
        <v>0</v>
      </c>
      <c r="BD85" s="3">
        <f t="shared" si="79"/>
        <v>89.35</v>
      </c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>
        <f>ROUND(SUMIF(AA76:AA83,"=55724169",FQ76:FQ83),2)</f>
        <v>0</v>
      </c>
      <c r="BY85" s="3">
        <f>ROUND(SUMIF(AA76:AA83,"=55724169",FR76:FR83),2)</f>
        <v>0</v>
      </c>
      <c r="BZ85" s="3">
        <f>ROUND(SUMIF(AA76:AA83,"=55724169",GL76:GL83),2)</f>
        <v>0</v>
      </c>
      <c r="CA85" s="3">
        <f>ROUND(SUMIF(AA76:AA83,"=55724169",GM76:GM83),2)</f>
        <v>121.52</v>
      </c>
      <c r="CB85" s="3">
        <f>ROUND(SUMIF(AA76:AA83,"=55724169",GN76:GN83),2)</f>
        <v>121.52</v>
      </c>
      <c r="CC85" s="3">
        <f>ROUND(SUMIF(AA76:AA83,"=55724169",GO76:GO83),2)</f>
        <v>0</v>
      </c>
      <c r="CD85" s="3">
        <f>ROUND(SUMIF(AA76:AA83,"=55724169",GP76:GP83),2)</f>
        <v>0</v>
      </c>
      <c r="CE85" s="3">
        <f>AC85-BX85</f>
        <v>0</v>
      </c>
      <c r="CF85" s="3">
        <f>AC85-BY85</f>
        <v>0</v>
      </c>
      <c r="CG85" s="3">
        <f>BX85-BZ85</f>
        <v>0</v>
      </c>
      <c r="CH85" s="3">
        <f>AC85-BX85-BY85+BZ85</f>
        <v>0</v>
      </c>
      <c r="CI85" s="3">
        <f>BY85-BZ85</f>
        <v>0</v>
      </c>
      <c r="CJ85" s="3">
        <f>ROUND(SUMIF(AA76:AA83,"=55724169",GX76:GX83),2)</f>
        <v>0</v>
      </c>
      <c r="CK85" s="3">
        <f>ROUND(SUMIF(AA76:AA83,"=55724169",GY76:GY83),2)</f>
        <v>0</v>
      </c>
      <c r="CL85" s="3">
        <f>ROUND(SUMIF(AA76:AA83,"=55724169",GZ76:GZ83),2)</f>
        <v>0</v>
      </c>
      <c r="CM85" s="3">
        <f>ROUND(SUMIF(AA76:AA83,"=55724169",HD76:HD83),2)</f>
        <v>89.35</v>
      </c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4">
        <f aca="true" t="shared" si="80" ref="DG85:DL85">ROUND(DT85,2)</f>
        <v>525.98</v>
      </c>
      <c r="DH85" s="4">
        <f t="shared" si="80"/>
        <v>0</v>
      </c>
      <c r="DI85" s="4">
        <f t="shared" si="80"/>
        <v>0</v>
      </c>
      <c r="DJ85" s="4">
        <f t="shared" si="80"/>
        <v>0</v>
      </c>
      <c r="DK85" s="4">
        <f t="shared" si="80"/>
        <v>525.98</v>
      </c>
      <c r="DL85" s="4">
        <f t="shared" si="80"/>
        <v>0</v>
      </c>
      <c r="DM85" s="4">
        <f>DZ85</f>
        <v>1.8800000000000001</v>
      </c>
      <c r="DN85" s="4">
        <f>EA85</f>
        <v>0</v>
      </c>
      <c r="DO85" s="4">
        <f>ROUND(EB85,2)</f>
        <v>0</v>
      </c>
      <c r="DP85" s="4">
        <f>ROUND(EC85,2)</f>
        <v>483.9</v>
      </c>
      <c r="DQ85" s="4">
        <f>ROUND(ED85,2)</f>
        <v>231.43</v>
      </c>
      <c r="DR85" s="4"/>
      <c r="DS85" s="4"/>
      <c r="DT85" s="4">
        <f>ROUND(SUMIF(AA76:AA83,"=55724170",O76:O83),2)</f>
        <v>525.98</v>
      </c>
      <c r="DU85" s="4">
        <f>ROUND(SUMIF(AA76:AA83,"=55724170",P76:P83),2)</f>
        <v>0</v>
      </c>
      <c r="DV85" s="4">
        <f>ROUND(SUMIF(AA76:AA83,"=55724170",Q76:Q83),2)</f>
        <v>0</v>
      </c>
      <c r="DW85" s="4">
        <f>ROUND(SUMIF(AA76:AA83,"=55724170",R76:R83),2)</f>
        <v>0</v>
      </c>
      <c r="DX85" s="4">
        <f>ROUND(SUMIF(AA76:AA83,"=55724170",S76:S83),2)</f>
        <v>525.98</v>
      </c>
      <c r="DY85" s="4">
        <f>ROUND(SUMIF(AA76:AA83,"=55724170",T76:T83),2)</f>
        <v>0</v>
      </c>
      <c r="DZ85" s="4">
        <f>SUMIF(AA76:AA83,"=55724170",U76:U83)</f>
        <v>1.8800000000000001</v>
      </c>
      <c r="EA85" s="4">
        <f>SUMIF(AA76:AA83,"=55724170",V76:V83)</f>
        <v>0</v>
      </c>
      <c r="EB85" s="4">
        <f>ROUND(SUMIF(AA76:AA83,"=55724170",W76:W83),2)</f>
        <v>0</v>
      </c>
      <c r="EC85" s="4">
        <f>ROUND(SUMIF(AA76:AA83,"=55724170",X76:X83),2)</f>
        <v>483.9</v>
      </c>
      <c r="ED85" s="4">
        <f>ROUND(SUMIF(AA76:AA83,"=55724170",Y76:Y83),2)</f>
        <v>231.43</v>
      </c>
      <c r="EE85" s="4"/>
      <c r="EF85" s="4"/>
      <c r="EG85" s="4">
        <f aca="true" t="shared" si="81" ref="EG85:EV85">ROUND(FP85,2)</f>
        <v>0</v>
      </c>
      <c r="EH85" s="4">
        <f t="shared" si="81"/>
        <v>0</v>
      </c>
      <c r="EI85" s="4">
        <f t="shared" si="81"/>
        <v>0</v>
      </c>
      <c r="EJ85" s="4">
        <f t="shared" si="81"/>
        <v>2441.28</v>
      </c>
      <c r="EK85" s="4">
        <f t="shared" si="81"/>
        <v>2441.28</v>
      </c>
      <c r="EL85" s="4">
        <f t="shared" si="81"/>
        <v>0</v>
      </c>
      <c r="EM85" s="4">
        <f t="shared" si="81"/>
        <v>0</v>
      </c>
      <c r="EN85" s="4">
        <f t="shared" si="81"/>
        <v>0</v>
      </c>
      <c r="EO85" s="4">
        <f t="shared" si="81"/>
        <v>0</v>
      </c>
      <c r="EP85" s="4">
        <f t="shared" si="81"/>
        <v>0</v>
      </c>
      <c r="EQ85" s="4">
        <f t="shared" si="81"/>
        <v>0</v>
      </c>
      <c r="ER85" s="4">
        <f t="shared" si="81"/>
        <v>0</v>
      </c>
      <c r="ES85" s="4">
        <f t="shared" si="81"/>
        <v>0</v>
      </c>
      <c r="ET85" s="4">
        <f t="shared" si="81"/>
        <v>0</v>
      </c>
      <c r="EU85" s="4">
        <f t="shared" si="81"/>
        <v>0</v>
      </c>
      <c r="EV85" s="4">
        <f t="shared" si="81"/>
        <v>1199.97</v>
      </c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>
        <f>ROUND(SUMIF(AA76:AA83,"=55724170",FQ76:FQ83),2)</f>
        <v>0</v>
      </c>
      <c r="FQ85" s="4">
        <f>ROUND(SUMIF(AA76:AA83,"=55724170",FR76:FR83),2)</f>
        <v>0</v>
      </c>
      <c r="FR85" s="4">
        <f>ROUND(SUMIF(AA76:AA83,"=55724170",GL76:GL83),2)</f>
        <v>0</v>
      </c>
      <c r="FS85" s="4">
        <f>ROUND(SUMIF(AA76:AA83,"=55724170",GM76:GM83),2)</f>
        <v>2441.28</v>
      </c>
      <c r="FT85" s="4">
        <f>ROUND(SUMIF(AA76:AA83,"=55724170",GN76:GN83),2)</f>
        <v>2441.28</v>
      </c>
      <c r="FU85" s="4">
        <f>ROUND(SUMIF(AA76:AA83,"=55724170",GO76:GO83),2)</f>
        <v>0</v>
      </c>
      <c r="FV85" s="4">
        <f>ROUND(SUMIF(AA76:AA83,"=55724170",GP76:GP83),2)</f>
        <v>0</v>
      </c>
      <c r="FW85" s="4">
        <f>DU85-FP85</f>
        <v>0</v>
      </c>
      <c r="FX85" s="4">
        <f>DU85-FQ85</f>
        <v>0</v>
      </c>
      <c r="FY85" s="4">
        <f>FP85-FR85</f>
        <v>0</v>
      </c>
      <c r="FZ85" s="4">
        <f>DU85-FP85-FQ85+FR85</f>
        <v>0</v>
      </c>
      <c r="GA85" s="4">
        <f>FQ85-FR85</f>
        <v>0</v>
      </c>
      <c r="GB85" s="4">
        <f>ROUND(SUMIF(AA76:AA83,"=55724170",GX76:GX83),2)</f>
        <v>0</v>
      </c>
      <c r="GC85" s="4">
        <f>ROUND(SUMIF(AA76:AA83,"=55724170",GY76:GY83),2)</f>
        <v>0</v>
      </c>
      <c r="GD85" s="4">
        <f>ROUND(SUMIF(AA76:AA83,"=55724170",GZ76:GZ83),2)</f>
        <v>0</v>
      </c>
      <c r="GE85" s="4">
        <f>ROUND(SUMIF(AA76:AA83,"=55724170",HD76:HD83),2)</f>
        <v>1199.97</v>
      </c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>
        <v>0</v>
      </c>
    </row>
    <row r="87" spans="1:28" ht="12.75">
      <c r="A87" s="5">
        <v>50</v>
      </c>
      <c r="B87" s="5">
        <v>0</v>
      </c>
      <c r="C87" s="5">
        <v>0</v>
      </c>
      <c r="D87" s="5">
        <v>1</v>
      </c>
      <c r="E87" s="5">
        <v>201</v>
      </c>
      <c r="F87" s="5">
        <f>ROUND(Source!O85,O87)</f>
        <v>13.63</v>
      </c>
      <c r="G87" s="5" t="s">
        <v>58</v>
      </c>
      <c r="H87" s="5" t="s">
        <v>59</v>
      </c>
      <c r="I87" s="5"/>
      <c r="J87" s="5"/>
      <c r="K87" s="5">
        <v>201</v>
      </c>
      <c r="L87" s="5">
        <v>1</v>
      </c>
      <c r="M87" s="5">
        <v>3</v>
      </c>
      <c r="N87" s="5" t="s">
        <v>3</v>
      </c>
      <c r="O87" s="5">
        <v>2</v>
      </c>
      <c r="P87" s="5">
        <f>ROUND(Source!DG85,O87)</f>
        <v>525.98</v>
      </c>
      <c r="Q87" s="5"/>
      <c r="R87" s="5"/>
      <c r="S87" s="5"/>
      <c r="T87" s="5"/>
      <c r="U87" s="5"/>
      <c r="V87" s="5"/>
      <c r="W87" s="5">
        <v>102.97999999999999</v>
      </c>
      <c r="X87" s="5">
        <v>1</v>
      </c>
      <c r="Y87" s="5">
        <v>102.97999999999999</v>
      </c>
      <c r="Z87" s="5">
        <v>1725.95</v>
      </c>
      <c r="AA87" s="5">
        <v>1</v>
      </c>
      <c r="AB87" s="5">
        <v>1725.95</v>
      </c>
    </row>
    <row r="88" spans="1:28" ht="12.75">
      <c r="A88" s="5">
        <v>50</v>
      </c>
      <c r="B88" s="5">
        <v>0</v>
      </c>
      <c r="C88" s="5">
        <v>0</v>
      </c>
      <c r="D88" s="5">
        <v>1</v>
      </c>
      <c r="E88" s="5">
        <v>202</v>
      </c>
      <c r="F88" s="5">
        <f>ROUND(Source!P85,O88)</f>
        <v>0</v>
      </c>
      <c r="G88" s="5" t="s">
        <v>60</v>
      </c>
      <c r="H88" s="5" t="s">
        <v>61</v>
      </c>
      <c r="I88" s="5"/>
      <c r="J88" s="5"/>
      <c r="K88" s="5">
        <v>202</v>
      </c>
      <c r="L88" s="5">
        <v>2</v>
      </c>
      <c r="M88" s="5">
        <v>3</v>
      </c>
      <c r="N88" s="5" t="s">
        <v>3</v>
      </c>
      <c r="O88" s="5">
        <v>2</v>
      </c>
      <c r="P88" s="5">
        <f>ROUND(Source!DH85,O88)</f>
        <v>0</v>
      </c>
      <c r="Q88" s="5"/>
      <c r="R88" s="5"/>
      <c r="S88" s="5"/>
      <c r="T88" s="5"/>
      <c r="U88" s="5"/>
      <c r="V88" s="5"/>
      <c r="W88" s="5">
        <v>0</v>
      </c>
      <c r="X88" s="5">
        <v>1</v>
      </c>
      <c r="Y88" s="5">
        <v>0</v>
      </c>
      <c r="Z88" s="5">
        <v>0</v>
      </c>
      <c r="AA88" s="5">
        <v>1</v>
      </c>
      <c r="AB88" s="5">
        <v>0</v>
      </c>
    </row>
    <row r="89" spans="1:28" ht="12.75">
      <c r="A89" s="5">
        <v>50</v>
      </c>
      <c r="B89" s="5">
        <v>0</v>
      </c>
      <c r="C89" s="5">
        <v>0</v>
      </c>
      <c r="D89" s="5">
        <v>1</v>
      </c>
      <c r="E89" s="5">
        <v>222</v>
      </c>
      <c r="F89" s="5">
        <f>ROUND(Source!AO85,O89)</f>
        <v>0</v>
      </c>
      <c r="G89" s="5" t="s">
        <v>62</v>
      </c>
      <c r="H89" s="5" t="s">
        <v>63</v>
      </c>
      <c r="I89" s="5"/>
      <c r="J89" s="5"/>
      <c r="K89" s="5">
        <v>222</v>
      </c>
      <c r="L89" s="5">
        <v>3</v>
      </c>
      <c r="M89" s="5">
        <v>3</v>
      </c>
      <c r="N89" s="5" t="s">
        <v>3</v>
      </c>
      <c r="O89" s="5">
        <v>2</v>
      </c>
      <c r="P89" s="5">
        <f>ROUND(Source!EG85,O89)</f>
        <v>0</v>
      </c>
      <c r="Q89" s="5"/>
      <c r="R89" s="5"/>
      <c r="S89" s="5"/>
      <c r="T89" s="5"/>
      <c r="U89" s="5"/>
      <c r="V89" s="5"/>
      <c r="W89" s="5">
        <v>0</v>
      </c>
      <c r="X89" s="5">
        <v>1</v>
      </c>
      <c r="Y89" s="5">
        <v>0</v>
      </c>
      <c r="Z89" s="5">
        <v>0</v>
      </c>
      <c r="AA89" s="5">
        <v>1</v>
      </c>
      <c r="AB89" s="5">
        <v>0</v>
      </c>
    </row>
    <row r="90" spans="1:28" ht="12.75">
      <c r="A90" s="5">
        <v>50</v>
      </c>
      <c r="B90" s="5">
        <v>0</v>
      </c>
      <c r="C90" s="5">
        <v>0</v>
      </c>
      <c r="D90" s="5">
        <v>1</v>
      </c>
      <c r="E90" s="5">
        <v>225</v>
      </c>
      <c r="F90" s="5">
        <f>ROUND(Source!AV85,O90)</f>
        <v>0</v>
      </c>
      <c r="G90" s="5" t="s">
        <v>64</v>
      </c>
      <c r="H90" s="5" t="s">
        <v>65</v>
      </c>
      <c r="I90" s="5"/>
      <c r="J90" s="5"/>
      <c r="K90" s="5">
        <v>225</v>
      </c>
      <c r="L90" s="5">
        <v>4</v>
      </c>
      <c r="M90" s="5">
        <v>3</v>
      </c>
      <c r="N90" s="5" t="s">
        <v>3</v>
      </c>
      <c r="O90" s="5">
        <v>2</v>
      </c>
      <c r="P90" s="5">
        <f>ROUND(Source!EN85,O90)</f>
        <v>0</v>
      </c>
      <c r="Q90" s="5"/>
      <c r="R90" s="5"/>
      <c r="S90" s="5"/>
      <c r="T90" s="5"/>
      <c r="U90" s="5"/>
      <c r="V90" s="5"/>
      <c r="W90" s="5">
        <v>0</v>
      </c>
      <c r="X90" s="5">
        <v>1</v>
      </c>
      <c r="Y90" s="5">
        <v>0</v>
      </c>
      <c r="Z90" s="5">
        <v>0</v>
      </c>
      <c r="AA90" s="5">
        <v>1</v>
      </c>
      <c r="AB90" s="5">
        <v>0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226</v>
      </c>
      <c r="F91" s="5">
        <f>ROUND(Source!AW85,O91)</f>
        <v>0</v>
      </c>
      <c r="G91" s="5" t="s">
        <v>66</v>
      </c>
      <c r="H91" s="5" t="s">
        <v>67</v>
      </c>
      <c r="I91" s="5"/>
      <c r="J91" s="5"/>
      <c r="K91" s="5">
        <v>226</v>
      </c>
      <c r="L91" s="5">
        <v>5</v>
      </c>
      <c r="M91" s="5">
        <v>3</v>
      </c>
      <c r="N91" s="5" t="s">
        <v>3</v>
      </c>
      <c r="O91" s="5">
        <v>2</v>
      </c>
      <c r="P91" s="5">
        <f>ROUND(Source!EO85,O91)</f>
        <v>0</v>
      </c>
      <c r="Q91" s="5"/>
      <c r="R91" s="5"/>
      <c r="S91" s="5"/>
      <c r="T91" s="5"/>
      <c r="U91" s="5"/>
      <c r="V91" s="5"/>
      <c r="W91" s="5">
        <v>0</v>
      </c>
      <c r="X91" s="5">
        <v>1</v>
      </c>
      <c r="Y91" s="5">
        <v>0</v>
      </c>
      <c r="Z91" s="5">
        <v>0</v>
      </c>
      <c r="AA91" s="5">
        <v>1</v>
      </c>
      <c r="AB91" s="5">
        <v>0</v>
      </c>
    </row>
    <row r="92" spans="1:28" ht="12.75">
      <c r="A92" s="5">
        <v>50</v>
      </c>
      <c r="B92" s="5">
        <v>0</v>
      </c>
      <c r="C92" s="5">
        <v>0</v>
      </c>
      <c r="D92" s="5">
        <v>1</v>
      </c>
      <c r="E92" s="5">
        <v>227</v>
      </c>
      <c r="F92" s="5">
        <f>ROUND(Source!AX85,O92)</f>
        <v>0</v>
      </c>
      <c r="G92" s="5" t="s">
        <v>68</v>
      </c>
      <c r="H92" s="5" t="s">
        <v>69</v>
      </c>
      <c r="I92" s="5"/>
      <c r="J92" s="5"/>
      <c r="K92" s="5">
        <v>227</v>
      </c>
      <c r="L92" s="5">
        <v>6</v>
      </c>
      <c r="M92" s="5">
        <v>3</v>
      </c>
      <c r="N92" s="5" t="s">
        <v>3</v>
      </c>
      <c r="O92" s="5">
        <v>2</v>
      </c>
      <c r="P92" s="5">
        <f>ROUND(Source!EP85,O92)</f>
        <v>0</v>
      </c>
      <c r="Q92" s="5"/>
      <c r="R92" s="5"/>
      <c r="S92" s="5"/>
      <c r="T92" s="5"/>
      <c r="U92" s="5"/>
      <c r="V92" s="5"/>
      <c r="W92" s="5">
        <v>0</v>
      </c>
      <c r="X92" s="5">
        <v>1</v>
      </c>
      <c r="Y92" s="5">
        <v>0</v>
      </c>
      <c r="Z92" s="5">
        <v>0</v>
      </c>
      <c r="AA92" s="5">
        <v>1</v>
      </c>
      <c r="AB92" s="5">
        <v>0</v>
      </c>
    </row>
    <row r="93" spans="1:28" ht="12.75">
      <c r="A93" s="5">
        <v>50</v>
      </c>
      <c r="B93" s="5">
        <v>0</v>
      </c>
      <c r="C93" s="5">
        <v>0</v>
      </c>
      <c r="D93" s="5">
        <v>1</v>
      </c>
      <c r="E93" s="5">
        <v>228</v>
      </c>
      <c r="F93" s="5">
        <f>ROUND(Source!AY85,O93)</f>
        <v>0</v>
      </c>
      <c r="G93" s="5" t="s">
        <v>70</v>
      </c>
      <c r="H93" s="5" t="s">
        <v>71</v>
      </c>
      <c r="I93" s="5"/>
      <c r="J93" s="5"/>
      <c r="K93" s="5">
        <v>228</v>
      </c>
      <c r="L93" s="5">
        <v>7</v>
      </c>
      <c r="M93" s="5">
        <v>3</v>
      </c>
      <c r="N93" s="5" t="s">
        <v>3</v>
      </c>
      <c r="O93" s="5">
        <v>2</v>
      </c>
      <c r="P93" s="5">
        <f>ROUND(Source!EQ85,O93)</f>
        <v>0</v>
      </c>
      <c r="Q93" s="5"/>
      <c r="R93" s="5"/>
      <c r="S93" s="5"/>
      <c r="T93" s="5"/>
      <c r="U93" s="5"/>
      <c r="V93" s="5"/>
      <c r="W93" s="5">
        <v>0</v>
      </c>
      <c r="X93" s="5">
        <v>1</v>
      </c>
      <c r="Y93" s="5">
        <v>0</v>
      </c>
      <c r="Z93" s="5">
        <v>0</v>
      </c>
      <c r="AA93" s="5">
        <v>1</v>
      </c>
      <c r="AB93" s="5">
        <v>0</v>
      </c>
    </row>
    <row r="94" spans="1:28" ht="12.75">
      <c r="A94" s="5">
        <v>50</v>
      </c>
      <c r="B94" s="5">
        <v>0</v>
      </c>
      <c r="C94" s="5">
        <v>0</v>
      </c>
      <c r="D94" s="5">
        <v>1</v>
      </c>
      <c r="E94" s="5">
        <v>216</v>
      </c>
      <c r="F94" s="5">
        <f>ROUND(Source!AP85,O94)</f>
        <v>0</v>
      </c>
      <c r="G94" s="5" t="s">
        <v>72</v>
      </c>
      <c r="H94" s="5" t="s">
        <v>73</v>
      </c>
      <c r="I94" s="5"/>
      <c r="J94" s="5"/>
      <c r="K94" s="5">
        <v>216</v>
      </c>
      <c r="L94" s="5">
        <v>8</v>
      </c>
      <c r="M94" s="5">
        <v>3</v>
      </c>
      <c r="N94" s="5" t="s">
        <v>3</v>
      </c>
      <c r="O94" s="5">
        <v>2</v>
      </c>
      <c r="P94" s="5">
        <f>ROUND(Source!EH85,O94)</f>
        <v>0</v>
      </c>
      <c r="Q94" s="5"/>
      <c r="R94" s="5"/>
      <c r="S94" s="5"/>
      <c r="T94" s="5"/>
      <c r="U94" s="5"/>
      <c r="V94" s="5"/>
      <c r="W94" s="5">
        <v>0</v>
      </c>
      <c r="X94" s="5">
        <v>1</v>
      </c>
      <c r="Y94" s="5">
        <v>0</v>
      </c>
      <c r="Z94" s="5">
        <v>0</v>
      </c>
      <c r="AA94" s="5">
        <v>1</v>
      </c>
      <c r="AB94" s="5">
        <v>0</v>
      </c>
    </row>
    <row r="95" spans="1:28" ht="12.75">
      <c r="A95" s="5">
        <v>50</v>
      </c>
      <c r="B95" s="5">
        <v>0</v>
      </c>
      <c r="C95" s="5">
        <v>0</v>
      </c>
      <c r="D95" s="5">
        <v>1</v>
      </c>
      <c r="E95" s="5">
        <v>223</v>
      </c>
      <c r="F95" s="5">
        <f>ROUND(Source!AQ85,O95)</f>
        <v>0</v>
      </c>
      <c r="G95" s="5" t="s">
        <v>74</v>
      </c>
      <c r="H95" s="5" t="s">
        <v>75</v>
      </c>
      <c r="I95" s="5"/>
      <c r="J95" s="5"/>
      <c r="K95" s="5">
        <v>223</v>
      </c>
      <c r="L95" s="5">
        <v>9</v>
      </c>
      <c r="M95" s="5">
        <v>3</v>
      </c>
      <c r="N95" s="5" t="s">
        <v>3</v>
      </c>
      <c r="O95" s="5">
        <v>2</v>
      </c>
      <c r="P95" s="5">
        <f>ROUND(Source!EI85,O95)</f>
        <v>0</v>
      </c>
      <c r="Q95" s="5"/>
      <c r="R95" s="5"/>
      <c r="S95" s="5"/>
      <c r="T95" s="5"/>
      <c r="U95" s="5"/>
      <c r="V95" s="5"/>
      <c r="W95" s="5">
        <v>0</v>
      </c>
      <c r="X95" s="5">
        <v>1</v>
      </c>
      <c r="Y95" s="5">
        <v>0</v>
      </c>
      <c r="Z95" s="5">
        <v>0</v>
      </c>
      <c r="AA95" s="5">
        <v>1</v>
      </c>
      <c r="AB95" s="5">
        <v>0</v>
      </c>
    </row>
    <row r="96" spans="1:28" ht="12.75">
      <c r="A96" s="5">
        <v>50</v>
      </c>
      <c r="B96" s="5">
        <v>0</v>
      </c>
      <c r="C96" s="5">
        <v>0</v>
      </c>
      <c r="D96" s="5">
        <v>1</v>
      </c>
      <c r="E96" s="5">
        <v>229</v>
      </c>
      <c r="F96" s="5">
        <f>ROUND(Source!AZ85,O96)</f>
        <v>0</v>
      </c>
      <c r="G96" s="5" t="s">
        <v>76</v>
      </c>
      <c r="H96" s="5" t="s">
        <v>77</v>
      </c>
      <c r="I96" s="5"/>
      <c r="J96" s="5"/>
      <c r="K96" s="5">
        <v>229</v>
      </c>
      <c r="L96" s="5">
        <v>10</v>
      </c>
      <c r="M96" s="5">
        <v>3</v>
      </c>
      <c r="N96" s="5" t="s">
        <v>3</v>
      </c>
      <c r="O96" s="5">
        <v>2</v>
      </c>
      <c r="P96" s="5">
        <f>ROUND(Source!ER85,O96)</f>
        <v>0</v>
      </c>
      <c r="Q96" s="5"/>
      <c r="R96" s="5"/>
      <c r="S96" s="5"/>
      <c r="T96" s="5"/>
      <c r="U96" s="5"/>
      <c r="V96" s="5"/>
      <c r="W96" s="5">
        <v>0</v>
      </c>
      <c r="X96" s="5">
        <v>1</v>
      </c>
      <c r="Y96" s="5">
        <v>0</v>
      </c>
      <c r="Z96" s="5">
        <v>0</v>
      </c>
      <c r="AA96" s="5">
        <v>1</v>
      </c>
      <c r="AB96" s="5">
        <v>0</v>
      </c>
    </row>
    <row r="97" spans="1:28" ht="12.75">
      <c r="A97" s="5">
        <v>50</v>
      </c>
      <c r="B97" s="5">
        <v>0</v>
      </c>
      <c r="C97" s="5">
        <v>0</v>
      </c>
      <c r="D97" s="5">
        <v>1</v>
      </c>
      <c r="E97" s="5">
        <v>203</v>
      </c>
      <c r="F97" s="5">
        <f>ROUND(Source!Q85,O97)</f>
        <v>0</v>
      </c>
      <c r="G97" s="5" t="s">
        <v>78</v>
      </c>
      <c r="H97" s="5" t="s">
        <v>79</v>
      </c>
      <c r="I97" s="5"/>
      <c r="J97" s="5"/>
      <c r="K97" s="5">
        <v>203</v>
      </c>
      <c r="L97" s="5">
        <v>11</v>
      </c>
      <c r="M97" s="5">
        <v>3</v>
      </c>
      <c r="N97" s="5" t="s">
        <v>3</v>
      </c>
      <c r="O97" s="5">
        <v>2</v>
      </c>
      <c r="P97" s="5">
        <f>ROUND(Source!DI85,O97)</f>
        <v>0</v>
      </c>
      <c r="Q97" s="5"/>
      <c r="R97" s="5"/>
      <c r="S97" s="5"/>
      <c r="T97" s="5"/>
      <c r="U97" s="5"/>
      <c r="V97" s="5"/>
      <c r="W97" s="5">
        <v>0</v>
      </c>
      <c r="X97" s="5">
        <v>1</v>
      </c>
      <c r="Y97" s="5">
        <v>0</v>
      </c>
      <c r="Z97" s="5">
        <v>0</v>
      </c>
      <c r="AA97" s="5">
        <v>1</v>
      </c>
      <c r="AB97" s="5">
        <v>0</v>
      </c>
    </row>
    <row r="98" spans="1:28" ht="12.75">
      <c r="A98" s="5">
        <v>50</v>
      </c>
      <c r="B98" s="5">
        <v>0</v>
      </c>
      <c r="C98" s="5">
        <v>0</v>
      </c>
      <c r="D98" s="5">
        <v>1</v>
      </c>
      <c r="E98" s="5">
        <v>231</v>
      </c>
      <c r="F98" s="5">
        <f>ROUND(Source!BB85,O98)</f>
        <v>0</v>
      </c>
      <c r="G98" s="5" t="s">
        <v>80</v>
      </c>
      <c r="H98" s="5" t="s">
        <v>81</v>
      </c>
      <c r="I98" s="5"/>
      <c r="J98" s="5"/>
      <c r="K98" s="5">
        <v>231</v>
      </c>
      <c r="L98" s="5">
        <v>12</v>
      </c>
      <c r="M98" s="5">
        <v>3</v>
      </c>
      <c r="N98" s="5" t="s">
        <v>3</v>
      </c>
      <c r="O98" s="5">
        <v>2</v>
      </c>
      <c r="P98" s="5">
        <f>ROUND(Source!ET85,O98)</f>
        <v>0</v>
      </c>
      <c r="Q98" s="5"/>
      <c r="R98" s="5"/>
      <c r="S98" s="5"/>
      <c r="T98" s="5"/>
      <c r="U98" s="5"/>
      <c r="V98" s="5"/>
      <c r="W98" s="5">
        <v>0</v>
      </c>
      <c r="X98" s="5">
        <v>1</v>
      </c>
      <c r="Y98" s="5">
        <v>0</v>
      </c>
      <c r="Z98" s="5">
        <v>0</v>
      </c>
      <c r="AA98" s="5">
        <v>1</v>
      </c>
      <c r="AB98" s="5">
        <v>0</v>
      </c>
    </row>
    <row r="99" spans="1:28" ht="12.75">
      <c r="A99" s="5">
        <v>50</v>
      </c>
      <c r="B99" s="5">
        <v>0</v>
      </c>
      <c r="C99" s="5">
        <v>0</v>
      </c>
      <c r="D99" s="5">
        <v>1</v>
      </c>
      <c r="E99" s="5">
        <v>204</v>
      </c>
      <c r="F99" s="5">
        <f>ROUND(Source!R85,O99)</f>
        <v>0</v>
      </c>
      <c r="G99" s="5" t="s">
        <v>82</v>
      </c>
      <c r="H99" s="5" t="s">
        <v>83</v>
      </c>
      <c r="I99" s="5"/>
      <c r="J99" s="5"/>
      <c r="K99" s="5">
        <v>204</v>
      </c>
      <c r="L99" s="5">
        <v>13</v>
      </c>
      <c r="M99" s="5">
        <v>3</v>
      </c>
      <c r="N99" s="5" t="s">
        <v>3</v>
      </c>
      <c r="O99" s="5">
        <v>2</v>
      </c>
      <c r="P99" s="5">
        <f>ROUND(Source!DJ85,O99)</f>
        <v>0</v>
      </c>
      <c r="Q99" s="5"/>
      <c r="R99" s="5"/>
      <c r="S99" s="5"/>
      <c r="T99" s="5"/>
      <c r="U99" s="5"/>
      <c r="V99" s="5"/>
      <c r="W99" s="5">
        <v>0</v>
      </c>
      <c r="X99" s="5">
        <v>1</v>
      </c>
      <c r="Y99" s="5">
        <v>0</v>
      </c>
      <c r="Z99" s="5">
        <v>0</v>
      </c>
      <c r="AA99" s="5">
        <v>1</v>
      </c>
      <c r="AB99" s="5">
        <v>0</v>
      </c>
    </row>
    <row r="100" spans="1:28" ht="12.75">
      <c r="A100" s="5">
        <v>50</v>
      </c>
      <c r="B100" s="5">
        <v>0</v>
      </c>
      <c r="C100" s="5">
        <v>0</v>
      </c>
      <c r="D100" s="5">
        <v>1</v>
      </c>
      <c r="E100" s="5">
        <v>205</v>
      </c>
      <c r="F100" s="5">
        <f>ROUND(Source!S85,O100)</f>
        <v>13.63</v>
      </c>
      <c r="G100" s="5" t="s">
        <v>84</v>
      </c>
      <c r="H100" s="5" t="s">
        <v>85</v>
      </c>
      <c r="I100" s="5"/>
      <c r="J100" s="5"/>
      <c r="K100" s="5">
        <v>205</v>
      </c>
      <c r="L100" s="5">
        <v>14</v>
      </c>
      <c r="M100" s="5">
        <v>3</v>
      </c>
      <c r="N100" s="5" t="s">
        <v>3</v>
      </c>
      <c r="O100" s="5">
        <v>2</v>
      </c>
      <c r="P100" s="5">
        <f>ROUND(Source!DK85,O100)</f>
        <v>525.98</v>
      </c>
      <c r="Q100" s="5"/>
      <c r="R100" s="5"/>
      <c r="S100" s="5"/>
      <c r="T100" s="5"/>
      <c r="U100" s="5"/>
      <c r="V100" s="5"/>
      <c r="W100" s="5">
        <v>13.63</v>
      </c>
      <c r="X100" s="5">
        <v>1</v>
      </c>
      <c r="Y100" s="5">
        <v>13.63</v>
      </c>
      <c r="Z100" s="5">
        <v>525.98</v>
      </c>
      <c r="AA100" s="5">
        <v>1</v>
      </c>
      <c r="AB100" s="5">
        <v>525.98</v>
      </c>
    </row>
    <row r="101" spans="1:28" ht="12.75">
      <c r="A101" s="5">
        <v>50</v>
      </c>
      <c r="B101" s="5">
        <v>0</v>
      </c>
      <c r="C101" s="5">
        <v>0</v>
      </c>
      <c r="D101" s="5">
        <v>1</v>
      </c>
      <c r="E101" s="5">
        <v>232</v>
      </c>
      <c r="F101" s="5">
        <f>ROUND(Source!BC85,O101)</f>
        <v>0</v>
      </c>
      <c r="G101" s="5" t="s">
        <v>86</v>
      </c>
      <c r="H101" s="5" t="s">
        <v>87</v>
      </c>
      <c r="I101" s="5"/>
      <c r="J101" s="5"/>
      <c r="K101" s="5">
        <v>232</v>
      </c>
      <c r="L101" s="5">
        <v>15</v>
      </c>
      <c r="M101" s="5">
        <v>3</v>
      </c>
      <c r="N101" s="5" t="s">
        <v>3</v>
      </c>
      <c r="O101" s="5">
        <v>2</v>
      </c>
      <c r="P101" s="5">
        <f>ROUND(Source!EU85,O101)</f>
        <v>0</v>
      </c>
      <c r="Q101" s="5"/>
      <c r="R101" s="5"/>
      <c r="S101" s="5"/>
      <c r="T101" s="5"/>
      <c r="U101" s="5"/>
      <c r="V101" s="5"/>
      <c r="W101" s="5">
        <v>0</v>
      </c>
      <c r="X101" s="5">
        <v>1</v>
      </c>
      <c r="Y101" s="5">
        <v>0</v>
      </c>
      <c r="Z101" s="5">
        <v>0</v>
      </c>
      <c r="AA101" s="5">
        <v>1</v>
      </c>
      <c r="AB101" s="5">
        <v>0</v>
      </c>
    </row>
    <row r="102" spans="1:28" ht="12.75">
      <c r="A102" s="5">
        <v>50</v>
      </c>
      <c r="B102" s="5">
        <v>0</v>
      </c>
      <c r="C102" s="5">
        <v>0</v>
      </c>
      <c r="D102" s="5">
        <v>1</v>
      </c>
      <c r="E102" s="5">
        <v>214</v>
      </c>
      <c r="F102" s="5">
        <f>ROUND(Source!AS85,O102)</f>
        <v>121.52</v>
      </c>
      <c r="G102" s="5" t="s">
        <v>88</v>
      </c>
      <c r="H102" s="5" t="s">
        <v>89</v>
      </c>
      <c r="I102" s="5"/>
      <c r="J102" s="5"/>
      <c r="K102" s="5">
        <v>214</v>
      </c>
      <c r="L102" s="5">
        <v>16</v>
      </c>
      <c r="M102" s="5">
        <v>3</v>
      </c>
      <c r="N102" s="5" t="s">
        <v>3</v>
      </c>
      <c r="O102" s="5">
        <v>2</v>
      </c>
      <c r="P102" s="5">
        <f>ROUND(Source!EK85,O102)</f>
        <v>2441.28</v>
      </c>
      <c r="Q102" s="5"/>
      <c r="R102" s="5"/>
      <c r="S102" s="5"/>
      <c r="T102" s="5"/>
      <c r="U102" s="5"/>
      <c r="V102" s="5"/>
      <c r="W102" s="5">
        <v>121.52</v>
      </c>
      <c r="X102" s="5">
        <v>1</v>
      </c>
      <c r="Y102" s="5">
        <v>121.52</v>
      </c>
      <c r="Z102" s="5">
        <v>2441.28</v>
      </c>
      <c r="AA102" s="5">
        <v>1</v>
      </c>
      <c r="AB102" s="5">
        <v>2441.28</v>
      </c>
    </row>
    <row r="103" spans="1:28" ht="12.75">
      <c r="A103" s="5">
        <v>50</v>
      </c>
      <c r="B103" s="5">
        <v>0</v>
      </c>
      <c r="C103" s="5">
        <v>0</v>
      </c>
      <c r="D103" s="5">
        <v>1</v>
      </c>
      <c r="E103" s="5">
        <v>215</v>
      </c>
      <c r="F103" s="5">
        <f>ROUND(Source!AT85,O103)</f>
        <v>0</v>
      </c>
      <c r="G103" s="5" t="s">
        <v>90</v>
      </c>
      <c r="H103" s="5" t="s">
        <v>91</v>
      </c>
      <c r="I103" s="5"/>
      <c r="J103" s="5"/>
      <c r="K103" s="5">
        <v>215</v>
      </c>
      <c r="L103" s="5">
        <v>17</v>
      </c>
      <c r="M103" s="5">
        <v>3</v>
      </c>
      <c r="N103" s="5" t="s">
        <v>3</v>
      </c>
      <c r="O103" s="5">
        <v>2</v>
      </c>
      <c r="P103" s="5">
        <f>ROUND(Source!EL85,O103)</f>
        <v>0</v>
      </c>
      <c r="Q103" s="5"/>
      <c r="R103" s="5"/>
      <c r="S103" s="5"/>
      <c r="T103" s="5"/>
      <c r="U103" s="5"/>
      <c r="V103" s="5"/>
      <c r="W103" s="5">
        <v>0</v>
      </c>
      <c r="X103" s="5">
        <v>1</v>
      </c>
      <c r="Y103" s="5">
        <v>0</v>
      </c>
      <c r="Z103" s="5">
        <v>0</v>
      </c>
      <c r="AA103" s="5">
        <v>1</v>
      </c>
      <c r="AB103" s="5">
        <v>0</v>
      </c>
    </row>
    <row r="104" spans="1:28" ht="12.75">
      <c r="A104" s="5">
        <v>50</v>
      </c>
      <c r="B104" s="5">
        <v>0</v>
      </c>
      <c r="C104" s="5">
        <v>0</v>
      </c>
      <c r="D104" s="5">
        <v>1</v>
      </c>
      <c r="E104" s="5">
        <v>217</v>
      </c>
      <c r="F104" s="5">
        <f>ROUND(Source!AU85,O104)</f>
        <v>0</v>
      </c>
      <c r="G104" s="5" t="s">
        <v>92</v>
      </c>
      <c r="H104" s="5" t="s">
        <v>93</v>
      </c>
      <c r="I104" s="5"/>
      <c r="J104" s="5"/>
      <c r="K104" s="5">
        <v>217</v>
      </c>
      <c r="L104" s="5">
        <v>18</v>
      </c>
      <c r="M104" s="5">
        <v>3</v>
      </c>
      <c r="N104" s="5" t="s">
        <v>3</v>
      </c>
      <c r="O104" s="5">
        <v>2</v>
      </c>
      <c r="P104" s="5">
        <f>ROUND(Source!EM85,O104)</f>
        <v>0</v>
      </c>
      <c r="Q104" s="5"/>
      <c r="R104" s="5"/>
      <c r="S104" s="5"/>
      <c r="T104" s="5"/>
      <c r="U104" s="5"/>
      <c r="V104" s="5"/>
      <c r="W104" s="5">
        <v>0</v>
      </c>
      <c r="X104" s="5">
        <v>1</v>
      </c>
      <c r="Y104" s="5">
        <v>0</v>
      </c>
      <c r="Z104" s="5">
        <v>0</v>
      </c>
      <c r="AA104" s="5">
        <v>1</v>
      </c>
      <c r="AB104" s="5">
        <v>0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230</v>
      </c>
      <c r="F105" s="5">
        <f>ROUND(Source!BA85,O105)</f>
        <v>0</v>
      </c>
      <c r="G105" s="5" t="s">
        <v>94</v>
      </c>
      <c r="H105" s="5" t="s">
        <v>95</v>
      </c>
      <c r="I105" s="5"/>
      <c r="J105" s="5"/>
      <c r="K105" s="5">
        <v>230</v>
      </c>
      <c r="L105" s="5">
        <v>19</v>
      </c>
      <c r="M105" s="5">
        <v>3</v>
      </c>
      <c r="N105" s="5" t="s">
        <v>3</v>
      </c>
      <c r="O105" s="5">
        <v>2</v>
      </c>
      <c r="P105" s="5">
        <f>ROUND(Source!ES85,O105)</f>
        <v>0</v>
      </c>
      <c r="Q105" s="5"/>
      <c r="R105" s="5"/>
      <c r="S105" s="5"/>
      <c r="T105" s="5"/>
      <c r="U105" s="5"/>
      <c r="V105" s="5"/>
      <c r="W105" s="5">
        <v>0</v>
      </c>
      <c r="X105" s="5">
        <v>1</v>
      </c>
      <c r="Y105" s="5">
        <v>0</v>
      </c>
      <c r="Z105" s="5">
        <v>0</v>
      </c>
      <c r="AA105" s="5">
        <v>1</v>
      </c>
      <c r="AB105" s="5">
        <v>0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206</v>
      </c>
      <c r="F106" s="5">
        <f>ROUND(Source!T85,O106)</f>
        <v>0</v>
      </c>
      <c r="G106" s="5" t="s">
        <v>96</v>
      </c>
      <c r="H106" s="5" t="s">
        <v>97</v>
      </c>
      <c r="I106" s="5"/>
      <c r="J106" s="5"/>
      <c r="K106" s="5">
        <v>206</v>
      </c>
      <c r="L106" s="5">
        <v>20</v>
      </c>
      <c r="M106" s="5">
        <v>3</v>
      </c>
      <c r="N106" s="5" t="s">
        <v>3</v>
      </c>
      <c r="O106" s="5">
        <v>2</v>
      </c>
      <c r="P106" s="5">
        <f>ROUND(Source!DL85,O106)</f>
        <v>0</v>
      </c>
      <c r="Q106" s="5"/>
      <c r="R106" s="5"/>
      <c r="S106" s="5"/>
      <c r="T106" s="5"/>
      <c r="U106" s="5"/>
      <c r="V106" s="5"/>
      <c r="W106" s="5">
        <v>0</v>
      </c>
      <c r="X106" s="5">
        <v>1</v>
      </c>
      <c r="Y106" s="5">
        <v>0</v>
      </c>
      <c r="Z106" s="5">
        <v>0</v>
      </c>
      <c r="AA106" s="5">
        <v>1</v>
      </c>
      <c r="AB106" s="5">
        <v>0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207</v>
      </c>
      <c r="F107" s="5">
        <f>Source!U85</f>
        <v>1.8800000000000001</v>
      </c>
      <c r="G107" s="5" t="s">
        <v>98</v>
      </c>
      <c r="H107" s="5" t="s">
        <v>99</v>
      </c>
      <c r="I107" s="5"/>
      <c r="J107" s="5"/>
      <c r="K107" s="5">
        <v>207</v>
      </c>
      <c r="L107" s="5">
        <v>21</v>
      </c>
      <c r="M107" s="5">
        <v>3</v>
      </c>
      <c r="N107" s="5" t="s">
        <v>3</v>
      </c>
      <c r="O107" s="5">
        <v>-1</v>
      </c>
      <c r="P107" s="5">
        <f>Source!DM85</f>
        <v>1.8800000000000001</v>
      </c>
      <c r="Q107" s="5"/>
      <c r="R107" s="5"/>
      <c r="S107" s="5"/>
      <c r="T107" s="5"/>
      <c r="U107" s="5"/>
      <c r="V107" s="5"/>
      <c r="W107" s="5">
        <v>1.88</v>
      </c>
      <c r="X107" s="5">
        <v>1</v>
      </c>
      <c r="Y107" s="5">
        <v>1.88</v>
      </c>
      <c r="Z107" s="5">
        <v>1.88</v>
      </c>
      <c r="AA107" s="5">
        <v>1</v>
      </c>
      <c r="AB107" s="5">
        <v>1.88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208</v>
      </c>
      <c r="F108" s="5">
        <f>Source!V85</f>
        <v>0</v>
      </c>
      <c r="G108" s="5" t="s">
        <v>100</v>
      </c>
      <c r="H108" s="5" t="s">
        <v>101</v>
      </c>
      <c r="I108" s="5"/>
      <c r="J108" s="5"/>
      <c r="K108" s="5">
        <v>208</v>
      </c>
      <c r="L108" s="5">
        <v>22</v>
      </c>
      <c r="M108" s="5">
        <v>3</v>
      </c>
      <c r="N108" s="5" t="s">
        <v>3</v>
      </c>
      <c r="O108" s="5">
        <v>-1</v>
      </c>
      <c r="P108" s="5">
        <f>Source!DN85</f>
        <v>0</v>
      </c>
      <c r="Q108" s="5"/>
      <c r="R108" s="5"/>
      <c r="S108" s="5"/>
      <c r="T108" s="5"/>
      <c r="U108" s="5"/>
      <c r="V108" s="5"/>
      <c r="W108" s="5">
        <v>0</v>
      </c>
      <c r="X108" s="5">
        <v>1</v>
      </c>
      <c r="Y108" s="5">
        <v>0</v>
      </c>
      <c r="Z108" s="5">
        <v>0</v>
      </c>
      <c r="AA108" s="5">
        <v>1</v>
      </c>
      <c r="AB108" s="5">
        <v>0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209</v>
      </c>
      <c r="F109" s="5">
        <f>ROUND(Source!W85,O109)</f>
        <v>0</v>
      </c>
      <c r="G109" s="5" t="s">
        <v>102</v>
      </c>
      <c r="H109" s="5" t="s">
        <v>103</v>
      </c>
      <c r="I109" s="5"/>
      <c r="J109" s="5"/>
      <c r="K109" s="5">
        <v>209</v>
      </c>
      <c r="L109" s="5">
        <v>23</v>
      </c>
      <c r="M109" s="5">
        <v>3</v>
      </c>
      <c r="N109" s="5" t="s">
        <v>3</v>
      </c>
      <c r="O109" s="5">
        <v>2</v>
      </c>
      <c r="P109" s="5">
        <f>ROUND(Source!DO85,O109)</f>
        <v>0</v>
      </c>
      <c r="Q109" s="5"/>
      <c r="R109" s="5"/>
      <c r="S109" s="5"/>
      <c r="T109" s="5"/>
      <c r="U109" s="5"/>
      <c r="V109" s="5"/>
      <c r="W109" s="5">
        <v>0</v>
      </c>
      <c r="X109" s="5">
        <v>1</v>
      </c>
      <c r="Y109" s="5">
        <v>0</v>
      </c>
      <c r="Z109" s="5">
        <v>0</v>
      </c>
      <c r="AA109" s="5">
        <v>1</v>
      </c>
      <c r="AB109" s="5">
        <v>0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233</v>
      </c>
      <c r="F110" s="5">
        <f>ROUND(Source!BD85,O110)</f>
        <v>89.35</v>
      </c>
      <c r="G110" s="5" t="s">
        <v>104</v>
      </c>
      <c r="H110" s="5" t="s">
        <v>105</v>
      </c>
      <c r="I110" s="5"/>
      <c r="J110" s="5"/>
      <c r="K110" s="5">
        <v>233</v>
      </c>
      <c r="L110" s="5">
        <v>24</v>
      </c>
      <c r="M110" s="5">
        <v>3</v>
      </c>
      <c r="N110" s="5" t="s">
        <v>3</v>
      </c>
      <c r="O110" s="5">
        <v>2</v>
      </c>
      <c r="P110" s="5">
        <f>ROUND(Source!EV85,O110)</f>
        <v>1199.97</v>
      </c>
      <c r="Q110" s="5"/>
      <c r="R110" s="5"/>
      <c r="S110" s="5"/>
      <c r="T110" s="5"/>
      <c r="U110" s="5"/>
      <c r="V110" s="5"/>
      <c r="W110" s="5">
        <v>89.35</v>
      </c>
      <c r="X110" s="5">
        <v>1</v>
      </c>
      <c r="Y110" s="5">
        <v>89.35</v>
      </c>
      <c r="Z110" s="5">
        <v>1199.97</v>
      </c>
      <c r="AA110" s="5">
        <v>1</v>
      </c>
      <c r="AB110" s="5">
        <v>1199.97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210</v>
      </c>
      <c r="F111" s="5">
        <f>ROUND(Source!X85,O111)</f>
        <v>12.54</v>
      </c>
      <c r="G111" s="5" t="s">
        <v>106</v>
      </c>
      <c r="H111" s="5" t="s">
        <v>107</v>
      </c>
      <c r="I111" s="5"/>
      <c r="J111" s="5"/>
      <c r="K111" s="5">
        <v>210</v>
      </c>
      <c r="L111" s="5">
        <v>25</v>
      </c>
      <c r="M111" s="5">
        <v>3</v>
      </c>
      <c r="N111" s="5" t="s">
        <v>3</v>
      </c>
      <c r="O111" s="5">
        <v>2</v>
      </c>
      <c r="P111" s="5">
        <f>ROUND(Source!DP85,O111)</f>
        <v>483.9</v>
      </c>
      <c r="Q111" s="5"/>
      <c r="R111" s="5"/>
      <c r="S111" s="5"/>
      <c r="T111" s="5"/>
      <c r="U111" s="5"/>
      <c r="V111" s="5"/>
      <c r="W111" s="5">
        <v>12.54</v>
      </c>
      <c r="X111" s="5">
        <v>1</v>
      </c>
      <c r="Y111" s="5">
        <v>12.54</v>
      </c>
      <c r="Z111" s="5">
        <v>483.9</v>
      </c>
      <c r="AA111" s="5">
        <v>1</v>
      </c>
      <c r="AB111" s="5">
        <v>483.9</v>
      </c>
    </row>
    <row r="112" spans="1:28" ht="12.75">
      <c r="A112" s="5">
        <v>50</v>
      </c>
      <c r="B112" s="5">
        <v>0</v>
      </c>
      <c r="C112" s="5">
        <v>0</v>
      </c>
      <c r="D112" s="5">
        <v>1</v>
      </c>
      <c r="E112" s="5">
        <v>211</v>
      </c>
      <c r="F112" s="5">
        <f>ROUND(Source!Y85,O112)</f>
        <v>6</v>
      </c>
      <c r="G112" s="5" t="s">
        <v>108</v>
      </c>
      <c r="H112" s="5" t="s">
        <v>109</v>
      </c>
      <c r="I112" s="5"/>
      <c r="J112" s="5"/>
      <c r="K112" s="5">
        <v>211</v>
      </c>
      <c r="L112" s="5">
        <v>26</v>
      </c>
      <c r="M112" s="5">
        <v>3</v>
      </c>
      <c r="N112" s="5" t="s">
        <v>3</v>
      </c>
      <c r="O112" s="5">
        <v>2</v>
      </c>
      <c r="P112" s="5">
        <f>ROUND(Source!DQ85,O112)</f>
        <v>231.43</v>
      </c>
      <c r="Q112" s="5"/>
      <c r="R112" s="5"/>
      <c r="S112" s="5"/>
      <c r="T112" s="5"/>
      <c r="U112" s="5"/>
      <c r="V112" s="5"/>
      <c r="W112" s="5">
        <v>6</v>
      </c>
      <c r="X112" s="5">
        <v>1</v>
      </c>
      <c r="Y112" s="5">
        <v>6</v>
      </c>
      <c r="Z112" s="5">
        <v>231.43</v>
      </c>
      <c r="AA112" s="5">
        <v>1</v>
      </c>
      <c r="AB112" s="5">
        <v>231.43</v>
      </c>
    </row>
    <row r="113" spans="1:28" ht="12.75">
      <c r="A113" s="5">
        <v>50</v>
      </c>
      <c r="B113" s="5">
        <v>0</v>
      </c>
      <c r="C113" s="5">
        <v>0</v>
      </c>
      <c r="D113" s="5">
        <v>1</v>
      </c>
      <c r="E113" s="5">
        <v>224</v>
      </c>
      <c r="F113" s="5">
        <f>ROUND(Source!AR85,O113)</f>
        <v>121.52</v>
      </c>
      <c r="G113" s="5" t="s">
        <v>110</v>
      </c>
      <c r="H113" s="5" t="s">
        <v>111</v>
      </c>
      <c r="I113" s="5"/>
      <c r="J113" s="5"/>
      <c r="K113" s="5">
        <v>224</v>
      </c>
      <c r="L113" s="5">
        <v>27</v>
      </c>
      <c r="M113" s="5">
        <v>3</v>
      </c>
      <c r="N113" s="5" t="s">
        <v>3</v>
      </c>
      <c r="O113" s="5">
        <v>2</v>
      </c>
      <c r="P113" s="5">
        <f>ROUND(Source!EJ85,O113)</f>
        <v>2441.28</v>
      </c>
      <c r="Q113" s="5"/>
      <c r="R113" s="5"/>
      <c r="S113" s="5"/>
      <c r="T113" s="5"/>
      <c r="U113" s="5"/>
      <c r="V113" s="5"/>
      <c r="W113" s="5">
        <v>121.51999999999998</v>
      </c>
      <c r="X113" s="5">
        <v>1</v>
      </c>
      <c r="Y113" s="5">
        <v>121.51999999999998</v>
      </c>
      <c r="Z113" s="5">
        <v>2441.2799999999997</v>
      </c>
      <c r="AA113" s="5">
        <v>1</v>
      </c>
      <c r="AB113" s="5">
        <v>2441.2799999999997</v>
      </c>
    </row>
    <row r="114" spans="1:28" ht="12.75">
      <c r="A114" s="5">
        <v>50</v>
      </c>
      <c r="B114" s="5">
        <v>0</v>
      </c>
      <c r="C114" s="5">
        <v>0</v>
      </c>
      <c r="D114" s="5">
        <v>2</v>
      </c>
      <c r="E114" s="5">
        <v>0</v>
      </c>
      <c r="F114" s="5">
        <f>ROUND(F113,O114)</f>
        <v>121.52</v>
      </c>
      <c r="G114" s="5" t="s">
        <v>112</v>
      </c>
      <c r="H114" s="5" t="s">
        <v>113</v>
      </c>
      <c r="I114" s="5"/>
      <c r="J114" s="5"/>
      <c r="K114" s="5">
        <v>212</v>
      </c>
      <c r="L114" s="5">
        <v>28</v>
      </c>
      <c r="M114" s="5">
        <v>3</v>
      </c>
      <c r="N114" s="5" t="s">
        <v>3</v>
      </c>
      <c r="O114" s="5">
        <v>2</v>
      </c>
      <c r="P114" s="5">
        <f>ROUND(P113,O114)</f>
        <v>2441.28</v>
      </c>
      <c r="Q114" s="5"/>
      <c r="R114" s="5"/>
      <c r="S114" s="5"/>
      <c r="T114" s="5"/>
      <c r="U114" s="5"/>
      <c r="V114" s="5"/>
      <c r="W114" s="5">
        <v>121.52</v>
      </c>
      <c r="X114" s="5">
        <v>1</v>
      </c>
      <c r="Y114" s="5">
        <v>121.52</v>
      </c>
      <c r="Z114" s="5">
        <v>2441.28</v>
      </c>
      <c r="AA114" s="5">
        <v>1</v>
      </c>
      <c r="AB114" s="5">
        <v>2441.28</v>
      </c>
    </row>
    <row r="116" spans="1:206" ht="12.75">
      <c r="A116" s="3">
        <v>51</v>
      </c>
      <c r="B116" s="3">
        <f>B20</f>
        <v>1</v>
      </c>
      <c r="C116" s="3">
        <f>A20</f>
        <v>3</v>
      </c>
      <c r="D116" s="3">
        <f>ROW(A20)</f>
        <v>20</v>
      </c>
      <c r="E116" s="3"/>
      <c r="F116" s="3">
        <f>IF(F20&lt;&gt;"",F20,"")</f>
      </c>
      <c r="G116" s="3">
        <f>IF(G20&lt;&gt;"",G20,"")</f>
      </c>
      <c r="H116" s="3">
        <v>0</v>
      </c>
      <c r="I116" s="3"/>
      <c r="J116" s="3"/>
      <c r="K116" s="3"/>
      <c r="L116" s="3"/>
      <c r="M116" s="3"/>
      <c r="N116" s="3"/>
      <c r="O116" s="3">
        <f aca="true" t="shared" si="82" ref="O116:T116">ROUND(O41+O85+AB116,2)</f>
        <v>1084003.24</v>
      </c>
      <c r="P116" s="3">
        <f t="shared" si="82"/>
        <v>1082342.3</v>
      </c>
      <c r="Q116" s="3">
        <f t="shared" si="82"/>
        <v>20.33</v>
      </c>
      <c r="R116" s="3">
        <f t="shared" si="82"/>
        <v>5.27</v>
      </c>
      <c r="S116" s="3">
        <f t="shared" si="82"/>
        <v>1640.61</v>
      </c>
      <c r="T116" s="3">
        <f t="shared" si="82"/>
        <v>0</v>
      </c>
      <c r="U116" s="3">
        <f>U41+U85+AH116</f>
        <v>185.5115</v>
      </c>
      <c r="V116" s="3">
        <f>V41+V85+AI116</f>
        <v>0.41925</v>
      </c>
      <c r="W116" s="3">
        <f>ROUND(W41+W85+AJ116,2)</f>
        <v>0</v>
      </c>
      <c r="X116" s="3">
        <f>ROUND(X41+X85+AK116,2)</f>
        <v>1481.57</v>
      </c>
      <c r="Y116" s="3">
        <f>ROUND(Y41+Y85+AL116,2)</f>
        <v>740.51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>
        <f aca="true" t="shared" si="83" ref="AO116:BD116">ROUND(AO41+AO85+BX116,2)</f>
        <v>0</v>
      </c>
      <c r="AP116" s="3">
        <f t="shared" si="83"/>
        <v>0</v>
      </c>
      <c r="AQ116" s="3">
        <f t="shared" si="83"/>
        <v>0</v>
      </c>
      <c r="AR116" s="3">
        <f t="shared" si="83"/>
        <v>1086314.67</v>
      </c>
      <c r="AS116" s="3">
        <f t="shared" si="83"/>
        <v>1086314.67</v>
      </c>
      <c r="AT116" s="3">
        <f t="shared" si="83"/>
        <v>0</v>
      </c>
      <c r="AU116" s="3">
        <f t="shared" si="83"/>
        <v>0</v>
      </c>
      <c r="AV116" s="3">
        <f t="shared" si="83"/>
        <v>1082342.3</v>
      </c>
      <c r="AW116" s="3">
        <f t="shared" si="83"/>
        <v>1082342.3</v>
      </c>
      <c r="AX116" s="3">
        <f t="shared" si="83"/>
        <v>0</v>
      </c>
      <c r="AY116" s="3">
        <f t="shared" si="83"/>
        <v>1082342.3</v>
      </c>
      <c r="AZ116" s="3">
        <f t="shared" si="83"/>
        <v>0</v>
      </c>
      <c r="BA116" s="3">
        <f t="shared" si="83"/>
        <v>0</v>
      </c>
      <c r="BB116" s="3">
        <f t="shared" si="83"/>
        <v>0</v>
      </c>
      <c r="BC116" s="3">
        <f t="shared" si="83"/>
        <v>0</v>
      </c>
      <c r="BD116" s="3">
        <f t="shared" si="83"/>
        <v>89.35</v>
      </c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4">
        <f aca="true" t="shared" si="84" ref="DG116:DL116">ROUND(DG41+DG85+DT116,2)</f>
        <v>1145928.09</v>
      </c>
      <c r="DH116" s="4">
        <f t="shared" si="84"/>
        <v>1082344.06</v>
      </c>
      <c r="DI116" s="4">
        <f t="shared" si="84"/>
        <v>273.08</v>
      </c>
      <c r="DJ116" s="4">
        <f t="shared" si="84"/>
        <v>203.21</v>
      </c>
      <c r="DK116" s="4">
        <f t="shared" si="84"/>
        <v>63310.95</v>
      </c>
      <c r="DL116" s="4">
        <f t="shared" si="84"/>
        <v>0</v>
      </c>
      <c r="DM116" s="4">
        <f>DM41+DM85+DZ116</f>
        <v>185.5115</v>
      </c>
      <c r="DN116" s="4">
        <f>DN41+DN85+EA116</f>
        <v>0.41925</v>
      </c>
      <c r="DO116" s="4">
        <f>ROUND(DO41+DO85+EB116,2)</f>
        <v>0</v>
      </c>
      <c r="DP116" s="4">
        <f>ROUND(DP41+DP85+EC116,2)</f>
        <v>57173.26</v>
      </c>
      <c r="DQ116" s="4">
        <f>ROUND(DQ41+DQ85+ED116,2)</f>
        <v>28576.11</v>
      </c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>
        <f aca="true" t="shared" si="85" ref="EG116:EV116">ROUND(EG41+EG85+FP116,2)</f>
        <v>0</v>
      </c>
      <c r="EH116" s="4">
        <f t="shared" si="85"/>
        <v>0</v>
      </c>
      <c r="EI116" s="4">
        <f t="shared" si="85"/>
        <v>0</v>
      </c>
      <c r="EJ116" s="4">
        <f t="shared" si="85"/>
        <v>1232877.43</v>
      </c>
      <c r="EK116" s="4">
        <f t="shared" si="85"/>
        <v>1232877.43</v>
      </c>
      <c r="EL116" s="4">
        <f t="shared" si="85"/>
        <v>0</v>
      </c>
      <c r="EM116" s="4">
        <f t="shared" si="85"/>
        <v>0</v>
      </c>
      <c r="EN116" s="4">
        <f t="shared" si="85"/>
        <v>1082344.06</v>
      </c>
      <c r="EO116" s="4">
        <f t="shared" si="85"/>
        <v>1082344.06</v>
      </c>
      <c r="EP116" s="4">
        <f t="shared" si="85"/>
        <v>0</v>
      </c>
      <c r="EQ116" s="4">
        <f t="shared" si="85"/>
        <v>1082344.06</v>
      </c>
      <c r="ER116" s="4">
        <f t="shared" si="85"/>
        <v>0</v>
      </c>
      <c r="ES116" s="4">
        <f t="shared" si="85"/>
        <v>0</v>
      </c>
      <c r="ET116" s="4">
        <f t="shared" si="85"/>
        <v>0</v>
      </c>
      <c r="EU116" s="4">
        <f t="shared" si="85"/>
        <v>0</v>
      </c>
      <c r="EV116" s="4">
        <f t="shared" si="85"/>
        <v>1199.97</v>
      </c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>
        <v>0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201</v>
      </c>
      <c r="F118" s="5">
        <f>ROUND(Source!O116,O118)</f>
        <v>1084003.24</v>
      </c>
      <c r="G118" s="5" t="s">
        <v>58</v>
      </c>
      <c r="H118" s="5" t="s">
        <v>59</v>
      </c>
      <c r="I118" s="5"/>
      <c r="J118" s="5"/>
      <c r="K118" s="5">
        <v>201</v>
      </c>
      <c r="L118" s="5">
        <v>1</v>
      </c>
      <c r="M118" s="5">
        <v>3</v>
      </c>
      <c r="N118" s="5" t="s">
        <v>3</v>
      </c>
      <c r="O118" s="5">
        <v>2</v>
      </c>
      <c r="P118" s="5">
        <f>ROUND(Source!DG116,O118)</f>
        <v>1145928.09</v>
      </c>
      <c r="Q118" s="5"/>
      <c r="R118" s="5"/>
      <c r="S118" s="5"/>
      <c r="T118" s="5"/>
      <c r="U118" s="5"/>
      <c r="V118" s="5"/>
      <c r="W118" s="5">
        <v>1084092.59</v>
      </c>
      <c r="X118" s="5">
        <v>1</v>
      </c>
      <c r="Y118" s="5">
        <v>1084092.59</v>
      </c>
      <c r="Z118" s="5">
        <v>1147128.06</v>
      </c>
      <c r="AA118" s="5">
        <v>1</v>
      </c>
      <c r="AB118" s="5">
        <v>1147128.06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202</v>
      </c>
      <c r="F119" s="5">
        <f>ROUND(Source!P116,O119)</f>
        <v>1082342.3</v>
      </c>
      <c r="G119" s="5" t="s">
        <v>60</v>
      </c>
      <c r="H119" s="5" t="s">
        <v>61</v>
      </c>
      <c r="I119" s="5"/>
      <c r="J119" s="5"/>
      <c r="K119" s="5">
        <v>202</v>
      </c>
      <c r="L119" s="5">
        <v>2</v>
      </c>
      <c r="M119" s="5">
        <v>3</v>
      </c>
      <c r="N119" s="5" t="s">
        <v>3</v>
      </c>
      <c r="O119" s="5">
        <v>2</v>
      </c>
      <c r="P119" s="5">
        <f>ROUND(Source!DH116,O119)</f>
        <v>1082344.06</v>
      </c>
      <c r="Q119" s="5"/>
      <c r="R119" s="5"/>
      <c r="S119" s="5"/>
      <c r="T119" s="5"/>
      <c r="U119" s="5"/>
      <c r="V119" s="5"/>
      <c r="W119" s="5">
        <v>1082342.3</v>
      </c>
      <c r="X119" s="5">
        <v>1</v>
      </c>
      <c r="Y119" s="5">
        <v>1082342.3</v>
      </c>
      <c r="Z119" s="5">
        <v>1082344.06</v>
      </c>
      <c r="AA119" s="5">
        <v>1</v>
      </c>
      <c r="AB119" s="5">
        <v>1082344.06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222</v>
      </c>
      <c r="F120" s="5">
        <f>ROUND(Source!AO116,O120)</f>
        <v>0</v>
      </c>
      <c r="G120" s="5" t="s">
        <v>62</v>
      </c>
      <c r="H120" s="5" t="s">
        <v>63</v>
      </c>
      <c r="I120" s="5"/>
      <c r="J120" s="5"/>
      <c r="K120" s="5">
        <v>222</v>
      </c>
      <c r="L120" s="5">
        <v>3</v>
      </c>
      <c r="M120" s="5">
        <v>3</v>
      </c>
      <c r="N120" s="5" t="s">
        <v>3</v>
      </c>
      <c r="O120" s="5">
        <v>2</v>
      </c>
      <c r="P120" s="5">
        <f>ROUND(Source!EG116,O120)</f>
        <v>0</v>
      </c>
      <c r="Q120" s="5"/>
      <c r="R120" s="5"/>
      <c r="S120" s="5"/>
      <c r="T120" s="5"/>
      <c r="U120" s="5"/>
      <c r="V120" s="5"/>
      <c r="W120" s="5">
        <v>0</v>
      </c>
      <c r="X120" s="5">
        <v>1</v>
      </c>
      <c r="Y120" s="5">
        <v>0</v>
      </c>
      <c r="Z120" s="5">
        <v>0</v>
      </c>
      <c r="AA120" s="5">
        <v>1</v>
      </c>
      <c r="AB120" s="5">
        <v>0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225</v>
      </c>
      <c r="F121" s="5">
        <f>ROUND(Source!AV116,O121)</f>
        <v>1082342.3</v>
      </c>
      <c r="G121" s="5" t="s">
        <v>64</v>
      </c>
      <c r="H121" s="5" t="s">
        <v>65</v>
      </c>
      <c r="I121" s="5"/>
      <c r="J121" s="5"/>
      <c r="K121" s="5">
        <v>225</v>
      </c>
      <c r="L121" s="5">
        <v>4</v>
      </c>
      <c r="M121" s="5">
        <v>3</v>
      </c>
      <c r="N121" s="5" t="s">
        <v>3</v>
      </c>
      <c r="O121" s="5">
        <v>2</v>
      </c>
      <c r="P121" s="5">
        <f>ROUND(Source!EN116,O121)</f>
        <v>1082344.06</v>
      </c>
      <c r="Q121" s="5"/>
      <c r="R121" s="5"/>
      <c r="S121" s="5"/>
      <c r="T121" s="5"/>
      <c r="U121" s="5"/>
      <c r="V121" s="5"/>
      <c r="W121" s="5">
        <v>1082342.3</v>
      </c>
      <c r="X121" s="5">
        <v>1</v>
      </c>
      <c r="Y121" s="5">
        <v>1082342.3</v>
      </c>
      <c r="Z121" s="5">
        <v>1082344.06</v>
      </c>
      <c r="AA121" s="5">
        <v>1</v>
      </c>
      <c r="AB121" s="5">
        <v>1082344.06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226</v>
      </c>
      <c r="F122" s="5">
        <f>ROUND(Source!AW116,O122)</f>
        <v>1082342.3</v>
      </c>
      <c r="G122" s="5" t="s">
        <v>66</v>
      </c>
      <c r="H122" s="5" t="s">
        <v>67</v>
      </c>
      <c r="I122" s="5"/>
      <c r="J122" s="5"/>
      <c r="K122" s="5">
        <v>226</v>
      </c>
      <c r="L122" s="5">
        <v>5</v>
      </c>
      <c r="M122" s="5">
        <v>3</v>
      </c>
      <c r="N122" s="5" t="s">
        <v>3</v>
      </c>
      <c r="O122" s="5">
        <v>2</v>
      </c>
      <c r="P122" s="5">
        <f>ROUND(Source!EO116,O122)</f>
        <v>1082344.06</v>
      </c>
      <c r="Q122" s="5"/>
      <c r="R122" s="5"/>
      <c r="S122" s="5"/>
      <c r="T122" s="5"/>
      <c r="U122" s="5"/>
      <c r="V122" s="5"/>
      <c r="W122" s="5">
        <v>1082342.3</v>
      </c>
      <c r="X122" s="5">
        <v>1</v>
      </c>
      <c r="Y122" s="5">
        <v>1082342.3</v>
      </c>
      <c r="Z122" s="5">
        <v>1082344.06</v>
      </c>
      <c r="AA122" s="5">
        <v>1</v>
      </c>
      <c r="AB122" s="5">
        <v>1082344.06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227</v>
      </c>
      <c r="F123" s="5">
        <f>ROUND(Source!AX116,O123)</f>
        <v>0</v>
      </c>
      <c r="G123" s="5" t="s">
        <v>68</v>
      </c>
      <c r="H123" s="5" t="s">
        <v>69</v>
      </c>
      <c r="I123" s="5"/>
      <c r="J123" s="5"/>
      <c r="K123" s="5">
        <v>227</v>
      </c>
      <c r="L123" s="5">
        <v>6</v>
      </c>
      <c r="M123" s="5">
        <v>3</v>
      </c>
      <c r="N123" s="5" t="s">
        <v>3</v>
      </c>
      <c r="O123" s="5">
        <v>2</v>
      </c>
      <c r="P123" s="5">
        <f>ROUND(Source!EP116,O123)</f>
        <v>0</v>
      </c>
      <c r="Q123" s="5"/>
      <c r="R123" s="5"/>
      <c r="S123" s="5"/>
      <c r="T123" s="5"/>
      <c r="U123" s="5"/>
      <c r="V123" s="5"/>
      <c r="W123" s="5">
        <v>0</v>
      </c>
      <c r="X123" s="5">
        <v>1</v>
      </c>
      <c r="Y123" s="5">
        <v>0</v>
      </c>
      <c r="Z123" s="5">
        <v>0</v>
      </c>
      <c r="AA123" s="5">
        <v>1</v>
      </c>
      <c r="AB123" s="5">
        <v>0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228</v>
      </c>
      <c r="F124" s="5">
        <f>ROUND(Source!AY116,O124)</f>
        <v>1082342.3</v>
      </c>
      <c r="G124" s="5" t="s">
        <v>70</v>
      </c>
      <c r="H124" s="5" t="s">
        <v>71</v>
      </c>
      <c r="I124" s="5"/>
      <c r="J124" s="5"/>
      <c r="K124" s="5">
        <v>228</v>
      </c>
      <c r="L124" s="5">
        <v>7</v>
      </c>
      <c r="M124" s="5">
        <v>3</v>
      </c>
      <c r="N124" s="5" t="s">
        <v>3</v>
      </c>
      <c r="O124" s="5">
        <v>2</v>
      </c>
      <c r="P124" s="5">
        <f>ROUND(Source!EQ116,O124)</f>
        <v>1082344.06</v>
      </c>
      <c r="Q124" s="5"/>
      <c r="R124" s="5"/>
      <c r="S124" s="5"/>
      <c r="T124" s="5"/>
      <c r="U124" s="5"/>
      <c r="V124" s="5"/>
      <c r="W124" s="5">
        <v>1082342.3</v>
      </c>
      <c r="X124" s="5">
        <v>1</v>
      </c>
      <c r="Y124" s="5">
        <v>1082342.3</v>
      </c>
      <c r="Z124" s="5">
        <v>1082344.06</v>
      </c>
      <c r="AA124" s="5">
        <v>1</v>
      </c>
      <c r="AB124" s="5">
        <v>1082344.06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216</v>
      </c>
      <c r="F125" s="5">
        <f>ROUND(Source!AP116,O125)</f>
        <v>0</v>
      </c>
      <c r="G125" s="5" t="s">
        <v>72</v>
      </c>
      <c r="H125" s="5" t="s">
        <v>73</v>
      </c>
      <c r="I125" s="5"/>
      <c r="J125" s="5"/>
      <c r="K125" s="5">
        <v>216</v>
      </c>
      <c r="L125" s="5">
        <v>8</v>
      </c>
      <c r="M125" s="5">
        <v>3</v>
      </c>
      <c r="N125" s="5" t="s">
        <v>3</v>
      </c>
      <c r="O125" s="5">
        <v>2</v>
      </c>
      <c r="P125" s="5">
        <f>ROUND(Source!EH116,O125)</f>
        <v>0</v>
      </c>
      <c r="Q125" s="5"/>
      <c r="R125" s="5"/>
      <c r="S125" s="5"/>
      <c r="T125" s="5"/>
      <c r="U125" s="5"/>
      <c r="V125" s="5"/>
      <c r="W125" s="5">
        <v>0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223</v>
      </c>
      <c r="F126" s="5">
        <f>ROUND(Source!AQ116,O126)</f>
        <v>0</v>
      </c>
      <c r="G126" s="5" t="s">
        <v>74</v>
      </c>
      <c r="H126" s="5" t="s">
        <v>75</v>
      </c>
      <c r="I126" s="5"/>
      <c r="J126" s="5"/>
      <c r="K126" s="5">
        <v>223</v>
      </c>
      <c r="L126" s="5">
        <v>9</v>
      </c>
      <c r="M126" s="5">
        <v>3</v>
      </c>
      <c r="N126" s="5" t="s">
        <v>3</v>
      </c>
      <c r="O126" s="5">
        <v>2</v>
      </c>
      <c r="P126" s="5">
        <f>ROUND(Source!EI116,O126)</f>
        <v>0</v>
      </c>
      <c r="Q126" s="5"/>
      <c r="R126" s="5"/>
      <c r="S126" s="5"/>
      <c r="T126" s="5"/>
      <c r="U126" s="5"/>
      <c r="V126" s="5"/>
      <c r="W126" s="5">
        <v>0</v>
      </c>
      <c r="X126" s="5">
        <v>1</v>
      </c>
      <c r="Y126" s="5">
        <v>0</v>
      </c>
      <c r="Z126" s="5">
        <v>0</v>
      </c>
      <c r="AA126" s="5">
        <v>1</v>
      </c>
      <c r="AB126" s="5">
        <v>0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229</v>
      </c>
      <c r="F127" s="5">
        <f>ROUND(Source!AZ116,O127)</f>
        <v>0</v>
      </c>
      <c r="G127" s="5" t="s">
        <v>76</v>
      </c>
      <c r="H127" s="5" t="s">
        <v>77</v>
      </c>
      <c r="I127" s="5"/>
      <c r="J127" s="5"/>
      <c r="K127" s="5">
        <v>229</v>
      </c>
      <c r="L127" s="5">
        <v>10</v>
      </c>
      <c r="M127" s="5">
        <v>3</v>
      </c>
      <c r="N127" s="5" t="s">
        <v>3</v>
      </c>
      <c r="O127" s="5">
        <v>2</v>
      </c>
      <c r="P127" s="5">
        <f>ROUND(Source!ER116,O127)</f>
        <v>0</v>
      </c>
      <c r="Q127" s="5"/>
      <c r="R127" s="5"/>
      <c r="S127" s="5"/>
      <c r="T127" s="5"/>
      <c r="U127" s="5"/>
      <c r="V127" s="5"/>
      <c r="W127" s="5">
        <v>0</v>
      </c>
      <c r="X127" s="5">
        <v>1</v>
      </c>
      <c r="Y127" s="5">
        <v>0</v>
      </c>
      <c r="Z127" s="5">
        <v>0</v>
      </c>
      <c r="AA127" s="5">
        <v>1</v>
      </c>
      <c r="AB127" s="5">
        <v>0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203</v>
      </c>
      <c r="F128" s="5">
        <f>ROUND(Source!Q116,O128)</f>
        <v>20.33</v>
      </c>
      <c r="G128" s="5" t="s">
        <v>78</v>
      </c>
      <c r="H128" s="5" t="s">
        <v>79</v>
      </c>
      <c r="I128" s="5"/>
      <c r="J128" s="5"/>
      <c r="K128" s="5">
        <v>203</v>
      </c>
      <c r="L128" s="5">
        <v>11</v>
      </c>
      <c r="M128" s="5">
        <v>3</v>
      </c>
      <c r="N128" s="5" t="s">
        <v>3</v>
      </c>
      <c r="O128" s="5">
        <v>2</v>
      </c>
      <c r="P128" s="5">
        <f>ROUND(Source!DI116,O128)</f>
        <v>273.08</v>
      </c>
      <c r="Q128" s="5"/>
      <c r="R128" s="5"/>
      <c r="S128" s="5"/>
      <c r="T128" s="5"/>
      <c r="U128" s="5"/>
      <c r="V128" s="5"/>
      <c r="W128" s="5">
        <v>20.33</v>
      </c>
      <c r="X128" s="5">
        <v>1</v>
      </c>
      <c r="Y128" s="5">
        <v>20.33</v>
      </c>
      <c r="Z128" s="5">
        <v>273.08</v>
      </c>
      <c r="AA128" s="5">
        <v>1</v>
      </c>
      <c r="AB128" s="5">
        <v>273.08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231</v>
      </c>
      <c r="F129" s="5">
        <f>ROUND(Source!BB116,O129)</f>
        <v>0</v>
      </c>
      <c r="G129" s="5" t="s">
        <v>80</v>
      </c>
      <c r="H129" s="5" t="s">
        <v>81</v>
      </c>
      <c r="I129" s="5"/>
      <c r="J129" s="5"/>
      <c r="K129" s="5">
        <v>231</v>
      </c>
      <c r="L129" s="5">
        <v>12</v>
      </c>
      <c r="M129" s="5">
        <v>3</v>
      </c>
      <c r="N129" s="5" t="s">
        <v>3</v>
      </c>
      <c r="O129" s="5">
        <v>2</v>
      </c>
      <c r="P129" s="5">
        <f>ROUND(Source!ET116,O129)</f>
        <v>0</v>
      </c>
      <c r="Q129" s="5"/>
      <c r="R129" s="5"/>
      <c r="S129" s="5"/>
      <c r="T129" s="5"/>
      <c r="U129" s="5"/>
      <c r="V129" s="5"/>
      <c r="W129" s="5">
        <v>0</v>
      </c>
      <c r="X129" s="5">
        <v>1</v>
      </c>
      <c r="Y129" s="5">
        <v>0</v>
      </c>
      <c r="Z129" s="5">
        <v>0</v>
      </c>
      <c r="AA129" s="5">
        <v>1</v>
      </c>
      <c r="AB129" s="5">
        <v>0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204</v>
      </c>
      <c r="F130" s="5">
        <f>ROUND(Source!R116,O130)</f>
        <v>5.27</v>
      </c>
      <c r="G130" s="5" t="s">
        <v>82</v>
      </c>
      <c r="H130" s="5" t="s">
        <v>83</v>
      </c>
      <c r="I130" s="5"/>
      <c r="J130" s="5"/>
      <c r="K130" s="5">
        <v>204</v>
      </c>
      <c r="L130" s="5">
        <v>13</v>
      </c>
      <c r="M130" s="5">
        <v>3</v>
      </c>
      <c r="N130" s="5" t="s">
        <v>3</v>
      </c>
      <c r="O130" s="5">
        <v>2</v>
      </c>
      <c r="P130" s="5">
        <f>ROUND(Source!DJ116,O130)</f>
        <v>203.21</v>
      </c>
      <c r="Q130" s="5"/>
      <c r="R130" s="5"/>
      <c r="S130" s="5"/>
      <c r="T130" s="5"/>
      <c r="U130" s="5"/>
      <c r="V130" s="5"/>
      <c r="W130" s="5">
        <v>5.27</v>
      </c>
      <c r="X130" s="5">
        <v>1</v>
      </c>
      <c r="Y130" s="5">
        <v>5.27</v>
      </c>
      <c r="Z130" s="5">
        <v>203.21</v>
      </c>
      <c r="AA130" s="5">
        <v>1</v>
      </c>
      <c r="AB130" s="5">
        <v>203.21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205</v>
      </c>
      <c r="F131" s="5">
        <f>ROUND(Source!S116,O131)</f>
        <v>1640.61</v>
      </c>
      <c r="G131" s="5" t="s">
        <v>84</v>
      </c>
      <c r="H131" s="5" t="s">
        <v>85</v>
      </c>
      <c r="I131" s="5"/>
      <c r="J131" s="5"/>
      <c r="K131" s="5">
        <v>205</v>
      </c>
      <c r="L131" s="5">
        <v>14</v>
      </c>
      <c r="M131" s="5">
        <v>3</v>
      </c>
      <c r="N131" s="5" t="s">
        <v>3</v>
      </c>
      <c r="O131" s="5">
        <v>2</v>
      </c>
      <c r="P131" s="5">
        <f>ROUND(Source!DK116,O131)</f>
        <v>63310.95</v>
      </c>
      <c r="Q131" s="5"/>
      <c r="R131" s="5"/>
      <c r="S131" s="5"/>
      <c r="T131" s="5"/>
      <c r="U131" s="5"/>
      <c r="V131" s="5"/>
      <c r="W131" s="5">
        <v>1640.6100000000001</v>
      </c>
      <c r="X131" s="5">
        <v>1</v>
      </c>
      <c r="Y131" s="5">
        <v>1640.6100000000001</v>
      </c>
      <c r="Z131" s="5">
        <v>63310.950000000004</v>
      </c>
      <c r="AA131" s="5">
        <v>1</v>
      </c>
      <c r="AB131" s="5">
        <v>63310.950000000004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232</v>
      </c>
      <c r="F132" s="5">
        <f>ROUND(Source!BC116,O132)</f>
        <v>0</v>
      </c>
      <c r="G132" s="5" t="s">
        <v>86</v>
      </c>
      <c r="H132" s="5" t="s">
        <v>87</v>
      </c>
      <c r="I132" s="5"/>
      <c r="J132" s="5"/>
      <c r="K132" s="5">
        <v>232</v>
      </c>
      <c r="L132" s="5">
        <v>15</v>
      </c>
      <c r="M132" s="5">
        <v>3</v>
      </c>
      <c r="N132" s="5" t="s">
        <v>3</v>
      </c>
      <c r="O132" s="5">
        <v>2</v>
      </c>
      <c r="P132" s="5">
        <f>ROUND(Source!EU116,O132)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214</v>
      </c>
      <c r="F133" s="5">
        <f>ROUND(Source!AS116,O133)</f>
        <v>1086314.67</v>
      </c>
      <c r="G133" s="5" t="s">
        <v>88</v>
      </c>
      <c r="H133" s="5" t="s">
        <v>89</v>
      </c>
      <c r="I133" s="5"/>
      <c r="J133" s="5"/>
      <c r="K133" s="5">
        <v>214</v>
      </c>
      <c r="L133" s="5">
        <v>16</v>
      </c>
      <c r="M133" s="5">
        <v>3</v>
      </c>
      <c r="N133" s="5" t="s">
        <v>3</v>
      </c>
      <c r="O133" s="5">
        <v>2</v>
      </c>
      <c r="P133" s="5">
        <f>ROUND(Source!EK116,O133)</f>
        <v>1232877.43</v>
      </c>
      <c r="Q133" s="5"/>
      <c r="R133" s="5"/>
      <c r="S133" s="5"/>
      <c r="T133" s="5"/>
      <c r="U133" s="5"/>
      <c r="V133" s="5"/>
      <c r="W133" s="5">
        <v>1086314.67</v>
      </c>
      <c r="X133" s="5">
        <v>1</v>
      </c>
      <c r="Y133" s="5">
        <v>1086314.67</v>
      </c>
      <c r="Z133" s="5">
        <v>1232877.43</v>
      </c>
      <c r="AA133" s="5">
        <v>1</v>
      </c>
      <c r="AB133" s="5">
        <v>1232877.43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215</v>
      </c>
      <c r="F134" s="5">
        <f>ROUND(Source!AT116,O134)</f>
        <v>0</v>
      </c>
      <c r="G134" s="5" t="s">
        <v>90</v>
      </c>
      <c r="H134" s="5" t="s">
        <v>91</v>
      </c>
      <c r="I134" s="5"/>
      <c r="J134" s="5"/>
      <c r="K134" s="5">
        <v>215</v>
      </c>
      <c r="L134" s="5">
        <v>17</v>
      </c>
      <c r="M134" s="5">
        <v>3</v>
      </c>
      <c r="N134" s="5" t="s">
        <v>3</v>
      </c>
      <c r="O134" s="5">
        <v>2</v>
      </c>
      <c r="P134" s="5">
        <f>ROUND(Source!EL116,O134)</f>
        <v>0</v>
      </c>
      <c r="Q134" s="5"/>
      <c r="R134" s="5"/>
      <c r="S134" s="5"/>
      <c r="T134" s="5"/>
      <c r="U134" s="5"/>
      <c r="V134" s="5"/>
      <c r="W134" s="5">
        <v>0</v>
      </c>
      <c r="X134" s="5">
        <v>1</v>
      </c>
      <c r="Y134" s="5">
        <v>0</v>
      </c>
      <c r="Z134" s="5">
        <v>0</v>
      </c>
      <c r="AA134" s="5">
        <v>1</v>
      </c>
      <c r="AB134" s="5">
        <v>0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217</v>
      </c>
      <c r="F135" s="5">
        <f>ROUND(Source!AU116,O135)</f>
        <v>0</v>
      </c>
      <c r="G135" s="5" t="s">
        <v>92</v>
      </c>
      <c r="H135" s="5" t="s">
        <v>93</v>
      </c>
      <c r="I135" s="5"/>
      <c r="J135" s="5"/>
      <c r="K135" s="5">
        <v>217</v>
      </c>
      <c r="L135" s="5">
        <v>18</v>
      </c>
      <c r="M135" s="5">
        <v>3</v>
      </c>
      <c r="N135" s="5" t="s">
        <v>3</v>
      </c>
      <c r="O135" s="5">
        <v>2</v>
      </c>
      <c r="P135" s="5">
        <f>ROUND(Source!EM116,O135)</f>
        <v>0</v>
      </c>
      <c r="Q135" s="5"/>
      <c r="R135" s="5"/>
      <c r="S135" s="5"/>
      <c r="T135" s="5"/>
      <c r="U135" s="5"/>
      <c r="V135" s="5"/>
      <c r="W135" s="5">
        <v>0</v>
      </c>
      <c r="X135" s="5">
        <v>1</v>
      </c>
      <c r="Y135" s="5">
        <v>0</v>
      </c>
      <c r="Z135" s="5">
        <v>0</v>
      </c>
      <c r="AA135" s="5">
        <v>1</v>
      </c>
      <c r="AB135" s="5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230</v>
      </c>
      <c r="F136" s="5">
        <f>ROUND(Source!BA116,O136)</f>
        <v>0</v>
      </c>
      <c r="G136" s="5" t="s">
        <v>94</v>
      </c>
      <c r="H136" s="5" t="s">
        <v>95</v>
      </c>
      <c r="I136" s="5"/>
      <c r="J136" s="5"/>
      <c r="K136" s="5">
        <v>230</v>
      </c>
      <c r="L136" s="5">
        <v>19</v>
      </c>
      <c r="M136" s="5">
        <v>3</v>
      </c>
      <c r="N136" s="5" t="s">
        <v>3</v>
      </c>
      <c r="O136" s="5">
        <v>2</v>
      </c>
      <c r="P136" s="5">
        <f>ROUND(Source!ES116,O136)</f>
        <v>0</v>
      </c>
      <c r="Q136" s="5"/>
      <c r="R136" s="5"/>
      <c r="S136" s="5"/>
      <c r="T136" s="5"/>
      <c r="U136" s="5"/>
      <c r="V136" s="5"/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0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206</v>
      </c>
      <c r="F137" s="5">
        <f>ROUND(Source!T116,O137)</f>
        <v>0</v>
      </c>
      <c r="G137" s="5" t="s">
        <v>96</v>
      </c>
      <c r="H137" s="5" t="s">
        <v>97</v>
      </c>
      <c r="I137" s="5"/>
      <c r="J137" s="5"/>
      <c r="K137" s="5">
        <v>206</v>
      </c>
      <c r="L137" s="5">
        <v>20</v>
      </c>
      <c r="M137" s="5">
        <v>3</v>
      </c>
      <c r="N137" s="5" t="s">
        <v>3</v>
      </c>
      <c r="O137" s="5">
        <v>2</v>
      </c>
      <c r="P137" s="5">
        <f>ROUND(Source!DL116,O137)</f>
        <v>0</v>
      </c>
      <c r="Q137" s="5"/>
      <c r="R137" s="5"/>
      <c r="S137" s="5"/>
      <c r="T137" s="5"/>
      <c r="U137" s="5"/>
      <c r="V137" s="5"/>
      <c r="W137" s="5">
        <v>0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207</v>
      </c>
      <c r="F138" s="5">
        <f>Source!U116</f>
        <v>185.5115</v>
      </c>
      <c r="G138" s="5" t="s">
        <v>98</v>
      </c>
      <c r="H138" s="5" t="s">
        <v>99</v>
      </c>
      <c r="I138" s="5"/>
      <c r="J138" s="5"/>
      <c r="K138" s="5">
        <v>207</v>
      </c>
      <c r="L138" s="5">
        <v>21</v>
      </c>
      <c r="M138" s="5">
        <v>3</v>
      </c>
      <c r="N138" s="5" t="s">
        <v>3</v>
      </c>
      <c r="O138" s="5">
        <v>-1</v>
      </c>
      <c r="P138" s="5">
        <f>Source!DM116</f>
        <v>185.5115</v>
      </c>
      <c r="Q138" s="5"/>
      <c r="R138" s="5"/>
      <c r="S138" s="5"/>
      <c r="T138" s="5"/>
      <c r="U138" s="5"/>
      <c r="V138" s="5"/>
      <c r="W138" s="5">
        <v>185.5115</v>
      </c>
      <c r="X138" s="5">
        <v>1</v>
      </c>
      <c r="Y138" s="5">
        <v>185.5115</v>
      </c>
      <c r="Z138" s="5">
        <v>185.5115</v>
      </c>
      <c r="AA138" s="5">
        <v>1</v>
      </c>
      <c r="AB138" s="5">
        <v>185.5115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208</v>
      </c>
      <c r="F139" s="5">
        <f>Source!V116</f>
        <v>0.41925</v>
      </c>
      <c r="G139" s="5" t="s">
        <v>100</v>
      </c>
      <c r="H139" s="5" t="s">
        <v>101</v>
      </c>
      <c r="I139" s="5"/>
      <c r="J139" s="5"/>
      <c r="K139" s="5">
        <v>208</v>
      </c>
      <c r="L139" s="5">
        <v>22</v>
      </c>
      <c r="M139" s="5">
        <v>3</v>
      </c>
      <c r="N139" s="5" t="s">
        <v>3</v>
      </c>
      <c r="O139" s="5">
        <v>-1</v>
      </c>
      <c r="P139" s="5">
        <f>Source!DN116</f>
        <v>0.41925</v>
      </c>
      <c r="Q139" s="5"/>
      <c r="R139" s="5"/>
      <c r="S139" s="5"/>
      <c r="T139" s="5"/>
      <c r="U139" s="5"/>
      <c r="V139" s="5"/>
      <c r="W139" s="5">
        <v>0.41925</v>
      </c>
      <c r="X139" s="5">
        <v>1</v>
      </c>
      <c r="Y139" s="5">
        <v>0.41925</v>
      </c>
      <c r="Z139" s="5">
        <v>0.41925</v>
      </c>
      <c r="AA139" s="5">
        <v>1</v>
      </c>
      <c r="AB139" s="5">
        <v>0.41925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209</v>
      </c>
      <c r="F140" s="5">
        <f>ROUND(Source!W116,O140)</f>
        <v>0</v>
      </c>
      <c r="G140" s="5" t="s">
        <v>102</v>
      </c>
      <c r="H140" s="5" t="s">
        <v>103</v>
      </c>
      <c r="I140" s="5"/>
      <c r="J140" s="5"/>
      <c r="K140" s="5">
        <v>209</v>
      </c>
      <c r="L140" s="5">
        <v>23</v>
      </c>
      <c r="M140" s="5">
        <v>3</v>
      </c>
      <c r="N140" s="5" t="s">
        <v>3</v>
      </c>
      <c r="O140" s="5">
        <v>2</v>
      </c>
      <c r="P140" s="5">
        <f>ROUND(Source!DO116,O140)</f>
        <v>0</v>
      </c>
      <c r="Q140" s="5"/>
      <c r="R140" s="5"/>
      <c r="S140" s="5"/>
      <c r="T140" s="5"/>
      <c r="U140" s="5"/>
      <c r="V140" s="5"/>
      <c r="W140" s="5">
        <v>0</v>
      </c>
      <c r="X140" s="5">
        <v>1</v>
      </c>
      <c r="Y140" s="5">
        <v>0</v>
      </c>
      <c r="Z140" s="5">
        <v>0</v>
      </c>
      <c r="AA140" s="5">
        <v>1</v>
      </c>
      <c r="AB140" s="5">
        <v>0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233</v>
      </c>
      <c r="F141" s="5">
        <f>ROUND(Source!BD116,O141)</f>
        <v>89.35</v>
      </c>
      <c r="G141" s="5" t="s">
        <v>104</v>
      </c>
      <c r="H141" s="5" t="s">
        <v>105</v>
      </c>
      <c r="I141" s="5"/>
      <c r="J141" s="5"/>
      <c r="K141" s="5">
        <v>233</v>
      </c>
      <c r="L141" s="5">
        <v>24</v>
      </c>
      <c r="M141" s="5">
        <v>3</v>
      </c>
      <c r="N141" s="5" t="s">
        <v>3</v>
      </c>
      <c r="O141" s="5">
        <v>2</v>
      </c>
      <c r="P141" s="5">
        <f>ROUND(Source!EV116,O141)</f>
        <v>1199.97</v>
      </c>
      <c r="Q141" s="5"/>
      <c r="R141" s="5"/>
      <c r="S141" s="5"/>
      <c r="T141" s="5"/>
      <c r="U141" s="5"/>
      <c r="V141" s="5"/>
      <c r="W141" s="5">
        <v>89.35</v>
      </c>
      <c r="X141" s="5">
        <v>1</v>
      </c>
      <c r="Y141" s="5">
        <v>89.35</v>
      </c>
      <c r="Z141" s="5">
        <v>1199.97</v>
      </c>
      <c r="AA141" s="5">
        <v>1</v>
      </c>
      <c r="AB141" s="5">
        <v>1199.97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210</v>
      </c>
      <c r="F142" s="5">
        <f>ROUND(Source!X116,O142)</f>
        <v>1481.57</v>
      </c>
      <c r="G142" s="5" t="s">
        <v>106</v>
      </c>
      <c r="H142" s="5" t="s">
        <v>107</v>
      </c>
      <c r="I142" s="5"/>
      <c r="J142" s="5"/>
      <c r="K142" s="5">
        <v>210</v>
      </c>
      <c r="L142" s="5">
        <v>25</v>
      </c>
      <c r="M142" s="5">
        <v>3</v>
      </c>
      <c r="N142" s="5" t="s">
        <v>3</v>
      </c>
      <c r="O142" s="5">
        <v>2</v>
      </c>
      <c r="P142" s="5">
        <f>ROUND(Source!DP116,O142)</f>
        <v>57173.26</v>
      </c>
      <c r="Q142" s="5"/>
      <c r="R142" s="5"/>
      <c r="S142" s="5"/>
      <c r="T142" s="5"/>
      <c r="U142" s="5"/>
      <c r="V142" s="5"/>
      <c r="W142" s="5">
        <v>1481.57</v>
      </c>
      <c r="X142" s="5">
        <v>1</v>
      </c>
      <c r="Y142" s="5">
        <v>1481.57</v>
      </c>
      <c r="Z142" s="5">
        <v>57173.26</v>
      </c>
      <c r="AA142" s="5">
        <v>1</v>
      </c>
      <c r="AB142" s="5">
        <v>57173.26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211</v>
      </c>
      <c r="F143" s="5">
        <f>ROUND(Source!Y116,O143)</f>
        <v>740.51</v>
      </c>
      <c r="G143" s="5" t="s">
        <v>108</v>
      </c>
      <c r="H143" s="5" t="s">
        <v>109</v>
      </c>
      <c r="I143" s="5"/>
      <c r="J143" s="5"/>
      <c r="K143" s="5">
        <v>211</v>
      </c>
      <c r="L143" s="5">
        <v>26</v>
      </c>
      <c r="M143" s="5">
        <v>3</v>
      </c>
      <c r="N143" s="5" t="s">
        <v>3</v>
      </c>
      <c r="O143" s="5">
        <v>2</v>
      </c>
      <c r="P143" s="5">
        <f>ROUND(Source!DQ116,O143)</f>
        <v>28576.11</v>
      </c>
      <c r="Q143" s="5"/>
      <c r="R143" s="5"/>
      <c r="S143" s="5"/>
      <c r="T143" s="5"/>
      <c r="U143" s="5"/>
      <c r="V143" s="5"/>
      <c r="W143" s="5">
        <v>740.51</v>
      </c>
      <c r="X143" s="5">
        <v>1</v>
      </c>
      <c r="Y143" s="5">
        <v>740.51</v>
      </c>
      <c r="Z143" s="5">
        <v>28576.11</v>
      </c>
      <c r="AA143" s="5">
        <v>1</v>
      </c>
      <c r="AB143" s="5">
        <v>28576.11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0</v>
      </c>
      <c r="F144" s="5">
        <f>ROUND(Source!AR116,O144)</f>
        <v>1086314.67</v>
      </c>
      <c r="G144" s="5" t="s">
        <v>110</v>
      </c>
      <c r="H144" s="5" t="s">
        <v>111</v>
      </c>
      <c r="I144" s="5"/>
      <c r="J144" s="5"/>
      <c r="K144" s="5">
        <v>224</v>
      </c>
      <c r="L144" s="5">
        <v>27</v>
      </c>
      <c r="M144" s="5">
        <v>3</v>
      </c>
      <c r="N144" s="5" t="s">
        <v>3</v>
      </c>
      <c r="O144" s="5">
        <v>2</v>
      </c>
      <c r="P144" s="5">
        <f>ROUND(Source!EJ116,O144)</f>
        <v>1232877.43</v>
      </c>
      <c r="Q144" s="5"/>
      <c r="R144" s="5"/>
      <c r="S144" s="5"/>
      <c r="T144" s="5"/>
      <c r="U144" s="5"/>
      <c r="V144" s="5"/>
      <c r="W144" s="5">
        <v>1086314.6700000002</v>
      </c>
      <c r="X144" s="5">
        <v>1</v>
      </c>
      <c r="Y144" s="5">
        <v>1086314.6700000002</v>
      </c>
      <c r="Z144" s="5">
        <v>1232877.4300000002</v>
      </c>
      <c r="AA144" s="5">
        <v>1</v>
      </c>
      <c r="AB144" s="5">
        <v>1232877.4300000002</v>
      </c>
    </row>
    <row r="145" spans="1:28" ht="12.75">
      <c r="A145" s="5">
        <v>50</v>
      </c>
      <c r="B145" s="5">
        <v>0</v>
      </c>
      <c r="C145" s="5">
        <v>0</v>
      </c>
      <c r="D145" s="5">
        <v>2</v>
      </c>
      <c r="E145" s="5">
        <v>0</v>
      </c>
      <c r="F145" s="5">
        <f>ROUND(F144,O145)</f>
        <v>1086314.67</v>
      </c>
      <c r="G145" s="5" t="s">
        <v>112</v>
      </c>
      <c r="H145" s="5" t="s">
        <v>140</v>
      </c>
      <c r="I145" s="5"/>
      <c r="J145" s="5"/>
      <c r="K145" s="5">
        <v>212</v>
      </c>
      <c r="L145" s="5">
        <v>28</v>
      </c>
      <c r="M145" s="5">
        <v>3</v>
      </c>
      <c r="N145" s="5" t="s">
        <v>3</v>
      </c>
      <c r="O145" s="5">
        <v>2</v>
      </c>
      <c r="P145" s="5">
        <f>ROUND(P144,O145)</f>
        <v>1232877.43</v>
      </c>
      <c r="Q145" s="5"/>
      <c r="R145" s="5"/>
      <c r="S145" s="5"/>
      <c r="T145" s="5"/>
      <c r="U145" s="5"/>
      <c r="V145" s="5"/>
      <c r="W145" s="5">
        <v>1086314.67</v>
      </c>
      <c r="X145" s="5">
        <v>1</v>
      </c>
      <c r="Y145" s="5">
        <v>1086314.67</v>
      </c>
      <c r="Z145" s="5">
        <v>1232877.43</v>
      </c>
      <c r="AA145" s="5">
        <v>1</v>
      </c>
      <c r="AB145" s="5">
        <v>1232877.43</v>
      </c>
    </row>
    <row r="146" spans="1:28" ht="12.75">
      <c r="A146" s="5">
        <v>50</v>
      </c>
      <c r="B146" s="5">
        <v>0</v>
      </c>
      <c r="C146" s="5">
        <v>0</v>
      </c>
      <c r="D146" s="5">
        <v>2</v>
      </c>
      <c r="E146" s="5">
        <v>0</v>
      </c>
      <c r="F146" s="5">
        <f>ROUND(F145*0.2,O146)</f>
        <v>217262.93</v>
      </c>
      <c r="G146" s="5" t="s">
        <v>141</v>
      </c>
      <c r="H146" s="5" t="s">
        <v>142</v>
      </c>
      <c r="I146" s="5"/>
      <c r="J146" s="5"/>
      <c r="K146" s="5">
        <v>212</v>
      </c>
      <c r="L146" s="5">
        <v>31</v>
      </c>
      <c r="M146" s="5">
        <v>3</v>
      </c>
      <c r="N146" s="5" t="s">
        <v>3</v>
      </c>
      <c r="O146" s="5">
        <v>2</v>
      </c>
      <c r="P146" s="5">
        <f>ROUND(P145*0.2,O146)</f>
        <v>246575.49</v>
      </c>
      <c r="Q146" s="5"/>
      <c r="R146" s="5"/>
      <c r="S146" s="5"/>
      <c r="T146" s="5"/>
      <c r="U146" s="5"/>
      <c r="V146" s="5"/>
      <c r="W146" s="5">
        <v>217262.93</v>
      </c>
      <c r="X146" s="5">
        <v>1</v>
      </c>
      <c r="Y146" s="5">
        <v>217262.93</v>
      </c>
      <c r="Z146" s="5">
        <v>246575.49</v>
      </c>
      <c r="AA146" s="5">
        <v>1</v>
      </c>
      <c r="AB146" s="5">
        <v>246575.49</v>
      </c>
    </row>
    <row r="147" spans="1:28" ht="12.75">
      <c r="A147" s="5">
        <v>50</v>
      </c>
      <c r="B147" s="5">
        <v>0</v>
      </c>
      <c r="C147" s="5">
        <v>0</v>
      </c>
      <c r="D147" s="5">
        <v>2</v>
      </c>
      <c r="E147" s="5">
        <v>224</v>
      </c>
      <c r="F147" s="5">
        <f>ROUND(F145+F146,O147)</f>
        <v>1303577.6</v>
      </c>
      <c r="G147" s="5" t="s">
        <v>143</v>
      </c>
      <c r="H147" s="5" t="s">
        <v>144</v>
      </c>
      <c r="I147" s="5"/>
      <c r="J147" s="5"/>
      <c r="K147" s="5">
        <v>212</v>
      </c>
      <c r="L147" s="5">
        <v>32</v>
      </c>
      <c r="M147" s="5">
        <v>3</v>
      </c>
      <c r="N147" s="5" t="s">
        <v>3</v>
      </c>
      <c r="O147" s="5">
        <v>2</v>
      </c>
      <c r="P147" s="5">
        <f>ROUND(P145+P146,O147)</f>
        <v>1479452.92</v>
      </c>
      <c r="Q147" s="5"/>
      <c r="R147" s="5"/>
      <c r="S147" s="5"/>
      <c r="T147" s="5"/>
      <c r="U147" s="5"/>
      <c r="V147" s="5"/>
      <c r="W147" s="5">
        <v>1303577.6</v>
      </c>
      <c r="X147" s="5">
        <v>1</v>
      </c>
      <c r="Y147" s="5">
        <v>1303577.6</v>
      </c>
      <c r="Z147" s="5">
        <v>1479452.92</v>
      </c>
      <c r="AA147" s="5">
        <v>1</v>
      </c>
      <c r="AB147" s="5">
        <v>1479452.92</v>
      </c>
    </row>
    <row r="149" spans="1:206" ht="12.75">
      <c r="A149" s="3">
        <v>51</v>
      </c>
      <c r="B149" s="3">
        <f>B12</f>
        <v>212</v>
      </c>
      <c r="C149" s="3">
        <f>A12</f>
        <v>1</v>
      </c>
      <c r="D149" s="3">
        <f>ROW(A12)</f>
        <v>12</v>
      </c>
      <c r="E149" s="3"/>
      <c r="F149" s="3">
        <f>IF(F12&lt;&gt;"",F12,"")</f>
      </c>
      <c r="G149" s="3" t="str">
        <f>IF(G12&lt;&gt;"",G12,"")</f>
        <v>Выполнение работ по замене стеклопакетов в строениях ИПУ РАН</v>
      </c>
      <c r="H149" s="3">
        <v>0</v>
      </c>
      <c r="I149" s="3"/>
      <c r="J149" s="3"/>
      <c r="K149" s="3"/>
      <c r="L149" s="3"/>
      <c r="M149" s="3"/>
      <c r="N149" s="3"/>
      <c r="O149" s="3">
        <f aca="true" t="shared" si="86" ref="O149:T149">ROUND(O116,2)</f>
        <v>1084003.24</v>
      </c>
      <c r="P149" s="3">
        <f t="shared" si="86"/>
        <v>1082342.3</v>
      </c>
      <c r="Q149" s="3">
        <f t="shared" si="86"/>
        <v>20.33</v>
      </c>
      <c r="R149" s="3">
        <f t="shared" si="86"/>
        <v>5.27</v>
      </c>
      <c r="S149" s="3">
        <f t="shared" si="86"/>
        <v>1640.61</v>
      </c>
      <c r="T149" s="3">
        <f t="shared" si="86"/>
        <v>0</v>
      </c>
      <c r="U149" s="3">
        <f>U116</f>
        <v>185.5115</v>
      </c>
      <c r="V149" s="3">
        <f>V116</f>
        <v>0.41925</v>
      </c>
      <c r="W149" s="3">
        <f>ROUND(W116,2)</f>
        <v>0</v>
      </c>
      <c r="X149" s="3">
        <f>ROUND(X116,2)</f>
        <v>1481.57</v>
      </c>
      <c r="Y149" s="3">
        <f>ROUND(Y116,2)</f>
        <v>740.51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>
        <f aca="true" t="shared" si="87" ref="AO149:BD149">ROUND(AO116,2)</f>
        <v>0</v>
      </c>
      <c r="AP149" s="3">
        <f t="shared" si="87"/>
        <v>0</v>
      </c>
      <c r="AQ149" s="3">
        <f t="shared" si="87"/>
        <v>0</v>
      </c>
      <c r="AR149" s="3">
        <f t="shared" si="87"/>
        <v>1086314.67</v>
      </c>
      <c r="AS149" s="3">
        <f t="shared" si="87"/>
        <v>1086314.67</v>
      </c>
      <c r="AT149" s="3">
        <f t="shared" si="87"/>
        <v>0</v>
      </c>
      <c r="AU149" s="3">
        <f t="shared" si="87"/>
        <v>0</v>
      </c>
      <c r="AV149" s="3">
        <f t="shared" si="87"/>
        <v>1082342.3</v>
      </c>
      <c r="AW149" s="3">
        <f t="shared" si="87"/>
        <v>1082342.3</v>
      </c>
      <c r="AX149" s="3">
        <f t="shared" si="87"/>
        <v>0</v>
      </c>
      <c r="AY149" s="3">
        <f t="shared" si="87"/>
        <v>1082342.3</v>
      </c>
      <c r="AZ149" s="3">
        <f t="shared" si="87"/>
        <v>0</v>
      </c>
      <c r="BA149" s="3">
        <f t="shared" si="87"/>
        <v>0</v>
      </c>
      <c r="BB149" s="3">
        <f t="shared" si="87"/>
        <v>0</v>
      </c>
      <c r="BC149" s="3">
        <f t="shared" si="87"/>
        <v>0</v>
      </c>
      <c r="BD149" s="3">
        <f t="shared" si="87"/>
        <v>89.35</v>
      </c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4">
        <f aca="true" t="shared" si="88" ref="DG149:DL149">ROUND(DG116,2)</f>
        <v>1145928.09</v>
      </c>
      <c r="DH149" s="4">
        <f t="shared" si="88"/>
        <v>1082344.06</v>
      </c>
      <c r="DI149" s="4">
        <f t="shared" si="88"/>
        <v>273.08</v>
      </c>
      <c r="DJ149" s="4">
        <f t="shared" si="88"/>
        <v>203.21</v>
      </c>
      <c r="DK149" s="4">
        <f t="shared" si="88"/>
        <v>63310.95</v>
      </c>
      <c r="DL149" s="4">
        <f t="shared" si="88"/>
        <v>0</v>
      </c>
      <c r="DM149" s="4">
        <f>DM116</f>
        <v>185.5115</v>
      </c>
      <c r="DN149" s="4">
        <f>DN116</f>
        <v>0.41925</v>
      </c>
      <c r="DO149" s="4">
        <f>ROUND(DO116,2)</f>
        <v>0</v>
      </c>
      <c r="DP149" s="4">
        <f>ROUND(DP116,2)</f>
        <v>57173.26</v>
      </c>
      <c r="DQ149" s="4">
        <f>ROUND(DQ116,2)</f>
        <v>28576.11</v>
      </c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>
        <f aca="true" t="shared" si="89" ref="EG149:EV149">ROUND(EG116,2)</f>
        <v>0</v>
      </c>
      <c r="EH149" s="4">
        <f t="shared" si="89"/>
        <v>0</v>
      </c>
      <c r="EI149" s="4">
        <f t="shared" si="89"/>
        <v>0</v>
      </c>
      <c r="EJ149" s="4">
        <f t="shared" si="89"/>
        <v>1232877.43</v>
      </c>
      <c r="EK149" s="4">
        <f t="shared" si="89"/>
        <v>1232877.43</v>
      </c>
      <c r="EL149" s="4">
        <f t="shared" si="89"/>
        <v>0</v>
      </c>
      <c r="EM149" s="4">
        <f t="shared" si="89"/>
        <v>0</v>
      </c>
      <c r="EN149" s="4">
        <f t="shared" si="89"/>
        <v>1082344.06</v>
      </c>
      <c r="EO149" s="4">
        <f t="shared" si="89"/>
        <v>1082344.06</v>
      </c>
      <c r="EP149" s="4">
        <f t="shared" si="89"/>
        <v>0</v>
      </c>
      <c r="EQ149" s="4">
        <f t="shared" si="89"/>
        <v>1082344.06</v>
      </c>
      <c r="ER149" s="4">
        <f t="shared" si="89"/>
        <v>0</v>
      </c>
      <c r="ES149" s="4">
        <f t="shared" si="89"/>
        <v>0</v>
      </c>
      <c r="ET149" s="4">
        <f t="shared" si="89"/>
        <v>0</v>
      </c>
      <c r="EU149" s="4">
        <f t="shared" si="89"/>
        <v>0</v>
      </c>
      <c r="EV149" s="4">
        <f t="shared" si="89"/>
        <v>1199.97</v>
      </c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201</v>
      </c>
      <c r="F151" s="5">
        <f>ROUND(Source!O149,O151)</f>
        <v>1084003.24</v>
      </c>
      <c r="G151" s="5" t="s">
        <v>58</v>
      </c>
      <c r="H151" s="5" t="s">
        <v>59</v>
      </c>
      <c r="I151" s="5"/>
      <c r="J151" s="5"/>
      <c r="K151" s="5">
        <v>201</v>
      </c>
      <c r="L151" s="5">
        <v>1</v>
      </c>
      <c r="M151" s="5">
        <v>3</v>
      </c>
      <c r="N151" s="5" t="s">
        <v>3</v>
      </c>
      <c r="O151" s="5">
        <v>2</v>
      </c>
      <c r="P151" s="5">
        <f>ROUND(Source!DG149,O151)</f>
        <v>1145928.09</v>
      </c>
      <c r="Q151" s="5"/>
      <c r="R151" s="5"/>
      <c r="S151" s="5"/>
      <c r="T151" s="5"/>
      <c r="U151" s="5"/>
      <c r="V151" s="5"/>
      <c r="W151" s="5">
        <v>1084092.59</v>
      </c>
      <c r="X151" s="5">
        <v>1</v>
      </c>
      <c r="Y151" s="5">
        <v>1084092.59</v>
      </c>
      <c r="Z151" s="5">
        <v>1147128.06</v>
      </c>
      <c r="AA151" s="5">
        <v>1</v>
      </c>
      <c r="AB151" s="5">
        <v>1147128.06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202</v>
      </c>
      <c r="F152" s="5">
        <f>ROUND(Source!P149,O152)</f>
        <v>1082342.3</v>
      </c>
      <c r="G152" s="5" t="s">
        <v>60</v>
      </c>
      <c r="H152" s="5" t="s">
        <v>61</v>
      </c>
      <c r="I152" s="5"/>
      <c r="J152" s="5"/>
      <c r="K152" s="5">
        <v>202</v>
      </c>
      <c r="L152" s="5">
        <v>2</v>
      </c>
      <c r="M152" s="5">
        <v>3</v>
      </c>
      <c r="N152" s="5" t="s">
        <v>3</v>
      </c>
      <c r="O152" s="5">
        <v>2</v>
      </c>
      <c r="P152" s="5">
        <f>ROUND(Source!DH149,O152)</f>
        <v>1082344.06</v>
      </c>
      <c r="Q152" s="5"/>
      <c r="R152" s="5"/>
      <c r="S152" s="5"/>
      <c r="T152" s="5"/>
      <c r="U152" s="5"/>
      <c r="V152" s="5"/>
      <c r="W152" s="5">
        <v>1082342.3</v>
      </c>
      <c r="X152" s="5">
        <v>1</v>
      </c>
      <c r="Y152" s="5">
        <v>1082342.3</v>
      </c>
      <c r="Z152" s="5">
        <v>1082344.06</v>
      </c>
      <c r="AA152" s="5">
        <v>1</v>
      </c>
      <c r="AB152" s="5">
        <v>1082344.06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222</v>
      </c>
      <c r="F153" s="5">
        <f>ROUND(Source!AO149,O153)</f>
        <v>0</v>
      </c>
      <c r="G153" s="5" t="s">
        <v>62</v>
      </c>
      <c r="H153" s="5" t="s">
        <v>63</v>
      </c>
      <c r="I153" s="5"/>
      <c r="J153" s="5"/>
      <c r="K153" s="5">
        <v>222</v>
      </c>
      <c r="L153" s="5">
        <v>3</v>
      </c>
      <c r="M153" s="5">
        <v>3</v>
      </c>
      <c r="N153" s="5" t="s">
        <v>3</v>
      </c>
      <c r="O153" s="5">
        <v>2</v>
      </c>
      <c r="P153" s="5">
        <f>ROUND(Source!EG149,O153)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225</v>
      </c>
      <c r="F154" s="5">
        <f>ROUND(Source!AV149,O154)</f>
        <v>1082342.3</v>
      </c>
      <c r="G154" s="5" t="s">
        <v>64</v>
      </c>
      <c r="H154" s="5" t="s">
        <v>65</v>
      </c>
      <c r="I154" s="5"/>
      <c r="J154" s="5"/>
      <c r="K154" s="5">
        <v>225</v>
      </c>
      <c r="L154" s="5">
        <v>4</v>
      </c>
      <c r="M154" s="5">
        <v>3</v>
      </c>
      <c r="N154" s="5" t="s">
        <v>3</v>
      </c>
      <c r="O154" s="5">
        <v>2</v>
      </c>
      <c r="P154" s="5">
        <f>ROUND(Source!EN149,O154)</f>
        <v>1082344.06</v>
      </c>
      <c r="Q154" s="5"/>
      <c r="R154" s="5"/>
      <c r="S154" s="5"/>
      <c r="T154" s="5"/>
      <c r="U154" s="5"/>
      <c r="V154" s="5"/>
      <c r="W154" s="5">
        <v>1082342.3</v>
      </c>
      <c r="X154" s="5">
        <v>1</v>
      </c>
      <c r="Y154" s="5">
        <v>1082342.3</v>
      </c>
      <c r="Z154" s="5">
        <v>1082344.06</v>
      </c>
      <c r="AA154" s="5">
        <v>1</v>
      </c>
      <c r="AB154" s="5">
        <v>1082344.06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226</v>
      </c>
      <c r="F155" s="5">
        <f>ROUND(Source!AW149,O155)</f>
        <v>1082342.3</v>
      </c>
      <c r="G155" s="5" t="s">
        <v>66</v>
      </c>
      <c r="H155" s="5" t="s">
        <v>67</v>
      </c>
      <c r="I155" s="5"/>
      <c r="J155" s="5"/>
      <c r="K155" s="5">
        <v>226</v>
      </c>
      <c r="L155" s="5">
        <v>5</v>
      </c>
      <c r="M155" s="5">
        <v>3</v>
      </c>
      <c r="N155" s="5" t="s">
        <v>3</v>
      </c>
      <c r="O155" s="5">
        <v>2</v>
      </c>
      <c r="P155" s="5">
        <f>ROUND(Source!EO149,O155)</f>
        <v>1082344.06</v>
      </c>
      <c r="Q155" s="5"/>
      <c r="R155" s="5"/>
      <c r="S155" s="5"/>
      <c r="T155" s="5"/>
      <c r="U155" s="5"/>
      <c r="V155" s="5"/>
      <c r="W155" s="5">
        <v>1082342.3</v>
      </c>
      <c r="X155" s="5">
        <v>1</v>
      </c>
      <c r="Y155" s="5">
        <v>1082342.3</v>
      </c>
      <c r="Z155" s="5">
        <v>1082344.06</v>
      </c>
      <c r="AA155" s="5">
        <v>1</v>
      </c>
      <c r="AB155" s="5">
        <v>1082344.06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227</v>
      </c>
      <c r="F156" s="5">
        <f>ROUND(Source!AX149,O156)</f>
        <v>0</v>
      </c>
      <c r="G156" s="5" t="s">
        <v>68</v>
      </c>
      <c r="H156" s="5" t="s">
        <v>69</v>
      </c>
      <c r="I156" s="5"/>
      <c r="J156" s="5"/>
      <c r="K156" s="5">
        <v>227</v>
      </c>
      <c r="L156" s="5">
        <v>6</v>
      </c>
      <c r="M156" s="5">
        <v>3</v>
      </c>
      <c r="N156" s="5" t="s">
        <v>3</v>
      </c>
      <c r="O156" s="5">
        <v>2</v>
      </c>
      <c r="P156" s="5">
        <f>ROUND(Source!EP149,O156)</f>
        <v>0</v>
      </c>
      <c r="Q156" s="5"/>
      <c r="R156" s="5"/>
      <c r="S156" s="5"/>
      <c r="T156" s="5"/>
      <c r="U156" s="5"/>
      <c r="V156" s="5"/>
      <c r="W156" s="5">
        <v>0</v>
      </c>
      <c r="X156" s="5">
        <v>1</v>
      </c>
      <c r="Y156" s="5">
        <v>0</v>
      </c>
      <c r="Z156" s="5">
        <v>0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228</v>
      </c>
      <c r="F157" s="5">
        <f>ROUND(Source!AY149,O157)</f>
        <v>1082342.3</v>
      </c>
      <c r="G157" s="5" t="s">
        <v>70</v>
      </c>
      <c r="H157" s="5" t="s">
        <v>71</v>
      </c>
      <c r="I157" s="5"/>
      <c r="J157" s="5"/>
      <c r="K157" s="5">
        <v>228</v>
      </c>
      <c r="L157" s="5">
        <v>7</v>
      </c>
      <c r="M157" s="5">
        <v>3</v>
      </c>
      <c r="N157" s="5" t="s">
        <v>3</v>
      </c>
      <c r="O157" s="5">
        <v>2</v>
      </c>
      <c r="P157" s="5">
        <f>ROUND(Source!EQ149,O157)</f>
        <v>1082344.06</v>
      </c>
      <c r="Q157" s="5"/>
      <c r="R157" s="5"/>
      <c r="S157" s="5"/>
      <c r="T157" s="5"/>
      <c r="U157" s="5"/>
      <c r="V157" s="5"/>
      <c r="W157" s="5">
        <v>1082342.3</v>
      </c>
      <c r="X157" s="5">
        <v>1</v>
      </c>
      <c r="Y157" s="5">
        <v>1082342.3</v>
      </c>
      <c r="Z157" s="5">
        <v>1082344.06</v>
      </c>
      <c r="AA157" s="5">
        <v>1</v>
      </c>
      <c r="AB157" s="5">
        <v>1082344.06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216</v>
      </c>
      <c r="F158" s="5">
        <f>ROUND(Source!AP149,O158)</f>
        <v>0</v>
      </c>
      <c r="G158" s="5" t="s">
        <v>72</v>
      </c>
      <c r="H158" s="5" t="s">
        <v>73</v>
      </c>
      <c r="I158" s="5"/>
      <c r="J158" s="5"/>
      <c r="K158" s="5">
        <v>216</v>
      </c>
      <c r="L158" s="5">
        <v>8</v>
      </c>
      <c r="M158" s="5">
        <v>3</v>
      </c>
      <c r="N158" s="5" t="s">
        <v>3</v>
      </c>
      <c r="O158" s="5">
        <v>2</v>
      </c>
      <c r="P158" s="5">
        <f>ROUND(Source!EH149,O158)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223</v>
      </c>
      <c r="F159" s="5">
        <f>ROUND(Source!AQ149,O159)</f>
        <v>0</v>
      </c>
      <c r="G159" s="5" t="s">
        <v>74</v>
      </c>
      <c r="H159" s="5" t="s">
        <v>75</v>
      </c>
      <c r="I159" s="5"/>
      <c r="J159" s="5"/>
      <c r="K159" s="5">
        <v>223</v>
      </c>
      <c r="L159" s="5">
        <v>9</v>
      </c>
      <c r="M159" s="5">
        <v>3</v>
      </c>
      <c r="N159" s="5" t="s">
        <v>3</v>
      </c>
      <c r="O159" s="5">
        <v>2</v>
      </c>
      <c r="P159" s="5">
        <f>ROUND(Source!EI149,O159)</f>
        <v>0</v>
      </c>
      <c r="Q159" s="5"/>
      <c r="R159" s="5"/>
      <c r="S159" s="5"/>
      <c r="T159" s="5"/>
      <c r="U159" s="5"/>
      <c r="V159" s="5"/>
      <c r="W159" s="5">
        <v>0</v>
      </c>
      <c r="X159" s="5">
        <v>1</v>
      </c>
      <c r="Y159" s="5">
        <v>0</v>
      </c>
      <c r="Z159" s="5">
        <v>0</v>
      </c>
      <c r="AA159" s="5">
        <v>1</v>
      </c>
      <c r="AB159" s="5">
        <v>0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229</v>
      </c>
      <c r="F160" s="5">
        <f>ROUND(Source!AZ149,O160)</f>
        <v>0</v>
      </c>
      <c r="G160" s="5" t="s">
        <v>76</v>
      </c>
      <c r="H160" s="5" t="s">
        <v>77</v>
      </c>
      <c r="I160" s="5"/>
      <c r="J160" s="5"/>
      <c r="K160" s="5">
        <v>229</v>
      </c>
      <c r="L160" s="5">
        <v>10</v>
      </c>
      <c r="M160" s="5">
        <v>3</v>
      </c>
      <c r="N160" s="5" t="s">
        <v>3</v>
      </c>
      <c r="O160" s="5">
        <v>2</v>
      </c>
      <c r="P160" s="5">
        <f>ROUND(Source!ER149,O160)</f>
        <v>0</v>
      </c>
      <c r="Q160" s="5"/>
      <c r="R160" s="5"/>
      <c r="S160" s="5"/>
      <c r="T160" s="5"/>
      <c r="U160" s="5"/>
      <c r="V160" s="5"/>
      <c r="W160" s="5">
        <v>0</v>
      </c>
      <c r="X160" s="5">
        <v>1</v>
      </c>
      <c r="Y160" s="5">
        <v>0</v>
      </c>
      <c r="Z160" s="5">
        <v>0</v>
      </c>
      <c r="AA160" s="5">
        <v>1</v>
      </c>
      <c r="AB160" s="5">
        <v>0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203</v>
      </c>
      <c r="F161" s="5">
        <f>ROUND(Source!Q149,O161)</f>
        <v>20.33</v>
      </c>
      <c r="G161" s="5" t="s">
        <v>78</v>
      </c>
      <c r="H161" s="5" t="s">
        <v>79</v>
      </c>
      <c r="I161" s="5"/>
      <c r="J161" s="5"/>
      <c r="K161" s="5">
        <v>203</v>
      </c>
      <c r="L161" s="5">
        <v>11</v>
      </c>
      <c r="M161" s="5">
        <v>3</v>
      </c>
      <c r="N161" s="5" t="s">
        <v>3</v>
      </c>
      <c r="O161" s="5">
        <v>2</v>
      </c>
      <c r="P161" s="5">
        <f>ROUND(Source!DI149,O161)</f>
        <v>273.08</v>
      </c>
      <c r="Q161" s="5"/>
      <c r="R161" s="5"/>
      <c r="S161" s="5"/>
      <c r="T161" s="5"/>
      <c r="U161" s="5"/>
      <c r="V161" s="5"/>
      <c r="W161" s="5">
        <v>20.33</v>
      </c>
      <c r="X161" s="5">
        <v>1</v>
      </c>
      <c r="Y161" s="5">
        <v>20.33</v>
      </c>
      <c r="Z161" s="5">
        <v>273.08</v>
      </c>
      <c r="AA161" s="5">
        <v>1</v>
      </c>
      <c r="AB161" s="5">
        <v>273.08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231</v>
      </c>
      <c r="F162" s="5">
        <f>ROUND(Source!BB149,O162)</f>
        <v>0</v>
      </c>
      <c r="G162" s="5" t="s">
        <v>80</v>
      </c>
      <c r="H162" s="5" t="s">
        <v>81</v>
      </c>
      <c r="I162" s="5"/>
      <c r="J162" s="5"/>
      <c r="K162" s="5">
        <v>231</v>
      </c>
      <c r="L162" s="5">
        <v>12</v>
      </c>
      <c r="M162" s="5">
        <v>3</v>
      </c>
      <c r="N162" s="5" t="s">
        <v>3</v>
      </c>
      <c r="O162" s="5">
        <v>2</v>
      </c>
      <c r="P162" s="5">
        <f>ROUND(Source!ET149,O162)</f>
        <v>0</v>
      </c>
      <c r="Q162" s="5"/>
      <c r="R162" s="5"/>
      <c r="S162" s="5"/>
      <c r="T162" s="5"/>
      <c r="U162" s="5"/>
      <c r="V162" s="5"/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204</v>
      </c>
      <c r="F163" s="5">
        <f>ROUND(Source!R149,O163)</f>
        <v>5.27</v>
      </c>
      <c r="G163" s="5" t="s">
        <v>82</v>
      </c>
      <c r="H163" s="5" t="s">
        <v>83</v>
      </c>
      <c r="I163" s="5"/>
      <c r="J163" s="5"/>
      <c r="K163" s="5">
        <v>204</v>
      </c>
      <c r="L163" s="5">
        <v>13</v>
      </c>
      <c r="M163" s="5">
        <v>3</v>
      </c>
      <c r="N163" s="5" t="s">
        <v>3</v>
      </c>
      <c r="O163" s="5">
        <v>2</v>
      </c>
      <c r="P163" s="5">
        <f>ROUND(Source!DJ149,O163)</f>
        <v>203.21</v>
      </c>
      <c r="Q163" s="5"/>
      <c r="R163" s="5"/>
      <c r="S163" s="5"/>
      <c r="T163" s="5"/>
      <c r="U163" s="5"/>
      <c r="V163" s="5"/>
      <c r="W163" s="5">
        <v>5.27</v>
      </c>
      <c r="X163" s="5">
        <v>1</v>
      </c>
      <c r="Y163" s="5">
        <v>5.27</v>
      </c>
      <c r="Z163" s="5">
        <v>203.21</v>
      </c>
      <c r="AA163" s="5">
        <v>1</v>
      </c>
      <c r="AB163" s="5">
        <v>203.21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205</v>
      </c>
      <c r="F164" s="5">
        <f>ROUND(Source!S149,O164)</f>
        <v>1640.61</v>
      </c>
      <c r="G164" s="5" t="s">
        <v>84</v>
      </c>
      <c r="H164" s="5" t="s">
        <v>85</v>
      </c>
      <c r="I164" s="5"/>
      <c r="J164" s="5"/>
      <c r="K164" s="5">
        <v>205</v>
      </c>
      <c r="L164" s="5">
        <v>14</v>
      </c>
      <c r="M164" s="5">
        <v>3</v>
      </c>
      <c r="N164" s="5" t="s">
        <v>3</v>
      </c>
      <c r="O164" s="5">
        <v>2</v>
      </c>
      <c r="P164" s="5">
        <f>ROUND(Source!DK149,O164)</f>
        <v>63310.95</v>
      </c>
      <c r="Q164" s="5"/>
      <c r="R164" s="5"/>
      <c r="S164" s="5"/>
      <c r="T164" s="5"/>
      <c r="U164" s="5"/>
      <c r="V164" s="5"/>
      <c r="W164" s="5">
        <v>1640.6100000000001</v>
      </c>
      <c r="X164" s="5">
        <v>1</v>
      </c>
      <c r="Y164" s="5">
        <v>1640.6100000000001</v>
      </c>
      <c r="Z164" s="5">
        <v>63310.950000000004</v>
      </c>
      <c r="AA164" s="5">
        <v>1</v>
      </c>
      <c r="AB164" s="5">
        <v>63310.950000000004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232</v>
      </c>
      <c r="F165" s="5">
        <f>ROUND(Source!BC149,O165)</f>
        <v>0</v>
      </c>
      <c r="G165" s="5" t="s">
        <v>86</v>
      </c>
      <c r="H165" s="5" t="s">
        <v>87</v>
      </c>
      <c r="I165" s="5"/>
      <c r="J165" s="5"/>
      <c r="K165" s="5">
        <v>232</v>
      </c>
      <c r="L165" s="5">
        <v>15</v>
      </c>
      <c r="M165" s="5">
        <v>3</v>
      </c>
      <c r="N165" s="5" t="s">
        <v>3</v>
      </c>
      <c r="O165" s="5">
        <v>2</v>
      </c>
      <c r="P165" s="5">
        <f>ROUND(Source!EU149,O165)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214</v>
      </c>
      <c r="F166" s="5">
        <f>ROUND(Source!AS149,O166)</f>
        <v>1086314.67</v>
      </c>
      <c r="G166" s="5" t="s">
        <v>88</v>
      </c>
      <c r="H166" s="5" t="s">
        <v>89</v>
      </c>
      <c r="I166" s="5"/>
      <c r="J166" s="5"/>
      <c r="K166" s="5">
        <v>214</v>
      </c>
      <c r="L166" s="5">
        <v>16</v>
      </c>
      <c r="M166" s="5">
        <v>3</v>
      </c>
      <c r="N166" s="5" t="s">
        <v>3</v>
      </c>
      <c r="O166" s="5">
        <v>2</v>
      </c>
      <c r="P166" s="5">
        <f>ROUND(Source!EK149,O166)</f>
        <v>1232877.43</v>
      </c>
      <c r="Q166" s="5"/>
      <c r="R166" s="5"/>
      <c r="S166" s="5"/>
      <c r="T166" s="5"/>
      <c r="U166" s="5"/>
      <c r="V166" s="5"/>
      <c r="W166" s="5">
        <v>1086314.67</v>
      </c>
      <c r="X166" s="5">
        <v>1</v>
      </c>
      <c r="Y166" s="5">
        <v>1086314.67</v>
      </c>
      <c r="Z166" s="5">
        <v>1232877.43</v>
      </c>
      <c r="AA166" s="5">
        <v>1</v>
      </c>
      <c r="AB166" s="5">
        <v>1232877.43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215</v>
      </c>
      <c r="F167" s="5">
        <f>ROUND(Source!AT149,O167)</f>
        <v>0</v>
      </c>
      <c r="G167" s="5" t="s">
        <v>90</v>
      </c>
      <c r="H167" s="5" t="s">
        <v>91</v>
      </c>
      <c r="I167" s="5"/>
      <c r="J167" s="5"/>
      <c r="K167" s="5">
        <v>215</v>
      </c>
      <c r="L167" s="5">
        <v>17</v>
      </c>
      <c r="M167" s="5">
        <v>3</v>
      </c>
      <c r="N167" s="5" t="s">
        <v>3</v>
      </c>
      <c r="O167" s="5">
        <v>2</v>
      </c>
      <c r="P167" s="5">
        <f>ROUND(Source!EL149,O167)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217</v>
      </c>
      <c r="F168" s="5">
        <f>ROUND(Source!AU149,O168)</f>
        <v>0</v>
      </c>
      <c r="G168" s="5" t="s">
        <v>92</v>
      </c>
      <c r="H168" s="5" t="s">
        <v>93</v>
      </c>
      <c r="I168" s="5"/>
      <c r="J168" s="5"/>
      <c r="K168" s="5">
        <v>217</v>
      </c>
      <c r="L168" s="5">
        <v>18</v>
      </c>
      <c r="M168" s="5">
        <v>3</v>
      </c>
      <c r="N168" s="5" t="s">
        <v>3</v>
      </c>
      <c r="O168" s="5">
        <v>2</v>
      </c>
      <c r="P168" s="5">
        <f>ROUND(Source!EM149,O168)</f>
        <v>0</v>
      </c>
      <c r="Q168" s="5"/>
      <c r="R168" s="5"/>
      <c r="S168" s="5"/>
      <c r="T168" s="5"/>
      <c r="U168" s="5"/>
      <c r="V168" s="5"/>
      <c r="W168" s="5">
        <v>0</v>
      </c>
      <c r="X168" s="5">
        <v>1</v>
      </c>
      <c r="Y168" s="5">
        <v>0</v>
      </c>
      <c r="Z168" s="5">
        <v>0</v>
      </c>
      <c r="AA168" s="5">
        <v>1</v>
      </c>
      <c r="AB168" s="5">
        <v>0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230</v>
      </c>
      <c r="F169" s="5">
        <f>ROUND(Source!BA149,O169)</f>
        <v>0</v>
      </c>
      <c r="G169" s="5" t="s">
        <v>94</v>
      </c>
      <c r="H169" s="5" t="s">
        <v>95</v>
      </c>
      <c r="I169" s="5"/>
      <c r="J169" s="5"/>
      <c r="K169" s="5">
        <v>230</v>
      </c>
      <c r="L169" s="5">
        <v>19</v>
      </c>
      <c r="M169" s="5">
        <v>3</v>
      </c>
      <c r="N169" s="5" t="s">
        <v>3</v>
      </c>
      <c r="O169" s="5">
        <v>2</v>
      </c>
      <c r="P169" s="5">
        <f>ROUND(Source!ES149,O169)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206</v>
      </c>
      <c r="F170" s="5">
        <f>ROUND(Source!T149,O170)</f>
        <v>0</v>
      </c>
      <c r="G170" s="5" t="s">
        <v>96</v>
      </c>
      <c r="H170" s="5" t="s">
        <v>97</v>
      </c>
      <c r="I170" s="5"/>
      <c r="J170" s="5"/>
      <c r="K170" s="5">
        <v>206</v>
      </c>
      <c r="L170" s="5">
        <v>20</v>
      </c>
      <c r="M170" s="5">
        <v>3</v>
      </c>
      <c r="N170" s="5" t="s">
        <v>3</v>
      </c>
      <c r="O170" s="5">
        <v>2</v>
      </c>
      <c r="P170" s="5">
        <f>ROUND(Source!DL149,O170)</f>
        <v>0</v>
      </c>
      <c r="Q170" s="5"/>
      <c r="R170" s="5"/>
      <c r="S170" s="5"/>
      <c r="T170" s="5"/>
      <c r="U170" s="5"/>
      <c r="V170" s="5"/>
      <c r="W170" s="5">
        <v>0</v>
      </c>
      <c r="X170" s="5">
        <v>1</v>
      </c>
      <c r="Y170" s="5">
        <v>0</v>
      </c>
      <c r="Z170" s="5">
        <v>0</v>
      </c>
      <c r="AA170" s="5">
        <v>1</v>
      </c>
      <c r="AB170" s="5">
        <v>0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207</v>
      </c>
      <c r="F171" s="5">
        <f>Source!U149</f>
        <v>185.5115</v>
      </c>
      <c r="G171" s="5" t="s">
        <v>98</v>
      </c>
      <c r="H171" s="5" t="s">
        <v>99</v>
      </c>
      <c r="I171" s="5"/>
      <c r="J171" s="5"/>
      <c r="K171" s="5">
        <v>207</v>
      </c>
      <c r="L171" s="5">
        <v>21</v>
      </c>
      <c r="M171" s="5">
        <v>3</v>
      </c>
      <c r="N171" s="5" t="s">
        <v>3</v>
      </c>
      <c r="O171" s="5">
        <v>-1</v>
      </c>
      <c r="P171" s="5">
        <f>Source!DM149</f>
        <v>185.5115</v>
      </c>
      <c r="Q171" s="5"/>
      <c r="R171" s="5"/>
      <c r="S171" s="5"/>
      <c r="T171" s="5"/>
      <c r="U171" s="5"/>
      <c r="V171" s="5"/>
      <c r="W171" s="5">
        <v>185.5115</v>
      </c>
      <c r="X171" s="5">
        <v>1</v>
      </c>
      <c r="Y171" s="5">
        <v>185.5115</v>
      </c>
      <c r="Z171" s="5">
        <v>185.5115</v>
      </c>
      <c r="AA171" s="5">
        <v>1</v>
      </c>
      <c r="AB171" s="5">
        <v>185.5115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208</v>
      </c>
      <c r="F172" s="5">
        <f>Source!V149</f>
        <v>0.41925</v>
      </c>
      <c r="G172" s="5" t="s">
        <v>100</v>
      </c>
      <c r="H172" s="5" t="s">
        <v>101</v>
      </c>
      <c r="I172" s="5"/>
      <c r="J172" s="5"/>
      <c r="K172" s="5">
        <v>208</v>
      </c>
      <c r="L172" s="5">
        <v>22</v>
      </c>
      <c r="M172" s="5">
        <v>3</v>
      </c>
      <c r="N172" s="5" t="s">
        <v>3</v>
      </c>
      <c r="O172" s="5">
        <v>-1</v>
      </c>
      <c r="P172" s="5">
        <f>Source!DN149</f>
        <v>0.41925</v>
      </c>
      <c r="Q172" s="5"/>
      <c r="R172" s="5"/>
      <c r="S172" s="5"/>
      <c r="T172" s="5"/>
      <c r="U172" s="5"/>
      <c r="V172" s="5"/>
      <c r="W172" s="5">
        <v>0.41925</v>
      </c>
      <c r="X172" s="5">
        <v>1</v>
      </c>
      <c r="Y172" s="5">
        <v>0.41925</v>
      </c>
      <c r="Z172" s="5">
        <v>0.41925</v>
      </c>
      <c r="AA172" s="5">
        <v>1</v>
      </c>
      <c r="AB172" s="5">
        <v>0.41925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209</v>
      </c>
      <c r="F173" s="5">
        <f>ROUND(Source!W149,O173)</f>
        <v>0</v>
      </c>
      <c r="G173" s="5" t="s">
        <v>102</v>
      </c>
      <c r="H173" s="5" t="s">
        <v>103</v>
      </c>
      <c r="I173" s="5"/>
      <c r="J173" s="5"/>
      <c r="K173" s="5">
        <v>209</v>
      </c>
      <c r="L173" s="5">
        <v>23</v>
      </c>
      <c r="M173" s="5">
        <v>3</v>
      </c>
      <c r="N173" s="5" t="s">
        <v>3</v>
      </c>
      <c r="O173" s="5">
        <v>2</v>
      </c>
      <c r="P173" s="5">
        <f>ROUND(Source!DO149,O173)</f>
        <v>0</v>
      </c>
      <c r="Q173" s="5"/>
      <c r="R173" s="5"/>
      <c r="S173" s="5"/>
      <c r="T173" s="5"/>
      <c r="U173" s="5"/>
      <c r="V173" s="5"/>
      <c r="W173" s="5">
        <v>0</v>
      </c>
      <c r="X173" s="5">
        <v>1</v>
      </c>
      <c r="Y173" s="5">
        <v>0</v>
      </c>
      <c r="Z173" s="5">
        <v>0</v>
      </c>
      <c r="AA173" s="5">
        <v>1</v>
      </c>
      <c r="AB173" s="5">
        <v>0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233</v>
      </c>
      <c r="F174" s="5">
        <f>ROUND(Source!BD149,O174)</f>
        <v>89.35</v>
      </c>
      <c r="G174" s="5" t="s">
        <v>104</v>
      </c>
      <c r="H174" s="5" t="s">
        <v>105</v>
      </c>
      <c r="I174" s="5"/>
      <c r="J174" s="5"/>
      <c r="K174" s="5">
        <v>233</v>
      </c>
      <c r="L174" s="5">
        <v>24</v>
      </c>
      <c r="M174" s="5">
        <v>3</v>
      </c>
      <c r="N174" s="5" t="s">
        <v>3</v>
      </c>
      <c r="O174" s="5">
        <v>2</v>
      </c>
      <c r="P174" s="5">
        <f>ROUND(Source!EV149,O174)</f>
        <v>1199.97</v>
      </c>
      <c r="Q174" s="5"/>
      <c r="R174" s="5"/>
      <c r="S174" s="5"/>
      <c r="T174" s="5"/>
      <c r="U174" s="5"/>
      <c r="V174" s="5"/>
      <c r="W174" s="5">
        <v>89.35</v>
      </c>
      <c r="X174" s="5">
        <v>1</v>
      </c>
      <c r="Y174" s="5">
        <v>89.35</v>
      </c>
      <c r="Z174" s="5">
        <v>1199.97</v>
      </c>
      <c r="AA174" s="5">
        <v>1</v>
      </c>
      <c r="AB174" s="5">
        <v>1199.97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210</v>
      </c>
      <c r="F175" s="5">
        <f>ROUND(Source!X149,O175)</f>
        <v>1481.57</v>
      </c>
      <c r="G175" s="5" t="s">
        <v>106</v>
      </c>
      <c r="H175" s="5" t="s">
        <v>107</v>
      </c>
      <c r="I175" s="5"/>
      <c r="J175" s="5"/>
      <c r="K175" s="5">
        <v>210</v>
      </c>
      <c r="L175" s="5">
        <v>25</v>
      </c>
      <c r="M175" s="5">
        <v>3</v>
      </c>
      <c r="N175" s="5" t="s">
        <v>3</v>
      </c>
      <c r="O175" s="5">
        <v>2</v>
      </c>
      <c r="P175" s="5">
        <f>ROUND(Source!DP149,O175)</f>
        <v>57173.26</v>
      </c>
      <c r="Q175" s="5"/>
      <c r="R175" s="5"/>
      <c r="S175" s="5"/>
      <c r="T175" s="5"/>
      <c r="U175" s="5"/>
      <c r="V175" s="5"/>
      <c r="W175" s="5">
        <v>1481.57</v>
      </c>
      <c r="X175" s="5">
        <v>1</v>
      </c>
      <c r="Y175" s="5">
        <v>1481.57</v>
      </c>
      <c r="Z175" s="5">
        <v>57173.26</v>
      </c>
      <c r="AA175" s="5">
        <v>1</v>
      </c>
      <c r="AB175" s="5">
        <v>57173.26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211</v>
      </c>
      <c r="F176" s="5">
        <f>ROUND(Source!Y149,O176)</f>
        <v>740.51</v>
      </c>
      <c r="G176" s="5" t="s">
        <v>108</v>
      </c>
      <c r="H176" s="5" t="s">
        <v>109</v>
      </c>
      <c r="I176" s="5"/>
      <c r="J176" s="5"/>
      <c r="K176" s="5">
        <v>211</v>
      </c>
      <c r="L176" s="5">
        <v>26</v>
      </c>
      <c r="M176" s="5">
        <v>3</v>
      </c>
      <c r="N176" s="5" t="s">
        <v>3</v>
      </c>
      <c r="O176" s="5">
        <v>2</v>
      </c>
      <c r="P176" s="5">
        <f>ROUND(Source!DQ149,O176)</f>
        <v>28576.11</v>
      </c>
      <c r="Q176" s="5"/>
      <c r="R176" s="5"/>
      <c r="S176" s="5"/>
      <c r="T176" s="5"/>
      <c r="U176" s="5"/>
      <c r="V176" s="5"/>
      <c r="W176" s="5">
        <v>740.51</v>
      </c>
      <c r="X176" s="5">
        <v>1</v>
      </c>
      <c r="Y176" s="5">
        <v>740.51</v>
      </c>
      <c r="Z176" s="5">
        <v>28576.11</v>
      </c>
      <c r="AA176" s="5">
        <v>1</v>
      </c>
      <c r="AB176" s="5">
        <v>28576.11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0</v>
      </c>
      <c r="F177" s="5">
        <f>ROUND(Source!AR149,O177)</f>
        <v>1086314.67</v>
      </c>
      <c r="G177" s="5" t="s">
        <v>110</v>
      </c>
      <c r="H177" s="5" t="s">
        <v>111</v>
      </c>
      <c r="I177" s="5"/>
      <c r="J177" s="5"/>
      <c r="K177" s="5">
        <v>224</v>
      </c>
      <c r="L177" s="5">
        <v>27</v>
      </c>
      <c r="M177" s="5">
        <v>3</v>
      </c>
      <c r="N177" s="5" t="s">
        <v>3</v>
      </c>
      <c r="O177" s="5">
        <v>2</v>
      </c>
      <c r="P177" s="5">
        <f>ROUND(Source!EJ149,O177)</f>
        <v>1232877.43</v>
      </c>
      <c r="Q177" s="5"/>
      <c r="R177" s="5"/>
      <c r="S177" s="5"/>
      <c r="T177" s="5"/>
      <c r="U177" s="5"/>
      <c r="V177" s="5"/>
      <c r="W177" s="5">
        <v>1086314.6700000002</v>
      </c>
      <c r="X177" s="5">
        <v>1</v>
      </c>
      <c r="Y177" s="5">
        <v>1086314.6700000002</v>
      </c>
      <c r="Z177" s="5">
        <v>1232877.4300000002</v>
      </c>
      <c r="AA177" s="5">
        <v>1</v>
      </c>
      <c r="AB177" s="5">
        <v>1232877.4300000002</v>
      </c>
    </row>
    <row r="178" spans="1:28" ht="12.75">
      <c r="A178" s="5">
        <v>50</v>
      </c>
      <c r="B178" s="5">
        <v>1</v>
      </c>
      <c r="C178" s="5">
        <v>0</v>
      </c>
      <c r="D178" s="5">
        <v>2</v>
      </c>
      <c r="E178" s="5">
        <v>0</v>
      </c>
      <c r="F178" s="5">
        <f>ROUND(F177,O178)</f>
        <v>1086314.67</v>
      </c>
      <c r="G178" s="5" t="s">
        <v>145</v>
      </c>
      <c r="H178" s="5" t="s">
        <v>110</v>
      </c>
      <c r="I178" s="5"/>
      <c r="J178" s="5"/>
      <c r="K178" s="5">
        <v>212</v>
      </c>
      <c r="L178" s="5">
        <v>28</v>
      </c>
      <c r="M178" s="5">
        <v>0</v>
      </c>
      <c r="N178" s="5" t="s">
        <v>3</v>
      </c>
      <c r="O178" s="5">
        <v>2</v>
      </c>
      <c r="P178" s="5">
        <f>ROUND(P177,O178)</f>
        <v>1232877.43</v>
      </c>
      <c r="Q178" s="5"/>
      <c r="R178" s="5"/>
      <c r="S178" s="5"/>
      <c r="T178" s="5"/>
      <c r="U178" s="5"/>
      <c r="V178" s="5"/>
      <c r="W178" s="5">
        <v>1086314.67</v>
      </c>
      <c r="X178" s="5">
        <v>1</v>
      </c>
      <c r="Y178" s="5">
        <v>1086314.67</v>
      </c>
      <c r="Z178" s="5">
        <v>1232877.43</v>
      </c>
      <c r="AA178" s="5">
        <v>1</v>
      </c>
      <c r="AB178" s="5">
        <v>1232877.43</v>
      </c>
    </row>
    <row r="179" spans="1:28" ht="12.75">
      <c r="A179" s="5">
        <v>50</v>
      </c>
      <c r="B179" s="5">
        <v>1</v>
      </c>
      <c r="C179" s="5">
        <v>0</v>
      </c>
      <c r="D179" s="5">
        <v>2</v>
      </c>
      <c r="E179" s="5">
        <v>0</v>
      </c>
      <c r="F179" s="5">
        <f>ROUND(F178*0.2,O179)</f>
        <v>217262.93</v>
      </c>
      <c r="G179" s="5" t="s">
        <v>141</v>
      </c>
      <c r="H179" s="5" t="s">
        <v>146</v>
      </c>
      <c r="I179" s="5"/>
      <c r="J179" s="5"/>
      <c r="K179" s="5">
        <v>212</v>
      </c>
      <c r="L179" s="5">
        <v>31</v>
      </c>
      <c r="M179" s="5">
        <v>0</v>
      </c>
      <c r="N179" s="5" t="s">
        <v>3</v>
      </c>
      <c r="O179" s="5">
        <v>2</v>
      </c>
      <c r="P179" s="5">
        <f>ROUND(P178*0.2,O179)</f>
        <v>246575.49</v>
      </c>
      <c r="Q179" s="5"/>
      <c r="R179" s="5"/>
      <c r="S179" s="5"/>
      <c r="T179" s="5"/>
      <c r="U179" s="5"/>
      <c r="V179" s="5"/>
      <c r="W179" s="5">
        <v>217262.93</v>
      </c>
      <c r="X179" s="5">
        <v>1</v>
      </c>
      <c r="Y179" s="5">
        <v>217262.93</v>
      </c>
      <c r="Z179" s="5">
        <v>246575.49</v>
      </c>
      <c r="AA179" s="5">
        <v>1</v>
      </c>
      <c r="AB179" s="5">
        <v>246575.49</v>
      </c>
    </row>
    <row r="180" spans="1:28" ht="12.75">
      <c r="A180" s="5">
        <v>50</v>
      </c>
      <c r="B180" s="5">
        <v>1</v>
      </c>
      <c r="C180" s="5">
        <v>0</v>
      </c>
      <c r="D180" s="5">
        <v>2</v>
      </c>
      <c r="E180" s="5">
        <v>224</v>
      </c>
      <c r="F180" s="5">
        <f>ROUND(F178+F179,O180)</f>
        <v>1303577.6</v>
      </c>
      <c r="G180" s="5" t="s">
        <v>147</v>
      </c>
      <c r="H180" s="5" t="s">
        <v>144</v>
      </c>
      <c r="I180" s="5"/>
      <c r="J180" s="5"/>
      <c r="K180" s="5">
        <v>212</v>
      </c>
      <c r="L180" s="5">
        <v>32</v>
      </c>
      <c r="M180" s="5">
        <v>0</v>
      </c>
      <c r="N180" s="5" t="s">
        <v>3</v>
      </c>
      <c r="O180" s="5">
        <v>2</v>
      </c>
      <c r="P180" s="5">
        <f>ROUND(P178+P179,O180)</f>
        <v>1479452.92</v>
      </c>
      <c r="Q180" s="5"/>
      <c r="R180" s="5"/>
      <c r="S180" s="5"/>
      <c r="T180" s="5"/>
      <c r="U180" s="5"/>
      <c r="V180" s="5"/>
      <c r="W180" s="5">
        <v>1303577.6</v>
      </c>
      <c r="X180" s="5">
        <v>1</v>
      </c>
      <c r="Y180" s="5">
        <v>1303577.6</v>
      </c>
      <c r="Z180" s="5">
        <v>1479452.92</v>
      </c>
      <c r="AA180" s="5">
        <v>1</v>
      </c>
      <c r="AB180" s="5">
        <v>1479452.92</v>
      </c>
    </row>
    <row r="182" spans="1:8" ht="12.75">
      <c r="A182" s="6">
        <v>61</v>
      </c>
      <c r="B182" s="6"/>
      <c r="C182" s="6"/>
      <c r="D182" s="6"/>
      <c r="E182" s="6"/>
      <c r="F182" s="6">
        <v>3</v>
      </c>
      <c r="G182" s="6" t="s">
        <v>148</v>
      </c>
      <c r="H182" s="6" t="s">
        <v>149</v>
      </c>
    </row>
    <row r="183" spans="1:8" ht="12.75">
      <c r="A183" s="6">
        <v>61</v>
      </c>
      <c r="B183" s="6"/>
      <c r="C183" s="6"/>
      <c r="D183" s="6"/>
      <c r="E183" s="6"/>
      <c r="F183" s="6">
        <v>2</v>
      </c>
      <c r="G183" s="6" t="s">
        <v>150</v>
      </c>
      <c r="H183" s="6" t="s">
        <v>149</v>
      </c>
    </row>
    <row r="184" spans="1:8" ht="12.75">
      <c r="A184" s="6">
        <v>61</v>
      </c>
      <c r="B184" s="6"/>
      <c r="C184" s="6"/>
      <c r="D184" s="6"/>
      <c r="E184" s="6"/>
      <c r="F184" s="6">
        <v>1</v>
      </c>
      <c r="G184" s="6" t="s">
        <v>151</v>
      </c>
      <c r="H184" s="6" t="s">
        <v>149</v>
      </c>
    </row>
    <row r="187" spans="1:16" ht="12.75">
      <c r="A187">
        <v>70</v>
      </c>
      <c r="B187">
        <v>1</v>
      </c>
      <c r="D187">
        <v>1</v>
      </c>
      <c r="E187" t="s">
        <v>152</v>
      </c>
      <c r="F187" t="s">
        <v>153</v>
      </c>
      <c r="G187">
        <v>0</v>
      </c>
      <c r="H187">
        <v>0</v>
      </c>
      <c r="J187">
        <v>1</v>
      </c>
      <c r="K187">
        <v>0</v>
      </c>
      <c r="N187">
        <v>0</v>
      </c>
      <c r="O187">
        <v>0</v>
      </c>
      <c r="P187" t="s">
        <v>154</v>
      </c>
    </row>
    <row r="188" spans="1:16" ht="12.75">
      <c r="A188">
        <v>70</v>
      </c>
      <c r="B188">
        <v>1</v>
      </c>
      <c r="D188">
        <v>2</v>
      </c>
      <c r="E188" t="s">
        <v>155</v>
      </c>
      <c r="F188" t="s">
        <v>156</v>
      </c>
      <c r="G188">
        <v>1</v>
      </c>
      <c r="H188">
        <v>0</v>
      </c>
      <c r="J188">
        <v>1</v>
      </c>
      <c r="K188">
        <v>0</v>
      </c>
      <c r="N188">
        <v>0</v>
      </c>
      <c r="O188">
        <v>1</v>
      </c>
      <c r="P188" t="s">
        <v>157</v>
      </c>
    </row>
    <row r="189" spans="1:16" ht="12.75">
      <c r="A189">
        <v>70</v>
      </c>
      <c r="B189">
        <v>1</v>
      </c>
      <c r="D189">
        <v>3</v>
      </c>
      <c r="E189" t="s">
        <v>158</v>
      </c>
      <c r="F189" t="s">
        <v>159</v>
      </c>
      <c r="G189">
        <v>0</v>
      </c>
      <c r="H189">
        <v>0</v>
      </c>
      <c r="J189">
        <v>1</v>
      </c>
      <c r="K189">
        <v>0</v>
      </c>
      <c r="N189">
        <v>0</v>
      </c>
      <c r="O189">
        <v>0</v>
      </c>
      <c r="P189" t="s">
        <v>160</v>
      </c>
    </row>
    <row r="190" spans="1:16" ht="12.75">
      <c r="A190">
        <v>70</v>
      </c>
      <c r="B190">
        <v>1</v>
      </c>
      <c r="D190">
        <v>4</v>
      </c>
      <c r="E190" t="s">
        <v>161</v>
      </c>
      <c r="F190" t="s">
        <v>162</v>
      </c>
      <c r="G190">
        <v>1</v>
      </c>
      <c r="H190">
        <v>0</v>
      </c>
      <c r="J190">
        <v>2</v>
      </c>
      <c r="K190">
        <v>0</v>
      </c>
      <c r="N190">
        <v>0</v>
      </c>
      <c r="O190">
        <v>1</v>
      </c>
    </row>
    <row r="191" spans="1:16" ht="12.75">
      <c r="A191">
        <v>70</v>
      </c>
      <c r="B191">
        <v>1</v>
      </c>
      <c r="D191">
        <v>5</v>
      </c>
      <c r="E191" t="s">
        <v>163</v>
      </c>
      <c r="F191" t="s">
        <v>164</v>
      </c>
      <c r="G191">
        <v>0</v>
      </c>
      <c r="H191">
        <v>0</v>
      </c>
      <c r="J191">
        <v>2</v>
      </c>
      <c r="K191">
        <v>0</v>
      </c>
      <c r="N191">
        <v>0</v>
      </c>
      <c r="O191">
        <v>0</v>
      </c>
    </row>
    <row r="192" spans="1:16" ht="12.75">
      <c r="A192">
        <v>70</v>
      </c>
      <c r="B192">
        <v>1</v>
      </c>
      <c r="D192">
        <v>6</v>
      </c>
      <c r="E192" t="s">
        <v>165</v>
      </c>
      <c r="F192" t="s">
        <v>166</v>
      </c>
      <c r="G192">
        <v>0</v>
      </c>
      <c r="H192">
        <v>0</v>
      </c>
      <c r="J192">
        <v>2</v>
      </c>
      <c r="K192">
        <v>0</v>
      </c>
      <c r="N192">
        <v>0</v>
      </c>
      <c r="O192">
        <v>0</v>
      </c>
    </row>
    <row r="193" spans="1:16" ht="12.75">
      <c r="A193">
        <v>70</v>
      </c>
      <c r="B193">
        <v>1</v>
      </c>
      <c r="D193">
        <v>7</v>
      </c>
      <c r="E193" t="s">
        <v>167</v>
      </c>
      <c r="F193" t="s">
        <v>168</v>
      </c>
      <c r="G193">
        <v>0</v>
      </c>
      <c r="H193">
        <v>0</v>
      </c>
      <c r="I193" t="s">
        <v>169</v>
      </c>
      <c r="J193">
        <v>0</v>
      </c>
      <c r="K193">
        <v>0</v>
      </c>
      <c r="N193">
        <v>0</v>
      </c>
      <c r="O193">
        <v>0</v>
      </c>
      <c r="P193" t="s">
        <v>170</v>
      </c>
    </row>
    <row r="194" spans="1:16" ht="12.75">
      <c r="A194">
        <v>70</v>
      </c>
      <c r="B194">
        <v>1</v>
      </c>
      <c r="D194">
        <v>8</v>
      </c>
      <c r="E194" t="s">
        <v>171</v>
      </c>
      <c r="F194" t="s">
        <v>172</v>
      </c>
      <c r="G194">
        <v>1</v>
      </c>
      <c r="H194">
        <v>0</v>
      </c>
      <c r="J194">
        <v>5</v>
      </c>
      <c r="K194">
        <v>0</v>
      </c>
      <c r="N194">
        <v>0</v>
      </c>
      <c r="O194">
        <v>1</v>
      </c>
    </row>
    <row r="195" spans="1:16" ht="12.75">
      <c r="A195">
        <v>70</v>
      </c>
      <c r="B195">
        <v>1</v>
      </c>
      <c r="D195">
        <v>9</v>
      </c>
      <c r="E195" t="s">
        <v>173</v>
      </c>
      <c r="F195" t="s">
        <v>174</v>
      </c>
      <c r="G195">
        <v>0</v>
      </c>
      <c r="H195">
        <v>0</v>
      </c>
      <c r="J195">
        <v>5</v>
      </c>
      <c r="K195">
        <v>0</v>
      </c>
      <c r="N195">
        <v>0</v>
      </c>
      <c r="O195">
        <v>0</v>
      </c>
    </row>
    <row r="196" spans="1:16" ht="12.75">
      <c r="A196">
        <v>70</v>
      </c>
      <c r="B196">
        <v>1</v>
      </c>
      <c r="D196">
        <v>10</v>
      </c>
      <c r="E196" t="s">
        <v>175</v>
      </c>
      <c r="F196" t="s">
        <v>176</v>
      </c>
      <c r="G196">
        <v>0</v>
      </c>
      <c r="H196">
        <v>0</v>
      </c>
      <c r="I196" t="s">
        <v>177</v>
      </c>
      <c r="J196">
        <v>5</v>
      </c>
      <c r="K196">
        <v>0</v>
      </c>
      <c r="N196">
        <v>0</v>
      </c>
      <c r="O196">
        <v>0</v>
      </c>
      <c r="P196" t="s">
        <v>178</v>
      </c>
    </row>
    <row r="197" spans="1:16" ht="12.75">
      <c r="A197">
        <v>70</v>
      </c>
      <c r="B197">
        <v>1</v>
      </c>
      <c r="D197">
        <v>11</v>
      </c>
      <c r="E197" t="s">
        <v>179</v>
      </c>
      <c r="F197" t="s">
        <v>180</v>
      </c>
      <c r="G197">
        <v>0</v>
      </c>
      <c r="H197">
        <v>0</v>
      </c>
      <c r="I197" t="s">
        <v>181</v>
      </c>
      <c r="J197">
        <v>0</v>
      </c>
      <c r="K197">
        <v>0</v>
      </c>
      <c r="N197">
        <v>0</v>
      </c>
      <c r="O197">
        <v>0</v>
      </c>
      <c r="P197" t="s">
        <v>182</v>
      </c>
    </row>
    <row r="198" spans="1:16" ht="12.75">
      <c r="A198">
        <v>70</v>
      </c>
      <c r="B198">
        <v>1</v>
      </c>
      <c r="D198">
        <v>12</v>
      </c>
      <c r="E198" t="s">
        <v>183</v>
      </c>
      <c r="F198" t="s">
        <v>184</v>
      </c>
      <c r="G198">
        <v>0</v>
      </c>
      <c r="H198">
        <v>0</v>
      </c>
      <c r="I198" t="s">
        <v>185</v>
      </c>
      <c r="J198">
        <v>0</v>
      </c>
      <c r="K198">
        <v>0</v>
      </c>
      <c r="N198">
        <v>0</v>
      </c>
      <c r="O198">
        <v>0</v>
      </c>
      <c r="P198" t="s">
        <v>186</v>
      </c>
    </row>
    <row r="199" spans="1:16" ht="12.75">
      <c r="A199">
        <v>70</v>
      </c>
      <c r="B199">
        <v>1</v>
      </c>
      <c r="D199">
        <v>13</v>
      </c>
      <c r="E199" t="s">
        <v>187</v>
      </c>
      <c r="F199" t="s">
        <v>188</v>
      </c>
      <c r="G199">
        <v>0</v>
      </c>
      <c r="H199">
        <v>0</v>
      </c>
      <c r="I199" t="s">
        <v>189</v>
      </c>
      <c r="J199">
        <v>0</v>
      </c>
      <c r="K199">
        <v>0</v>
      </c>
      <c r="N199">
        <v>0</v>
      </c>
      <c r="O199">
        <v>0</v>
      </c>
      <c r="P199" t="s">
        <v>190</v>
      </c>
    </row>
    <row r="200" spans="1:16" ht="12.75">
      <c r="A200">
        <v>70</v>
      </c>
      <c r="B200">
        <v>1</v>
      </c>
      <c r="D200">
        <v>14</v>
      </c>
      <c r="E200" t="s">
        <v>191</v>
      </c>
      <c r="F200" t="s">
        <v>192</v>
      </c>
      <c r="G200">
        <v>0</v>
      </c>
      <c r="H200">
        <v>0</v>
      </c>
      <c r="J200">
        <v>0</v>
      </c>
      <c r="K200">
        <v>0</v>
      </c>
      <c r="N200">
        <v>0</v>
      </c>
      <c r="O200">
        <v>0</v>
      </c>
      <c r="P200" t="s">
        <v>193</v>
      </c>
    </row>
    <row r="201" spans="1:16" ht="12.75">
      <c r="A201">
        <v>70</v>
      </c>
      <c r="B201">
        <v>1</v>
      </c>
      <c r="D201">
        <v>15</v>
      </c>
      <c r="E201" t="s">
        <v>194</v>
      </c>
      <c r="F201" t="s">
        <v>195</v>
      </c>
      <c r="G201">
        <v>0</v>
      </c>
      <c r="H201">
        <v>0</v>
      </c>
      <c r="J201">
        <v>3</v>
      </c>
      <c r="K201">
        <v>0</v>
      </c>
      <c r="N201">
        <v>0</v>
      </c>
      <c r="O201">
        <v>0</v>
      </c>
    </row>
    <row r="202" spans="1:16" ht="12.75">
      <c r="A202">
        <v>70</v>
      </c>
      <c r="B202">
        <v>1</v>
      </c>
      <c r="D202">
        <v>16</v>
      </c>
      <c r="E202" t="s">
        <v>196</v>
      </c>
      <c r="F202" t="s">
        <v>197</v>
      </c>
      <c r="G202">
        <v>1</v>
      </c>
      <c r="H202">
        <v>0</v>
      </c>
      <c r="J202">
        <v>3</v>
      </c>
      <c r="K202">
        <v>0</v>
      </c>
      <c r="N202">
        <v>0</v>
      </c>
      <c r="O202">
        <v>1</v>
      </c>
    </row>
    <row r="203" spans="1:16" ht="12.75">
      <c r="A203">
        <v>70</v>
      </c>
      <c r="B203">
        <v>1</v>
      </c>
      <c r="D203">
        <v>1</v>
      </c>
      <c r="E203" t="s">
        <v>198</v>
      </c>
      <c r="F203" t="s">
        <v>199</v>
      </c>
      <c r="G203">
        <v>0.9</v>
      </c>
      <c r="H203">
        <v>1</v>
      </c>
      <c r="I203" t="s">
        <v>200</v>
      </c>
      <c r="J203">
        <v>0</v>
      </c>
      <c r="K203">
        <v>0</v>
      </c>
      <c r="N203">
        <v>0</v>
      </c>
      <c r="O203">
        <v>0.9</v>
      </c>
      <c r="P203" t="s">
        <v>201</v>
      </c>
    </row>
    <row r="204" spans="1:16" ht="12.75">
      <c r="A204">
        <v>70</v>
      </c>
      <c r="B204">
        <v>1</v>
      </c>
      <c r="D204">
        <v>2</v>
      </c>
      <c r="E204" t="s">
        <v>202</v>
      </c>
      <c r="F204" t="s">
        <v>203</v>
      </c>
      <c r="G204">
        <v>0.85</v>
      </c>
      <c r="H204">
        <v>1</v>
      </c>
      <c r="I204" t="s">
        <v>204</v>
      </c>
      <c r="J204">
        <v>0</v>
      </c>
      <c r="K204">
        <v>0</v>
      </c>
      <c r="N204">
        <v>0</v>
      </c>
      <c r="O204">
        <v>0.85</v>
      </c>
      <c r="P204" t="s">
        <v>205</v>
      </c>
    </row>
    <row r="205" spans="1:16" ht="12.75">
      <c r="A205">
        <v>70</v>
      </c>
      <c r="B205">
        <v>1</v>
      </c>
      <c r="D205">
        <v>3</v>
      </c>
      <c r="E205" t="s">
        <v>206</v>
      </c>
      <c r="F205" t="s">
        <v>207</v>
      </c>
      <c r="G205">
        <v>1.03</v>
      </c>
      <c r="H205">
        <v>0</v>
      </c>
      <c r="J205">
        <v>0</v>
      </c>
      <c r="K205">
        <v>0</v>
      </c>
      <c r="N205">
        <v>0</v>
      </c>
      <c r="O205">
        <v>1.03</v>
      </c>
      <c r="P205" t="s">
        <v>208</v>
      </c>
    </row>
    <row r="206" spans="1:16" ht="12.75">
      <c r="A206">
        <v>70</v>
      </c>
      <c r="B206">
        <v>1</v>
      </c>
      <c r="D206">
        <v>4</v>
      </c>
      <c r="E206" t="s">
        <v>209</v>
      </c>
      <c r="F206" t="s">
        <v>210</v>
      </c>
      <c r="G206">
        <v>1.15</v>
      </c>
      <c r="H206">
        <v>0</v>
      </c>
      <c r="J206">
        <v>0</v>
      </c>
      <c r="K206">
        <v>0</v>
      </c>
      <c r="N206">
        <v>0</v>
      </c>
      <c r="O206">
        <v>1.15</v>
      </c>
      <c r="P206" t="s">
        <v>211</v>
      </c>
    </row>
    <row r="207" spans="1:16" ht="12.75">
      <c r="A207">
        <v>70</v>
      </c>
      <c r="B207">
        <v>1</v>
      </c>
      <c r="D207">
        <v>5</v>
      </c>
      <c r="E207" t="s">
        <v>212</v>
      </c>
      <c r="F207" t="s">
        <v>213</v>
      </c>
      <c r="G207">
        <v>7</v>
      </c>
      <c r="H207">
        <v>0</v>
      </c>
      <c r="J207">
        <v>0</v>
      </c>
      <c r="K207">
        <v>0</v>
      </c>
      <c r="N207">
        <v>0</v>
      </c>
      <c r="O207">
        <v>7</v>
      </c>
    </row>
    <row r="208" spans="1:16" ht="12.75">
      <c r="A208">
        <v>70</v>
      </c>
      <c r="B208">
        <v>1</v>
      </c>
      <c r="D208">
        <v>6</v>
      </c>
      <c r="E208" t="s">
        <v>214</v>
      </c>
      <c r="G208">
        <v>2</v>
      </c>
      <c r="H208">
        <v>0</v>
      </c>
      <c r="J208">
        <v>0</v>
      </c>
      <c r="K208">
        <v>0</v>
      </c>
      <c r="N208">
        <v>0</v>
      </c>
      <c r="O208">
        <v>2</v>
      </c>
    </row>
    <row r="210" ht="12.75">
      <c r="A210">
        <v>-1</v>
      </c>
    </row>
    <row r="212" spans="1:15" ht="12.75">
      <c r="A212" s="4">
        <v>75</v>
      </c>
      <c r="B212" s="4" t="s">
        <v>215</v>
      </c>
      <c r="C212" s="4">
        <v>2000</v>
      </c>
      <c r="D212" s="4">
        <v>0</v>
      </c>
      <c r="E212" s="4">
        <v>1</v>
      </c>
      <c r="F212" s="4"/>
      <c r="G212" s="4">
        <v>0</v>
      </c>
      <c r="H212" s="4">
        <v>1</v>
      </c>
      <c r="I212" s="4">
        <v>0</v>
      </c>
      <c r="J212" s="4">
        <v>1</v>
      </c>
      <c r="K212" s="4">
        <v>0</v>
      </c>
      <c r="L212" s="4">
        <v>0</v>
      </c>
      <c r="M212" s="4">
        <v>0</v>
      </c>
      <c r="N212" s="4">
        <v>55724169</v>
      </c>
      <c r="O212" s="4">
        <v>1</v>
      </c>
    </row>
    <row r="213" spans="1:15" ht="12.75">
      <c r="A213" s="4">
        <v>75</v>
      </c>
      <c r="B213" s="4" t="s">
        <v>216</v>
      </c>
      <c r="C213" s="4">
        <v>2023</v>
      </c>
      <c r="D213" s="4">
        <v>4</v>
      </c>
      <c r="E213" s="4">
        <v>0</v>
      </c>
      <c r="F213" s="4"/>
      <c r="G213" s="4">
        <v>0</v>
      </c>
      <c r="H213" s="4">
        <v>1</v>
      </c>
      <c r="I213" s="4">
        <v>0</v>
      </c>
      <c r="J213" s="4">
        <v>1</v>
      </c>
      <c r="K213" s="4">
        <v>0</v>
      </c>
      <c r="L213" s="4">
        <v>0</v>
      </c>
      <c r="M213" s="4">
        <v>1</v>
      </c>
      <c r="N213" s="4">
        <v>55724170</v>
      </c>
      <c r="O213" s="4">
        <v>2</v>
      </c>
    </row>
    <row r="214" spans="1:40" ht="12.75">
      <c r="A214" s="7">
        <v>3</v>
      </c>
      <c r="B214" s="7" t="s">
        <v>217</v>
      </c>
      <c r="C214" s="7">
        <v>1</v>
      </c>
      <c r="D214" s="7">
        <v>6.82</v>
      </c>
      <c r="E214" s="7">
        <v>13.43</v>
      </c>
      <c r="F214" s="7">
        <v>38.59</v>
      </c>
      <c r="G214" s="7">
        <v>38.59</v>
      </c>
      <c r="H214" s="7">
        <v>1</v>
      </c>
      <c r="I214" s="7">
        <v>1</v>
      </c>
      <c r="J214" s="7">
        <v>2</v>
      </c>
      <c r="K214" s="7">
        <v>1</v>
      </c>
      <c r="L214" s="7">
        <v>13.43</v>
      </c>
      <c r="M214" s="7">
        <v>1</v>
      </c>
      <c r="N214" s="7">
        <v>6.82</v>
      </c>
      <c r="O214" s="7">
        <v>1</v>
      </c>
      <c r="P214" s="7">
        <v>1</v>
      </c>
      <c r="Q214" s="7">
        <v>1</v>
      </c>
      <c r="R214" s="7">
        <v>13.43</v>
      </c>
      <c r="S214" s="7" t="s">
        <v>3</v>
      </c>
      <c r="T214" s="7" t="s">
        <v>3</v>
      </c>
      <c r="U214" s="7" t="s">
        <v>3</v>
      </c>
      <c r="V214" s="7" t="s">
        <v>3</v>
      </c>
      <c r="W214" s="7" t="s">
        <v>3</v>
      </c>
      <c r="X214" s="7" t="s">
        <v>3</v>
      </c>
      <c r="Y214" s="7" t="s">
        <v>3</v>
      </c>
      <c r="Z214" s="7" t="s">
        <v>3</v>
      </c>
      <c r="AA214" s="7" t="s">
        <v>3</v>
      </c>
      <c r="AB214" s="7" t="s">
        <v>3</v>
      </c>
      <c r="AC214" s="7" t="s">
        <v>3</v>
      </c>
      <c r="AD214" s="7" t="s">
        <v>3</v>
      </c>
      <c r="AE214" s="7" t="s">
        <v>3</v>
      </c>
      <c r="AF214" s="7" t="s">
        <v>3</v>
      </c>
      <c r="AG214" s="7" t="s">
        <v>3</v>
      </c>
      <c r="AH214" s="7" t="s">
        <v>3</v>
      </c>
      <c r="AI214" s="7"/>
      <c r="AJ214" s="7"/>
      <c r="AK214" s="7"/>
      <c r="AL214" s="7"/>
      <c r="AM214" s="7"/>
      <c r="AN214" s="7">
        <v>55724661</v>
      </c>
    </row>
    <row r="218" spans="1:5" ht="12.75">
      <c r="A218">
        <v>65</v>
      </c>
      <c r="C218">
        <v>1</v>
      </c>
      <c r="D218">
        <v>0</v>
      </c>
      <c r="E218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C5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218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54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405274632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251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55724169</v>
      </c>
      <c r="E14" s="1">
        <v>55724170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ROUND((Source!F133)/1000,2)</f>
        <v>1086.31</v>
      </c>
      <c r="F16" s="9">
        <f>ROUND((Source!F134)/1000,2)</f>
        <v>0</v>
      </c>
      <c r="G16" s="9">
        <f>ROUND((Source!F125)/1000,2)</f>
        <v>0</v>
      </c>
      <c r="H16" s="9">
        <f>ROUND((Source!F135)/1000+(Source!F136)/1000,2)</f>
        <v>0</v>
      </c>
      <c r="I16" s="9">
        <f>E16+F16+G16+H16</f>
        <v>1086.31</v>
      </c>
      <c r="J16" s="9">
        <f>ROUND((Source!F131+Source!F130)/1000,2)</f>
        <v>1.65</v>
      </c>
      <c r="T16" s="10">
        <f>ROUND((Source!P133)/1000,2)</f>
        <v>1232.88</v>
      </c>
      <c r="U16" s="10">
        <f>ROUND((Source!P134)/1000,2)</f>
        <v>0</v>
      </c>
      <c r="V16" s="10">
        <f>ROUND((Source!P125)/1000,2)</f>
        <v>0</v>
      </c>
      <c r="W16" s="10">
        <f>ROUND((Source!P135)/1000+(Source!P136)/1000,2)</f>
        <v>0</v>
      </c>
      <c r="X16" s="10">
        <f>T16+U16+V16+W16</f>
        <v>1232.88</v>
      </c>
      <c r="Y16" s="10">
        <f>ROUND((Source!P131+Source!P130)/1000,2)</f>
        <v>63.51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1084092.59</v>
      </c>
      <c r="AU16" s="9">
        <v>1082342.3</v>
      </c>
      <c r="AV16" s="9">
        <v>0</v>
      </c>
      <c r="AW16" s="9">
        <v>0</v>
      </c>
      <c r="AX16" s="9">
        <v>0</v>
      </c>
      <c r="AY16" s="9">
        <v>20.33</v>
      </c>
      <c r="AZ16" s="9">
        <v>5.27</v>
      </c>
      <c r="BA16" s="9">
        <v>1640.6100000000001</v>
      </c>
      <c r="BB16" s="9">
        <v>1086314.67</v>
      </c>
      <c r="BC16" s="9">
        <v>0</v>
      </c>
      <c r="BD16" s="9">
        <v>0</v>
      </c>
      <c r="BE16" s="9">
        <v>0</v>
      </c>
      <c r="BF16" s="9">
        <v>185.5115</v>
      </c>
      <c r="BG16" s="9">
        <v>0.41925</v>
      </c>
      <c r="BH16" s="9">
        <v>0</v>
      </c>
      <c r="BI16" s="9">
        <v>1481.57</v>
      </c>
      <c r="BJ16" s="9">
        <v>740.51</v>
      </c>
      <c r="BK16" s="9">
        <v>1303577.6</v>
      </c>
      <c r="BR16" s="10">
        <v>1147128.06</v>
      </c>
      <c r="BS16" s="10">
        <v>1082344.06</v>
      </c>
      <c r="BT16" s="10">
        <v>0</v>
      </c>
      <c r="BU16" s="10">
        <v>0</v>
      </c>
      <c r="BV16" s="10">
        <v>0</v>
      </c>
      <c r="BW16" s="10">
        <v>273.08</v>
      </c>
      <c r="BX16" s="10">
        <v>203.21</v>
      </c>
      <c r="BY16" s="10">
        <v>63310.950000000004</v>
      </c>
      <c r="BZ16" s="10">
        <v>1232877.43</v>
      </c>
      <c r="CA16" s="10">
        <v>0</v>
      </c>
      <c r="CB16" s="10">
        <v>0</v>
      </c>
      <c r="CC16" s="10">
        <v>0</v>
      </c>
      <c r="CD16" s="10">
        <v>185.5115</v>
      </c>
      <c r="CE16" s="10">
        <v>0.41925</v>
      </c>
      <c r="CF16" s="10">
        <v>0</v>
      </c>
      <c r="CG16" s="10">
        <v>57173.26</v>
      </c>
      <c r="CH16" s="10">
        <v>28576.11</v>
      </c>
      <c r="CI16" s="10">
        <v>1479452.92</v>
      </c>
    </row>
    <row r="18" spans="1:40" ht="12.75">
      <c r="A18">
        <v>51</v>
      </c>
      <c r="E18" s="6">
        <f>SUMIF(A16:A17,3,E16:E17)</f>
        <v>1086.31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1086.31</v>
      </c>
      <c r="J18" s="6">
        <f>SUMIF(A16:A17,3,J16:J17)</f>
        <v>1.65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1232.88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1232.88</v>
      </c>
      <c r="Y18" s="3">
        <f>SUMIF(A16:A17,3,Y16:Y17)</f>
        <v>63.51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1084092.59</v>
      </c>
      <c r="G20" s="5" t="s">
        <v>58</v>
      </c>
      <c r="H20" s="5" t="s">
        <v>59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1147128.06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1082342.3</v>
      </c>
      <c r="G21" s="5" t="s">
        <v>60</v>
      </c>
      <c r="H21" s="5" t="s">
        <v>61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1082344.06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62</v>
      </c>
      <c r="H22" s="5" t="s">
        <v>63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1082342.3</v>
      </c>
      <c r="G23" s="5" t="s">
        <v>64</v>
      </c>
      <c r="H23" s="5" t="s">
        <v>65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1082344.06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1082342.3</v>
      </c>
      <c r="G24" s="5" t="s">
        <v>66</v>
      </c>
      <c r="H24" s="5" t="s">
        <v>67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1082344.06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68</v>
      </c>
      <c r="H25" s="5" t="s">
        <v>69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1082342.3</v>
      </c>
      <c r="G26" s="5" t="s">
        <v>70</v>
      </c>
      <c r="H26" s="5" t="s">
        <v>71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1082344.06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72</v>
      </c>
      <c r="H27" s="5" t="s">
        <v>73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74</v>
      </c>
      <c r="H28" s="5" t="s">
        <v>75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76</v>
      </c>
      <c r="H29" s="5" t="s">
        <v>77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20.33</v>
      </c>
      <c r="G30" s="5" t="s">
        <v>78</v>
      </c>
      <c r="H30" s="5" t="s">
        <v>79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273.08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80</v>
      </c>
      <c r="H31" s="5" t="s">
        <v>81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5.27</v>
      </c>
      <c r="G32" s="5" t="s">
        <v>82</v>
      </c>
      <c r="H32" s="5" t="s">
        <v>83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203.21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1640.6100000000001</v>
      </c>
      <c r="G33" s="5" t="s">
        <v>84</v>
      </c>
      <c r="H33" s="5" t="s">
        <v>85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63310.950000000004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86</v>
      </c>
      <c r="H34" s="5" t="s">
        <v>87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1086314.67</v>
      </c>
      <c r="G35" s="5" t="s">
        <v>88</v>
      </c>
      <c r="H35" s="5" t="s">
        <v>89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1232877.43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90</v>
      </c>
      <c r="H36" s="5" t="s">
        <v>91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92</v>
      </c>
      <c r="H37" s="5" t="s">
        <v>93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94</v>
      </c>
      <c r="H38" s="5" t="s">
        <v>95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96</v>
      </c>
      <c r="H39" s="5" t="s">
        <v>97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185.5115</v>
      </c>
      <c r="G40" s="5" t="s">
        <v>98</v>
      </c>
      <c r="H40" s="5" t="s">
        <v>99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185.5115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0.41925</v>
      </c>
      <c r="G41" s="5" t="s">
        <v>100</v>
      </c>
      <c r="H41" s="5" t="s">
        <v>101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0.41925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102</v>
      </c>
      <c r="H42" s="5" t="s">
        <v>103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89.35</v>
      </c>
      <c r="G43" s="5" t="s">
        <v>104</v>
      </c>
      <c r="H43" s="5" t="s">
        <v>105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1199.97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1481.57</v>
      </c>
      <c r="G44" s="5" t="s">
        <v>106</v>
      </c>
      <c r="H44" s="5" t="s">
        <v>107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57173.26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740.51</v>
      </c>
      <c r="G45" s="5" t="s">
        <v>108</v>
      </c>
      <c r="H45" s="5" t="s">
        <v>109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28576.11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1086314.6700000002</v>
      </c>
      <c r="G46" s="5" t="s">
        <v>110</v>
      </c>
      <c r="H46" s="5" t="s">
        <v>111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1232877.4300000002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1086314.67</v>
      </c>
      <c r="G47" s="5" t="s">
        <v>145</v>
      </c>
      <c r="H47" s="5" t="s">
        <v>110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1232877.43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0</v>
      </c>
      <c r="F48" s="5">
        <v>217262.93</v>
      </c>
      <c r="G48" s="5" t="s">
        <v>141</v>
      </c>
      <c r="H48" s="5" t="s">
        <v>146</v>
      </c>
      <c r="I48" s="5"/>
      <c r="J48" s="5"/>
      <c r="K48" s="5">
        <v>212</v>
      </c>
      <c r="L48" s="5">
        <v>31</v>
      </c>
      <c r="M48" s="5">
        <v>0</v>
      </c>
      <c r="N48" s="5" t="s">
        <v>3</v>
      </c>
      <c r="O48" s="5">
        <v>2</v>
      </c>
      <c r="P48" s="5">
        <v>246575.49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224</v>
      </c>
      <c r="F49" s="5">
        <v>1303577.6</v>
      </c>
      <c r="G49" s="5" t="s">
        <v>147</v>
      </c>
      <c r="H49" s="5" t="s">
        <v>144</v>
      </c>
      <c r="I49" s="5"/>
      <c r="J49" s="5"/>
      <c r="K49" s="5">
        <v>212</v>
      </c>
      <c r="L49" s="5">
        <v>32</v>
      </c>
      <c r="M49" s="5">
        <v>0</v>
      </c>
      <c r="N49" s="5" t="s">
        <v>3</v>
      </c>
      <c r="O49" s="5">
        <v>2</v>
      </c>
      <c r="P49" s="5">
        <v>1479452.92</v>
      </c>
    </row>
    <row r="51" ht="12.75">
      <c r="A51">
        <v>-1</v>
      </c>
    </row>
    <row r="54" spans="1:15" ht="12.75">
      <c r="A54" s="4">
        <v>75</v>
      </c>
      <c r="B54" s="4" t="s">
        <v>215</v>
      </c>
      <c r="C54" s="4">
        <v>2000</v>
      </c>
      <c r="D54" s="4">
        <v>0</v>
      </c>
      <c r="E54" s="4">
        <v>1</v>
      </c>
      <c r="F54" s="4"/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55724169</v>
      </c>
      <c r="O54" s="4">
        <v>1</v>
      </c>
    </row>
    <row r="55" spans="1:15" ht="12.75">
      <c r="A55" s="4">
        <v>75</v>
      </c>
      <c r="B55" s="4" t="s">
        <v>216</v>
      </c>
      <c r="C55" s="4">
        <v>2023</v>
      </c>
      <c r="D55" s="4">
        <v>4</v>
      </c>
      <c r="E55" s="4">
        <v>0</v>
      </c>
      <c r="F55" s="4"/>
      <c r="G55" s="4">
        <v>0</v>
      </c>
      <c r="H55" s="4">
        <v>1</v>
      </c>
      <c r="I55" s="4">
        <v>0</v>
      </c>
      <c r="J55" s="4">
        <v>1</v>
      </c>
      <c r="K55" s="4">
        <v>0</v>
      </c>
      <c r="L55" s="4">
        <v>0</v>
      </c>
      <c r="M55" s="4">
        <v>1</v>
      </c>
      <c r="N55" s="4">
        <v>55724170</v>
      </c>
      <c r="O55" s="4">
        <v>2</v>
      </c>
    </row>
    <row r="56" spans="1:40" ht="12.75">
      <c r="A56" s="7">
        <v>3</v>
      </c>
      <c r="B56" s="7" t="s">
        <v>217</v>
      </c>
      <c r="C56" s="7">
        <v>1</v>
      </c>
      <c r="D56" s="7">
        <v>6.82</v>
      </c>
      <c r="E56" s="7">
        <v>13.43</v>
      </c>
      <c r="F56" s="7">
        <v>38.59</v>
      </c>
      <c r="G56" s="7">
        <v>38.59</v>
      </c>
      <c r="H56" s="7">
        <v>1</v>
      </c>
      <c r="I56" s="7">
        <v>1</v>
      </c>
      <c r="J56" s="7">
        <v>2</v>
      </c>
      <c r="K56" s="7">
        <v>1</v>
      </c>
      <c r="L56" s="7">
        <v>13.43</v>
      </c>
      <c r="M56" s="7">
        <v>1</v>
      </c>
      <c r="N56" s="7">
        <v>6.82</v>
      </c>
      <c r="O56" s="7">
        <v>1</v>
      </c>
      <c r="P56" s="7">
        <v>1</v>
      </c>
      <c r="Q56" s="7">
        <v>1</v>
      </c>
      <c r="R56" s="7">
        <v>13.43</v>
      </c>
      <c r="S56" s="7" t="s">
        <v>3</v>
      </c>
      <c r="T56" s="7" t="s">
        <v>3</v>
      </c>
      <c r="U56" s="7" t="s">
        <v>3</v>
      </c>
      <c r="V56" s="7" t="s">
        <v>3</v>
      </c>
      <c r="W56" s="7" t="s">
        <v>3</v>
      </c>
      <c r="X56" s="7" t="s">
        <v>3</v>
      </c>
      <c r="Y56" s="7" t="s">
        <v>3</v>
      </c>
      <c r="Z56" s="7" t="s">
        <v>3</v>
      </c>
      <c r="AA56" s="7" t="s">
        <v>3</v>
      </c>
      <c r="AB56" s="7" t="s">
        <v>3</v>
      </c>
      <c r="AC56" s="7" t="s">
        <v>3</v>
      </c>
      <c r="AD56" s="7" t="s">
        <v>3</v>
      </c>
      <c r="AE56" s="7" t="s">
        <v>3</v>
      </c>
      <c r="AF56" s="7" t="s">
        <v>3</v>
      </c>
      <c r="AG56" s="7" t="s">
        <v>3</v>
      </c>
      <c r="AH56" s="7" t="s">
        <v>3</v>
      </c>
      <c r="AI56" s="7"/>
      <c r="AJ56" s="7"/>
      <c r="AK56" s="7"/>
      <c r="AL56" s="7"/>
      <c r="AM56" s="7"/>
      <c r="AN56" s="7">
        <v>55724661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55724169</v>
      </c>
      <c r="C1">
        <v>55724810</v>
      </c>
      <c r="D1">
        <v>53630073</v>
      </c>
      <c r="E1">
        <v>70</v>
      </c>
      <c r="F1">
        <v>1</v>
      </c>
      <c r="G1">
        <v>1</v>
      </c>
      <c r="H1">
        <v>1</v>
      </c>
      <c r="I1" t="s">
        <v>219</v>
      </c>
      <c r="K1" t="s">
        <v>220</v>
      </c>
      <c r="L1">
        <v>1191</v>
      </c>
      <c r="N1">
        <v>1013</v>
      </c>
      <c r="O1" t="s">
        <v>221</v>
      </c>
      <c r="P1" t="s">
        <v>221</v>
      </c>
      <c r="Q1">
        <v>1</v>
      </c>
      <c r="W1">
        <v>0</v>
      </c>
      <c r="X1">
        <v>-1759674247</v>
      </c>
      <c r="Y1">
        <v>219</v>
      </c>
      <c r="AA1">
        <v>0</v>
      </c>
      <c r="AB1">
        <v>0</v>
      </c>
      <c r="AC1">
        <v>0</v>
      </c>
      <c r="AD1">
        <v>8.86</v>
      </c>
      <c r="AE1">
        <v>0</v>
      </c>
      <c r="AF1">
        <v>0</v>
      </c>
      <c r="AG1">
        <v>0</v>
      </c>
      <c r="AH1">
        <v>8.86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219</v>
      </c>
      <c r="AV1">
        <v>1</v>
      </c>
      <c r="AW1">
        <v>2</v>
      </c>
      <c r="AX1">
        <v>55724811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183.63150000000002</v>
      </c>
      <c r="CY1">
        <f>AD1</f>
        <v>8.86</v>
      </c>
      <c r="CZ1">
        <f>AH1</f>
        <v>8.86</v>
      </c>
      <c r="DA1">
        <f>AL1</f>
        <v>1</v>
      </c>
      <c r="DB1">
        <f aca="true" t="shared" si="0" ref="DB1:DB28">ROUND(ROUND(AT1*CZ1,2),6)</f>
        <v>1940.34</v>
      </c>
      <c r="DC1">
        <f aca="true" t="shared" si="1" ref="DC1:DC28">ROUND(ROUND(AT1*AG1,2),6)</f>
        <v>0</v>
      </c>
    </row>
    <row r="2" spans="1:107" ht="12.75">
      <c r="A2">
        <f>ROW(Source!A28)</f>
        <v>28</v>
      </c>
      <c r="B2">
        <v>55724169</v>
      </c>
      <c r="C2">
        <v>55724810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222</v>
      </c>
      <c r="K2" t="s">
        <v>223</v>
      </c>
      <c r="L2">
        <v>1191</v>
      </c>
      <c r="N2">
        <v>1013</v>
      </c>
      <c r="O2" t="s">
        <v>221</v>
      </c>
      <c r="P2" t="s">
        <v>221</v>
      </c>
      <c r="Q2">
        <v>1</v>
      </c>
      <c r="W2">
        <v>0</v>
      </c>
      <c r="X2">
        <v>-1417349443</v>
      </c>
      <c r="Y2">
        <v>0.5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0.5</v>
      </c>
      <c r="AV2">
        <v>2</v>
      </c>
      <c r="AW2">
        <v>2</v>
      </c>
      <c r="AX2">
        <v>55724812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0.41925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ht="12.75">
      <c r="A3">
        <f>ROW(Source!A28)</f>
        <v>28</v>
      </c>
      <c r="B3">
        <v>55724169</v>
      </c>
      <c r="C3">
        <v>55724810</v>
      </c>
      <c r="D3">
        <v>53792191</v>
      </c>
      <c r="E3">
        <v>1</v>
      </c>
      <c r="F3">
        <v>1</v>
      </c>
      <c r="G3">
        <v>1</v>
      </c>
      <c r="H3">
        <v>2</v>
      </c>
      <c r="I3" t="s">
        <v>224</v>
      </c>
      <c r="J3" t="s">
        <v>225</v>
      </c>
      <c r="K3" t="s">
        <v>226</v>
      </c>
      <c r="L3">
        <v>1367</v>
      </c>
      <c r="N3">
        <v>1011</v>
      </c>
      <c r="O3" t="s">
        <v>227</v>
      </c>
      <c r="P3" t="s">
        <v>227</v>
      </c>
      <c r="Q3">
        <v>1</v>
      </c>
      <c r="W3">
        <v>0</v>
      </c>
      <c r="X3">
        <v>1232162608</v>
      </c>
      <c r="Y3">
        <v>0.25</v>
      </c>
      <c r="AA3">
        <v>0</v>
      </c>
      <c r="AB3">
        <v>31.26</v>
      </c>
      <c r="AC3">
        <v>13.5</v>
      </c>
      <c r="AD3">
        <v>0</v>
      </c>
      <c r="AE3">
        <v>0</v>
      </c>
      <c r="AF3">
        <v>31.26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0.25</v>
      </c>
      <c r="AV3">
        <v>0</v>
      </c>
      <c r="AW3">
        <v>2</v>
      </c>
      <c r="AX3">
        <v>55724813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0.209625</v>
      </c>
      <c r="CY3">
        <f>AB3</f>
        <v>31.26</v>
      </c>
      <c r="CZ3">
        <f>AF3</f>
        <v>31.26</v>
      </c>
      <c r="DA3">
        <f>AJ3</f>
        <v>1</v>
      </c>
      <c r="DB3">
        <f t="shared" si="0"/>
        <v>7.82</v>
      </c>
      <c r="DC3">
        <f t="shared" si="1"/>
        <v>3.38</v>
      </c>
    </row>
    <row r="4" spans="1:107" ht="12.75">
      <c r="A4">
        <f>ROW(Source!A28)</f>
        <v>28</v>
      </c>
      <c r="B4">
        <v>55724169</v>
      </c>
      <c r="C4">
        <v>55724810</v>
      </c>
      <c r="D4">
        <v>53792927</v>
      </c>
      <c r="E4">
        <v>1</v>
      </c>
      <c r="F4">
        <v>1</v>
      </c>
      <c r="G4">
        <v>1</v>
      </c>
      <c r="H4">
        <v>2</v>
      </c>
      <c r="I4" t="s">
        <v>228</v>
      </c>
      <c r="J4" t="s">
        <v>229</v>
      </c>
      <c r="K4" t="s">
        <v>230</v>
      </c>
      <c r="L4">
        <v>1367</v>
      </c>
      <c r="N4">
        <v>1011</v>
      </c>
      <c r="O4" t="s">
        <v>227</v>
      </c>
      <c r="P4" t="s">
        <v>227</v>
      </c>
      <c r="Q4">
        <v>1</v>
      </c>
      <c r="W4">
        <v>0</v>
      </c>
      <c r="X4">
        <v>509054691</v>
      </c>
      <c r="Y4">
        <v>0.25</v>
      </c>
      <c r="AA4">
        <v>0</v>
      </c>
      <c r="AB4">
        <v>65.71</v>
      </c>
      <c r="AC4">
        <v>11.6</v>
      </c>
      <c r="AD4">
        <v>0</v>
      </c>
      <c r="AE4">
        <v>0</v>
      </c>
      <c r="AF4">
        <v>65.71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0.25</v>
      </c>
      <c r="AV4">
        <v>0</v>
      </c>
      <c r="AW4">
        <v>2</v>
      </c>
      <c r="AX4">
        <v>55724814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0.209625</v>
      </c>
      <c r="CY4">
        <f>AB4</f>
        <v>65.71</v>
      </c>
      <c r="CZ4">
        <f>AF4</f>
        <v>65.71</v>
      </c>
      <c r="DA4">
        <f>AJ4</f>
        <v>1</v>
      </c>
      <c r="DB4">
        <f t="shared" si="0"/>
        <v>16.43</v>
      </c>
      <c r="DC4">
        <f t="shared" si="1"/>
        <v>2.9</v>
      </c>
    </row>
    <row r="5" spans="1:107" ht="12.75">
      <c r="A5">
        <f>ROW(Source!A28)</f>
        <v>28</v>
      </c>
      <c r="B5">
        <v>55724169</v>
      </c>
      <c r="C5">
        <v>55724810</v>
      </c>
      <c r="D5">
        <v>53646032</v>
      </c>
      <c r="E5">
        <v>1</v>
      </c>
      <c r="F5">
        <v>1</v>
      </c>
      <c r="G5">
        <v>1</v>
      </c>
      <c r="H5">
        <v>3</v>
      </c>
      <c r="I5" t="s">
        <v>231</v>
      </c>
      <c r="J5" t="s">
        <v>232</v>
      </c>
      <c r="K5" t="s">
        <v>233</v>
      </c>
      <c r="L5">
        <v>1346</v>
      </c>
      <c r="N5">
        <v>1009</v>
      </c>
      <c r="O5" t="s">
        <v>49</v>
      </c>
      <c r="P5" t="s">
        <v>49</v>
      </c>
      <c r="Q5">
        <v>1</v>
      </c>
      <c r="W5">
        <v>0</v>
      </c>
      <c r="X5">
        <v>1052716416</v>
      </c>
      <c r="Y5">
        <v>0.2</v>
      </c>
      <c r="AA5">
        <v>1.82</v>
      </c>
      <c r="AB5">
        <v>0</v>
      </c>
      <c r="AC5">
        <v>0</v>
      </c>
      <c r="AD5">
        <v>0</v>
      </c>
      <c r="AE5">
        <v>1.82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0.2</v>
      </c>
      <c r="AV5">
        <v>0</v>
      </c>
      <c r="AW5">
        <v>2</v>
      </c>
      <c r="AX5">
        <v>55724816</v>
      </c>
      <c r="AY5">
        <v>1</v>
      </c>
      <c r="AZ5">
        <v>0</v>
      </c>
      <c r="BA5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0.16770000000000002</v>
      </c>
      <c r="CY5">
        <f aca="true" t="shared" si="2" ref="CY5:CY10">AA5</f>
        <v>1.82</v>
      </c>
      <c r="CZ5">
        <f aca="true" t="shared" si="3" ref="CZ5:CZ10">AE5</f>
        <v>1.82</v>
      </c>
      <c r="DA5">
        <f aca="true" t="shared" si="4" ref="DA5:DA10">AI5</f>
        <v>1</v>
      </c>
      <c r="DB5">
        <f t="shared" si="0"/>
        <v>0.36</v>
      </c>
      <c r="DC5">
        <f t="shared" si="1"/>
        <v>0</v>
      </c>
    </row>
    <row r="6" spans="1:107" ht="12.75">
      <c r="A6">
        <f>ROW(Source!A28)</f>
        <v>28</v>
      </c>
      <c r="B6">
        <v>55724169</v>
      </c>
      <c r="C6">
        <v>55724810</v>
      </c>
      <c r="D6">
        <v>53674525</v>
      </c>
      <c r="E6">
        <v>1</v>
      </c>
      <c r="F6">
        <v>1</v>
      </c>
      <c r="G6">
        <v>1</v>
      </c>
      <c r="H6">
        <v>3</v>
      </c>
      <c r="I6" t="s">
        <v>55</v>
      </c>
      <c r="J6" t="s">
        <v>57</v>
      </c>
      <c r="K6" t="s">
        <v>56</v>
      </c>
      <c r="L6">
        <v>1346</v>
      </c>
      <c r="N6">
        <v>1009</v>
      </c>
      <c r="O6" t="s">
        <v>49</v>
      </c>
      <c r="P6" t="s">
        <v>49</v>
      </c>
      <c r="Q6">
        <v>1</v>
      </c>
      <c r="W6">
        <v>1</v>
      </c>
      <c r="X6">
        <v>991942845</v>
      </c>
      <c r="Y6">
        <v>-56</v>
      </c>
      <c r="AA6">
        <v>19.61</v>
      </c>
      <c r="AB6">
        <v>0</v>
      </c>
      <c r="AC6">
        <v>0</v>
      </c>
      <c r="AD6">
        <v>0</v>
      </c>
      <c r="AE6">
        <v>19.61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-56</v>
      </c>
      <c r="AV6">
        <v>0</v>
      </c>
      <c r="AW6">
        <v>2</v>
      </c>
      <c r="AX6">
        <v>55724819</v>
      </c>
      <c r="AY6">
        <v>1</v>
      </c>
      <c r="AZ6">
        <v>6144</v>
      </c>
      <c r="BA6">
        <v>9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-46.956</v>
      </c>
      <c r="CY6">
        <f t="shared" si="2"/>
        <v>19.61</v>
      </c>
      <c r="CZ6">
        <f t="shared" si="3"/>
        <v>19.61</v>
      </c>
      <c r="DA6">
        <f t="shared" si="4"/>
        <v>1</v>
      </c>
      <c r="DB6">
        <f t="shared" si="0"/>
        <v>-1098.16</v>
      </c>
      <c r="DC6">
        <f t="shared" si="1"/>
        <v>0</v>
      </c>
    </row>
    <row r="7" spans="1:107" ht="12.75">
      <c r="A7">
        <f>ROW(Source!A28)</f>
        <v>28</v>
      </c>
      <c r="B7">
        <v>55724169</v>
      </c>
      <c r="C7">
        <v>55724810</v>
      </c>
      <c r="D7">
        <v>53634988</v>
      </c>
      <c r="E7">
        <v>70</v>
      </c>
      <c r="F7">
        <v>1</v>
      </c>
      <c r="G7">
        <v>1</v>
      </c>
      <c r="H7">
        <v>3</v>
      </c>
      <c r="I7" t="s">
        <v>51</v>
      </c>
      <c r="K7" t="s">
        <v>52</v>
      </c>
      <c r="L7">
        <v>1348</v>
      </c>
      <c r="N7">
        <v>1009</v>
      </c>
      <c r="O7" t="s">
        <v>53</v>
      </c>
      <c r="P7" t="s">
        <v>53</v>
      </c>
      <c r="Q7">
        <v>1000</v>
      </c>
      <c r="W7">
        <v>0</v>
      </c>
      <c r="X7">
        <v>2102561428</v>
      </c>
      <c r="Y7">
        <v>1.22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T7">
        <v>1.22</v>
      </c>
      <c r="AV7">
        <v>0</v>
      </c>
      <c r="AW7">
        <v>2</v>
      </c>
      <c r="AX7">
        <v>55724820</v>
      </c>
      <c r="AY7">
        <v>1</v>
      </c>
      <c r="AZ7">
        <v>0</v>
      </c>
      <c r="BA7">
        <v>10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1.02297</v>
      </c>
      <c r="CY7">
        <f t="shared" si="2"/>
        <v>0</v>
      </c>
      <c r="CZ7">
        <f t="shared" si="3"/>
        <v>0</v>
      </c>
      <c r="DA7">
        <f t="shared" si="4"/>
        <v>1</v>
      </c>
      <c r="DB7">
        <f t="shared" si="0"/>
        <v>0</v>
      </c>
      <c r="DC7">
        <f t="shared" si="1"/>
        <v>0</v>
      </c>
    </row>
    <row r="8" spans="1:107" ht="12.75">
      <c r="A8">
        <f>ROW(Source!A28)</f>
        <v>28</v>
      </c>
      <c r="B8">
        <v>55724169</v>
      </c>
      <c r="C8">
        <v>55724810</v>
      </c>
      <c r="D8">
        <v>0</v>
      </c>
      <c r="E8">
        <v>0</v>
      </c>
      <c r="F8">
        <v>1</v>
      </c>
      <c r="G8">
        <v>1</v>
      </c>
      <c r="H8">
        <v>3</v>
      </c>
      <c r="I8" t="s">
        <v>47</v>
      </c>
      <c r="K8" t="s">
        <v>48</v>
      </c>
      <c r="L8">
        <v>1346</v>
      </c>
      <c r="N8">
        <v>1009</v>
      </c>
      <c r="O8" t="s">
        <v>49</v>
      </c>
      <c r="P8" t="s">
        <v>49</v>
      </c>
      <c r="Q8">
        <v>1</v>
      </c>
      <c r="W8">
        <v>0</v>
      </c>
      <c r="X8">
        <v>1313449911</v>
      </c>
      <c r="Y8">
        <v>5.6291</v>
      </c>
      <c r="AA8">
        <v>5500</v>
      </c>
      <c r="AB8">
        <v>0</v>
      </c>
      <c r="AC8">
        <v>0</v>
      </c>
      <c r="AD8">
        <v>0</v>
      </c>
      <c r="AE8">
        <v>5500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T8">
        <v>5.6291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4.72000035</v>
      </c>
      <c r="CY8">
        <f t="shared" si="2"/>
        <v>5500</v>
      </c>
      <c r="CZ8">
        <f t="shared" si="3"/>
        <v>5500</v>
      </c>
      <c r="DA8">
        <f t="shared" si="4"/>
        <v>1</v>
      </c>
      <c r="DB8">
        <f t="shared" si="0"/>
        <v>30960.05</v>
      </c>
      <c r="DC8">
        <f t="shared" si="1"/>
        <v>0</v>
      </c>
    </row>
    <row r="9" spans="1:107" ht="12.75">
      <c r="A9">
        <f>ROW(Source!A28)</f>
        <v>28</v>
      </c>
      <c r="B9">
        <v>55724169</v>
      </c>
      <c r="C9">
        <v>55724810</v>
      </c>
      <c r="D9">
        <v>0</v>
      </c>
      <c r="E9">
        <v>0</v>
      </c>
      <c r="F9">
        <v>1</v>
      </c>
      <c r="G9">
        <v>1</v>
      </c>
      <c r="H9">
        <v>3</v>
      </c>
      <c r="I9" t="s">
        <v>43</v>
      </c>
      <c r="K9" t="s">
        <v>44</v>
      </c>
      <c r="L9">
        <v>1301</v>
      </c>
      <c r="N9">
        <v>1003</v>
      </c>
      <c r="O9" t="s">
        <v>45</v>
      </c>
      <c r="P9" t="s">
        <v>45</v>
      </c>
      <c r="Q9">
        <v>1</v>
      </c>
      <c r="W9">
        <v>0</v>
      </c>
      <c r="X9">
        <v>-1282863111</v>
      </c>
      <c r="Y9">
        <v>111.389386</v>
      </c>
      <c r="AA9">
        <v>250</v>
      </c>
      <c r="AB9">
        <v>0</v>
      </c>
      <c r="AC9">
        <v>0</v>
      </c>
      <c r="AD9">
        <v>0</v>
      </c>
      <c r="AE9">
        <v>250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T9">
        <v>111.389386</v>
      </c>
      <c r="AV9">
        <v>0</v>
      </c>
      <c r="AW9">
        <v>1</v>
      </c>
      <c r="AX9">
        <v>-1</v>
      </c>
      <c r="AY9">
        <v>0</v>
      </c>
      <c r="AZ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93.40000016100001</v>
      </c>
      <c r="CY9">
        <f t="shared" si="2"/>
        <v>250</v>
      </c>
      <c r="CZ9">
        <f t="shared" si="3"/>
        <v>250</v>
      </c>
      <c r="DA9">
        <f t="shared" si="4"/>
        <v>1</v>
      </c>
      <c r="DB9">
        <f t="shared" si="0"/>
        <v>27847.35</v>
      </c>
      <c r="DC9">
        <f t="shared" si="1"/>
        <v>0</v>
      </c>
    </row>
    <row r="10" spans="1:107" ht="12.75">
      <c r="A10">
        <f>ROW(Source!A28)</f>
        <v>28</v>
      </c>
      <c r="B10">
        <v>55724169</v>
      </c>
      <c r="C10">
        <v>55724810</v>
      </c>
      <c r="D10">
        <v>0</v>
      </c>
      <c r="E10">
        <v>0</v>
      </c>
      <c r="F10">
        <v>1</v>
      </c>
      <c r="G10">
        <v>1</v>
      </c>
      <c r="H10">
        <v>3</v>
      </c>
      <c r="I10" t="s">
        <v>38</v>
      </c>
      <c r="K10" t="s">
        <v>39</v>
      </c>
      <c r="L10">
        <v>3417</v>
      </c>
      <c r="N10">
        <v>1013</v>
      </c>
      <c r="O10" t="s">
        <v>40</v>
      </c>
      <c r="P10" t="s">
        <v>40</v>
      </c>
      <c r="Q10">
        <v>1</v>
      </c>
      <c r="W10">
        <v>0</v>
      </c>
      <c r="X10">
        <v>-378200896</v>
      </c>
      <c r="Y10">
        <v>100</v>
      </c>
      <c r="AA10">
        <v>12320</v>
      </c>
      <c r="AB10">
        <v>0</v>
      </c>
      <c r="AC10">
        <v>0</v>
      </c>
      <c r="AD10">
        <v>0</v>
      </c>
      <c r="AE10">
        <v>12320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100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83.85000000000001</v>
      </c>
      <c r="CY10">
        <f t="shared" si="2"/>
        <v>12320</v>
      </c>
      <c r="CZ10">
        <f t="shared" si="3"/>
        <v>12320</v>
      </c>
      <c r="DA10">
        <f t="shared" si="4"/>
        <v>1</v>
      </c>
      <c r="DB10">
        <f t="shared" si="0"/>
        <v>1232000</v>
      </c>
      <c r="DC10">
        <f t="shared" si="1"/>
        <v>0</v>
      </c>
    </row>
    <row r="11" spans="1:107" ht="12.75">
      <c r="A11">
        <f>ROW(Source!A29)</f>
        <v>29</v>
      </c>
      <c r="B11">
        <v>55724170</v>
      </c>
      <c r="C11">
        <v>55724810</v>
      </c>
      <c r="D11">
        <v>53630073</v>
      </c>
      <c r="E11">
        <v>70</v>
      </c>
      <c r="F11">
        <v>1</v>
      </c>
      <c r="G11">
        <v>1</v>
      </c>
      <c r="H11">
        <v>1</v>
      </c>
      <c r="I11" t="s">
        <v>219</v>
      </c>
      <c r="K11" t="s">
        <v>220</v>
      </c>
      <c r="L11">
        <v>1191</v>
      </c>
      <c r="N11">
        <v>1013</v>
      </c>
      <c r="O11" t="s">
        <v>221</v>
      </c>
      <c r="P11" t="s">
        <v>221</v>
      </c>
      <c r="Q11">
        <v>1</v>
      </c>
      <c r="W11">
        <v>0</v>
      </c>
      <c r="X11">
        <v>-1759674247</v>
      </c>
      <c r="Y11">
        <v>219</v>
      </c>
      <c r="AA11">
        <v>0</v>
      </c>
      <c r="AB11">
        <v>0</v>
      </c>
      <c r="AC11">
        <v>0</v>
      </c>
      <c r="AD11">
        <v>341.91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38.59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219</v>
      </c>
      <c r="AV11">
        <v>1</v>
      </c>
      <c r="AW11">
        <v>2</v>
      </c>
      <c r="AX11">
        <v>55724811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183.63150000000002</v>
      </c>
      <c r="CY11">
        <f>AD11</f>
        <v>341.91</v>
      </c>
      <c r="CZ11">
        <f>AH11</f>
        <v>8.86</v>
      </c>
      <c r="DA11">
        <f>AL11</f>
        <v>38.59</v>
      </c>
      <c r="DB11">
        <f t="shared" si="0"/>
        <v>1940.34</v>
      </c>
      <c r="DC11">
        <f t="shared" si="1"/>
        <v>0</v>
      </c>
    </row>
    <row r="12" spans="1:107" ht="12.75">
      <c r="A12">
        <f>ROW(Source!A29)</f>
        <v>29</v>
      </c>
      <c r="B12">
        <v>55724170</v>
      </c>
      <c r="C12">
        <v>55724810</v>
      </c>
      <c r="D12">
        <v>53630257</v>
      </c>
      <c r="E12">
        <v>70</v>
      </c>
      <c r="F12">
        <v>1</v>
      </c>
      <c r="G12">
        <v>1</v>
      </c>
      <c r="H12">
        <v>1</v>
      </c>
      <c r="I12" t="s">
        <v>222</v>
      </c>
      <c r="K12" t="s">
        <v>223</v>
      </c>
      <c r="L12">
        <v>1191</v>
      </c>
      <c r="N12">
        <v>1013</v>
      </c>
      <c r="O12" t="s">
        <v>221</v>
      </c>
      <c r="P12" t="s">
        <v>221</v>
      </c>
      <c r="Q12">
        <v>1</v>
      </c>
      <c r="W12">
        <v>0</v>
      </c>
      <c r="X12">
        <v>-1417349443</v>
      </c>
      <c r="Y12">
        <v>0.5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38.59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0.5</v>
      </c>
      <c r="AV12">
        <v>2</v>
      </c>
      <c r="AW12">
        <v>2</v>
      </c>
      <c r="AX12">
        <v>55724812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0.41925</v>
      </c>
      <c r="CY12">
        <f>AD12</f>
        <v>0</v>
      </c>
      <c r="CZ12">
        <f>AH12</f>
        <v>0</v>
      </c>
      <c r="DA12">
        <f>AL12</f>
        <v>1</v>
      </c>
      <c r="DB12">
        <f t="shared" si="0"/>
        <v>0</v>
      </c>
      <c r="DC12">
        <f t="shared" si="1"/>
        <v>0</v>
      </c>
    </row>
    <row r="13" spans="1:107" ht="12.75">
      <c r="A13">
        <f>ROW(Source!A29)</f>
        <v>29</v>
      </c>
      <c r="B13">
        <v>55724170</v>
      </c>
      <c r="C13">
        <v>55724810</v>
      </c>
      <c r="D13">
        <v>53792191</v>
      </c>
      <c r="E13">
        <v>1</v>
      </c>
      <c r="F13">
        <v>1</v>
      </c>
      <c r="G13">
        <v>1</v>
      </c>
      <c r="H13">
        <v>2</v>
      </c>
      <c r="I13" t="s">
        <v>224</v>
      </c>
      <c r="J13" t="s">
        <v>225</v>
      </c>
      <c r="K13" t="s">
        <v>226</v>
      </c>
      <c r="L13">
        <v>1367</v>
      </c>
      <c r="N13">
        <v>1011</v>
      </c>
      <c r="O13" t="s">
        <v>227</v>
      </c>
      <c r="P13" t="s">
        <v>227</v>
      </c>
      <c r="Q13">
        <v>1</v>
      </c>
      <c r="W13">
        <v>0</v>
      </c>
      <c r="X13">
        <v>1232162608</v>
      </c>
      <c r="Y13">
        <v>0.25</v>
      </c>
      <c r="AA13">
        <v>0</v>
      </c>
      <c r="AB13">
        <v>419.82</v>
      </c>
      <c r="AC13">
        <v>520.97</v>
      </c>
      <c r="AD13">
        <v>0</v>
      </c>
      <c r="AE13">
        <v>0</v>
      </c>
      <c r="AF13">
        <v>31.26</v>
      </c>
      <c r="AG13">
        <v>13.5</v>
      </c>
      <c r="AH13">
        <v>0</v>
      </c>
      <c r="AI13">
        <v>1</v>
      </c>
      <c r="AJ13">
        <v>13.43</v>
      </c>
      <c r="AK13">
        <v>38.59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0.25</v>
      </c>
      <c r="AV13">
        <v>0</v>
      </c>
      <c r="AW13">
        <v>2</v>
      </c>
      <c r="AX13">
        <v>55724813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0.209625</v>
      </c>
      <c r="CY13">
        <f>AB13</f>
        <v>419.82</v>
      </c>
      <c r="CZ13">
        <f>AF13</f>
        <v>31.26</v>
      </c>
      <c r="DA13">
        <f>AJ13</f>
        <v>13.43</v>
      </c>
      <c r="DB13">
        <f t="shared" si="0"/>
        <v>7.82</v>
      </c>
      <c r="DC13">
        <f t="shared" si="1"/>
        <v>3.38</v>
      </c>
    </row>
    <row r="14" spans="1:107" ht="12.75">
      <c r="A14">
        <f>ROW(Source!A29)</f>
        <v>29</v>
      </c>
      <c r="B14">
        <v>55724170</v>
      </c>
      <c r="C14">
        <v>55724810</v>
      </c>
      <c r="D14">
        <v>53792927</v>
      </c>
      <c r="E14">
        <v>1</v>
      </c>
      <c r="F14">
        <v>1</v>
      </c>
      <c r="G14">
        <v>1</v>
      </c>
      <c r="H14">
        <v>2</v>
      </c>
      <c r="I14" t="s">
        <v>228</v>
      </c>
      <c r="J14" t="s">
        <v>229</v>
      </c>
      <c r="K14" t="s">
        <v>230</v>
      </c>
      <c r="L14">
        <v>1367</v>
      </c>
      <c r="N14">
        <v>1011</v>
      </c>
      <c r="O14" t="s">
        <v>227</v>
      </c>
      <c r="P14" t="s">
        <v>227</v>
      </c>
      <c r="Q14">
        <v>1</v>
      </c>
      <c r="W14">
        <v>0</v>
      </c>
      <c r="X14">
        <v>509054691</v>
      </c>
      <c r="Y14">
        <v>0.25</v>
      </c>
      <c r="AA14">
        <v>0</v>
      </c>
      <c r="AB14">
        <v>882.49</v>
      </c>
      <c r="AC14">
        <v>447.64</v>
      </c>
      <c r="AD14">
        <v>0</v>
      </c>
      <c r="AE14">
        <v>0</v>
      </c>
      <c r="AF14">
        <v>65.71</v>
      </c>
      <c r="AG14">
        <v>11.6</v>
      </c>
      <c r="AH14">
        <v>0</v>
      </c>
      <c r="AI14">
        <v>1</v>
      </c>
      <c r="AJ14">
        <v>13.43</v>
      </c>
      <c r="AK14">
        <v>38.59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0.25</v>
      </c>
      <c r="AV14">
        <v>0</v>
      </c>
      <c r="AW14">
        <v>2</v>
      </c>
      <c r="AX14">
        <v>55724814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0.209625</v>
      </c>
      <c r="CY14">
        <f>AB14</f>
        <v>882.49</v>
      </c>
      <c r="CZ14">
        <f>AF14</f>
        <v>65.71</v>
      </c>
      <c r="DA14">
        <f>AJ14</f>
        <v>13.43</v>
      </c>
      <c r="DB14">
        <f t="shared" si="0"/>
        <v>16.43</v>
      </c>
      <c r="DC14">
        <f t="shared" si="1"/>
        <v>2.9</v>
      </c>
    </row>
    <row r="15" spans="1:107" ht="12.75">
      <c r="A15">
        <f>ROW(Source!A29)</f>
        <v>29</v>
      </c>
      <c r="B15">
        <v>55724170</v>
      </c>
      <c r="C15">
        <v>55724810</v>
      </c>
      <c r="D15">
        <v>53646032</v>
      </c>
      <c r="E15">
        <v>1</v>
      </c>
      <c r="F15">
        <v>1</v>
      </c>
      <c r="G15">
        <v>1</v>
      </c>
      <c r="H15">
        <v>3</v>
      </c>
      <c r="I15" t="s">
        <v>231</v>
      </c>
      <c r="J15" t="s">
        <v>232</v>
      </c>
      <c r="K15" t="s">
        <v>233</v>
      </c>
      <c r="L15">
        <v>1346</v>
      </c>
      <c r="N15">
        <v>1009</v>
      </c>
      <c r="O15" t="s">
        <v>49</v>
      </c>
      <c r="P15" t="s">
        <v>49</v>
      </c>
      <c r="Q15">
        <v>1</v>
      </c>
      <c r="W15">
        <v>0</v>
      </c>
      <c r="X15">
        <v>1052716416</v>
      </c>
      <c r="Y15">
        <v>0.2</v>
      </c>
      <c r="AA15">
        <v>12.41</v>
      </c>
      <c r="AB15">
        <v>0</v>
      </c>
      <c r="AC15">
        <v>0</v>
      </c>
      <c r="AD15">
        <v>0</v>
      </c>
      <c r="AE15">
        <v>1.82</v>
      </c>
      <c r="AF15">
        <v>0</v>
      </c>
      <c r="AG15">
        <v>0</v>
      </c>
      <c r="AH15">
        <v>0</v>
      </c>
      <c r="AI15">
        <v>6.82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0.2</v>
      </c>
      <c r="AV15">
        <v>0</v>
      </c>
      <c r="AW15">
        <v>2</v>
      </c>
      <c r="AX15">
        <v>55724816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0.16770000000000002</v>
      </c>
      <c r="CY15">
        <f aca="true" t="shared" si="5" ref="CY15:CY20">AA15</f>
        <v>12.41</v>
      </c>
      <c r="CZ15">
        <f aca="true" t="shared" si="6" ref="CZ15:CZ20">AE15</f>
        <v>1.82</v>
      </c>
      <c r="DA15">
        <f aca="true" t="shared" si="7" ref="DA15:DA20">AI15</f>
        <v>6.82</v>
      </c>
      <c r="DB15">
        <f t="shared" si="0"/>
        <v>0.36</v>
      </c>
      <c r="DC15">
        <f t="shared" si="1"/>
        <v>0</v>
      </c>
    </row>
    <row r="16" spans="1:107" ht="12.75">
      <c r="A16">
        <f>ROW(Source!A29)</f>
        <v>29</v>
      </c>
      <c r="B16">
        <v>55724170</v>
      </c>
      <c r="C16">
        <v>55724810</v>
      </c>
      <c r="D16">
        <v>53674525</v>
      </c>
      <c r="E16">
        <v>1</v>
      </c>
      <c r="F16">
        <v>1</v>
      </c>
      <c r="G16">
        <v>1</v>
      </c>
      <c r="H16">
        <v>3</v>
      </c>
      <c r="I16" t="s">
        <v>55</v>
      </c>
      <c r="J16" t="s">
        <v>57</v>
      </c>
      <c r="K16" t="s">
        <v>56</v>
      </c>
      <c r="L16">
        <v>1346</v>
      </c>
      <c r="N16">
        <v>1009</v>
      </c>
      <c r="O16" t="s">
        <v>49</v>
      </c>
      <c r="P16" t="s">
        <v>49</v>
      </c>
      <c r="Q16">
        <v>1</v>
      </c>
      <c r="W16">
        <v>1</v>
      </c>
      <c r="X16">
        <v>991942845</v>
      </c>
      <c r="Y16">
        <v>-56</v>
      </c>
      <c r="AA16">
        <v>133.74</v>
      </c>
      <c r="AB16">
        <v>0</v>
      </c>
      <c r="AC16">
        <v>0</v>
      </c>
      <c r="AD16">
        <v>0</v>
      </c>
      <c r="AE16">
        <v>19.61</v>
      </c>
      <c r="AF16">
        <v>0</v>
      </c>
      <c r="AG16">
        <v>0</v>
      </c>
      <c r="AH16">
        <v>0</v>
      </c>
      <c r="AI16">
        <v>6.82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-56</v>
      </c>
      <c r="AV16">
        <v>0</v>
      </c>
      <c r="AW16">
        <v>2</v>
      </c>
      <c r="AX16">
        <v>55724819</v>
      </c>
      <c r="AY16">
        <v>1</v>
      </c>
      <c r="AZ16">
        <v>6144</v>
      </c>
      <c r="BA16">
        <v>19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-46.956</v>
      </c>
      <c r="CY16">
        <f t="shared" si="5"/>
        <v>133.74</v>
      </c>
      <c r="CZ16">
        <f t="shared" si="6"/>
        <v>19.61</v>
      </c>
      <c r="DA16">
        <f t="shared" si="7"/>
        <v>6.82</v>
      </c>
      <c r="DB16">
        <f t="shared" si="0"/>
        <v>-1098.16</v>
      </c>
      <c r="DC16">
        <f t="shared" si="1"/>
        <v>0</v>
      </c>
    </row>
    <row r="17" spans="1:107" ht="12.75">
      <c r="A17">
        <f>ROW(Source!A29)</f>
        <v>29</v>
      </c>
      <c r="B17">
        <v>55724170</v>
      </c>
      <c r="C17">
        <v>55724810</v>
      </c>
      <c r="D17">
        <v>53634988</v>
      </c>
      <c r="E17">
        <v>70</v>
      </c>
      <c r="F17">
        <v>1</v>
      </c>
      <c r="G17">
        <v>1</v>
      </c>
      <c r="H17">
        <v>3</v>
      </c>
      <c r="I17" t="s">
        <v>51</v>
      </c>
      <c r="K17" t="s">
        <v>52</v>
      </c>
      <c r="L17">
        <v>1348</v>
      </c>
      <c r="N17">
        <v>1009</v>
      </c>
      <c r="O17" t="s">
        <v>53</v>
      </c>
      <c r="P17" t="s">
        <v>53</v>
      </c>
      <c r="Q17">
        <v>1000</v>
      </c>
      <c r="W17">
        <v>0</v>
      </c>
      <c r="X17">
        <v>2102561428</v>
      </c>
      <c r="Y17">
        <v>1.22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6.82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1.22</v>
      </c>
      <c r="AV17">
        <v>0</v>
      </c>
      <c r="AW17">
        <v>2</v>
      </c>
      <c r="AX17">
        <v>55724820</v>
      </c>
      <c r="AY17">
        <v>1</v>
      </c>
      <c r="AZ17">
        <v>0</v>
      </c>
      <c r="BA17">
        <v>20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1.02297</v>
      </c>
      <c r="CY17">
        <f t="shared" si="5"/>
        <v>0</v>
      </c>
      <c r="CZ17">
        <f t="shared" si="6"/>
        <v>0</v>
      </c>
      <c r="DA17">
        <f t="shared" si="7"/>
        <v>6.82</v>
      </c>
      <c r="DB17">
        <f t="shared" si="0"/>
        <v>0</v>
      </c>
      <c r="DC17">
        <f t="shared" si="1"/>
        <v>0</v>
      </c>
    </row>
    <row r="18" spans="1:107" ht="12.75">
      <c r="A18">
        <f>ROW(Source!A29)</f>
        <v>29</v>
      </c>
      <c r="B18">
        <v>55724170</v>
      </c>
      <c r="C18">
        <v>55724810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47</v>
      </c>
      <c r="K18" t="s">
        <v>48</v>
      </c>
      <c r="L18">
        <v>1346</v>
      </c>
      <c r="N18">
        <v>1009</v>
      </c>
      <c r="O18" t="s">
        <v>49</v>
      </c>
      <c r="P18" t="s">
        <v>49</v>
      </c>
      <c r="Q18">
        <v>1</v>
      </c>
      <c r="W18">
        <v>0</v>
      </c>
      <c r="X18">
        <v>1313449911</v>
      </c>
      <c r="Y18">
        <v>5.6291</v>
      </c>
      <c r="AA18">
        <v>5500</v>
      </c>
      <c r="AB18">
        <v>0</v>
      </c>
      <c r="AC18">
        <v>0</v>
      </c>
      <c r="AD18">
        <v>0</v>
      </c>
      <c r="AE18">
        <v>5500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5.6291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4.72000035</v>
      </c>
      <c r="CY18">
        <f t="shared" si="5"/>
        <v>5500</v>
      </c>
      <c r="CZ18">
        <f t="shared" si="6"/>
        <v>5500</v>
      </c>
      <c r="DA18">
        <f t="shared" si="7"/>
        <v>1</v>
      </c>
      <c r="DB18">
        <f t="shared" si="0"/>
        <v>30960.05</v>
      </c>
      <c r="DC18">
        <f t="shared" si="1"/>
        <v>0</v>
      </c>
    </row>
    <row r="19" spans="1:107" ht="12.75">
      <c r="A19">
        <f>ROW(Source!A29)</f>
        <v>29</v>
      </c>
      <c r="B19">
        <v>55724170</v>
      </c>
      <c r="C19">
        <v>55724810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43</v>
      </c>
      <c r="K19" t="s">
        <v>44</v>
      </c>
      <c r="L19">
        <v>1301</v>
      </c>
      <c r="N19">
        <v>1003</v>
      </c>
      <c r="O19" t="s">
        <v>45</v>
      </c>
      <c r="P19" t="s">
        <v>45</v>
      </c>
      <c r="Q19">
        <v>1</v>
      </c>
      <c r="W19">
        <v>0</v>
      </c>
      <c r="X19">
        <v>-1282863111</v>
      </c>
      <c r="Y19">
        <v>111.389386</v>
      </c>
      <c r="AA19">
        <v>250</v>
      </c>
      <c r="AB19">
        <v>0</v>
      </c>
      <c r="AC19">
        <v>0</v>
      </c>
      <c r="AD19">
        <v>0</v>
      </c>
      <c r="AE19">
        <v>250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111.389386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93.40000016100001</v>
      </c>
      <c r="CY19">
        <f t="shared" si="5"/>
        <v>250</v>
      </c>
      <c r="CZ19">
        <f t="shared" si="6"/>
        <v>250</v>
      </c>
      <c r="DA19">
        <f t="shared" si="7"/>
        <v>1</v>
      </c>
      <c r="DB19">
        <f t="shared" si="0"/>
        <v>27847.35</v>
      </c>
      <c r="DC19">
        <f t="shared" si="1"/>
        <v>0</v>
      </c>
    </row>
    <row r="20" spans="1:107" ht="12.75">
      <c r="A20">
        <f>ROW(Source!A29)</f>
        <v>29</v>
      </c>
      <c r="B20">
        <v>55724170</v>
      </c>
      <c r="C20">
        <v>55724810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38</v>
      </c>
      <c r="K20" t="s">
        <v>39</v>
      </c>
      <c r="L20">
        <v>3417</v>
      </c>
      <c r="N20">
        <v>1013</v>
      </c>
      <c r="O20" t="s">
        <v>40</v>
      </c>
      <c r="P20" t="s">
        <v>40</v>
      </c>
      <c r="Q20">
        <v>1</v>
      </c>
      <c r="W20">
        <v>0</v>
      </c>
      <c r="X20">
        <v>-378200896</v>
      </c>
      <c r="Y20">
        <v>100</v>
      </c>
      <c r="AA20">
        <v>12320</v>
      </c>
      <c r="AB20">
        <v>0</v>
      </c>
      <c r="AC20">
        <v>0</v>
      </c>
      <c r="AD20">
        <v>0</v>
      </c>
      <c r="AE20">
        <v>12320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100</v>
      </c>
      <c r="AV20">
        <v>0</v>
      </c>
      <c r="AW20">
        <v>1</v>
      </c>
      <c r="AX20">
        <v>-1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83.85000000000001</v>
      </c>
      <c r="CY20">
        <f t="shared" si="5"/>
        <v>12320</v>
      </c>
      <c r="CZ20">
        <f t="shared" si="6"/>
        <v>12320</v>
      </c>
      <c r="DA20">
        <f t="shared" si="7"/>
        <v>1</v>
      </c>
      <c r="DB20">
        <f t="shared" si="0"/>
        <v>1232000</v>
      </c>
      <c r="DC20">
        <f t="shared" si="1"/>
        <v>0</v>
      </c>
    </row>
    <row r="21" spans="1:107" ht="12.75">
      <c r="A21">
        <f>ROW(Source!A76)</f>
        <v>76</v>
      </c>
      <c r="B21">
        <v>55724169</v>
      </c>
      <c r="C21">
        <v>55724745</v>
      </c>
      <c r="D21">
        <v>37822859</v>
      </c>
      <c r="E21">
        <v>1</v>
      </c>
      <c r="F21">
        <v>1</v>
      </c>
      <c r="G21">
        <v>1</v>
      </c>
      <c r="H21">
        <v>1</v>
      </c>
      <c r="I21" t="s">
        <v>234</v>
      </c>
      <c r="K21" t="s">
        <v>235</v>
      </c>
      <c r="L21">
        <v>1191</v>
      </c>
      <c r="N21">
        <v>1013</v>
      </c>
      <c r="O21" t="s">
        <v>221</v>
      </c>
      <c r="P21" t="s">
        <v>221</v>
      </c>
      <c r="Q21">
        <v>1</v>
      </c>
      <c r="W21">
        <v>0</v>
      </c>
      <c r="X21">
        <v>-2033067419</v>
      </c>
      <c r="Y21">
        <v>214.32</v>
      </c>
      <c r="AA21">
        <v>0</v>
      </c>
      <c r="AB21">
        <v>0</v>
      </c>
      <c r="AC21">
        <v>0</v>
      </c>
      <c r="AD21">
        <v>7.25</v>
      </c>
      <c r="AE21">
        <v>0</v>
      </c>
      <c r="AF21">
        <v>0</v>
      </c>
      <c r="AG21">
        <v>0</v>
      </c>
      <c r="AH21">
        <v>7.25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214.32</v>
      </c>
      <c r="AV21">
        <v>1</v>
      </c>
      <c r="AW21">
        <v>2</v>
      </c>
      <c r="AX21">
        <v>55724748</v>
      </c>
      <c r="AY21">
        <v>1</v>
      </c>
      <c r="AZ21">
        <v>6144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Y21*Source!I76</f>
        <v>2.1431999999999998</v>
      </c>
      <c r="CY21">
        <f>AD21</f>
        <v>7.25</v>
      </c>
      <c r="CZ21">
        <f>AH21</f>
        <v>7.25</v>
      </c>
      <c r="DA21">
        <f>AL21</f>
        <v>1</v>
      </c>
      <c r="DB21">
        <f t="shared" si="0"/>
        <v>1553.82</v>
      </c>
      <c r="DC21">
        <f t="shared" si="1"/>
        <v>0</v>
      </c>
    </row>
    <row r="22" spans="1:107" ht="12.75">
      <c r="A22">
        <f>ROW(Source!A76)</f>
        <v>76</v>
      </c>
      <c r="B22">
        <v>55724169</v>
      </c>
      <c r="C22">
        <v>55724745</v>
      </c>
      <c r="D22">
        <v>0</v>
      </c>
      <c r="E22">
        <v>1</v>
      </c>
      <c r="F22">
        <v>1</v>
      </c>
      <c r="G22">
        <v>1</v>
      </c>
      <c r="H22">
        <v>3</v>
      </c>
      <c r="I22" t="s">
        <v>125</v>
      </c>
      <c r="K22" t="s">
        <v>52</v>
      </c>
      <c r="L22">
        <v>1348</v>
      </c>
      <c r="N22">
        <v>1009</v>
      </c>
      <c r="O22" t="s">
        <v>53</v>
      </c>
      <c r="P22" t="s">
        <v>53</v>
      </c>
      <c r="Q22">
        <v>1000</v>
      </c>
      <c r="W22">
        <v>0</v>
      </c>
      <c r="X22">
        <v>-179832266</v>
      </c>
      <c r="Y22">
        <v>100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100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Y22*Source!I76</f>
        <v>1</v>
      </c>
      <c r="CY22">
        <f>AA22</f>
        <v>0</v>
      </c>
      <c r="CZ22">
        <f>AE22</f>
        <v>0</v>
      </c>
      <c r="DA22">
        <f>AI22</f>
        <v>1</v>
      </c>
      <c r="DB22">
        <f t="shared" si="0"/>
        <v>0</v>
      </c>
      <c r="DC22">
        <f t="shared" si="1"/>
        <v>0</v>
      </c>
    </row>
    <row r="23" spans="1:107" ht="12.75">
      <c r="A23">
        <f>ROW(Source!A77)</f>
        <v>77</v>
      </c>
      <c r="B23">
        <v>55724170</v>
      </c>
      <c r="C23">
        <v>55724745</v>
      </c>
      <c r="D23">
        <v>37822859</v>
      </c>
      <c r="E23">
        <v>1</v>
      </c>
      <c r="F23">
        <v>1</v>
      </c>
      <c r="G23">
        <v>1</v>
      </c>
      <c r="H23">
        <v>1</v>
      </c>
      <c r="I23" t="s">
        <v>234</v>
      </c>
      <c r="K23" t="s">
        <v>235</v>
      </c>
      <c r="L23">
        <v>1191</v>
      </c>
      <c r="N23">
        <v>1013</v>
      </c>
      <c r="O23" t="s">
        <v>221</v>
      </c>
      <c r="P23" t="s">
        <v>221</v>
      </c>
      <c r="Q23">
        <v>1</v>
      </c>
      <c r="W23">
        <v>0</v>
      </c>
      <c r="X23">
        <v>-2033067419</v>
      </c>
      <c r="Y23">
        <v>214.32</v>
      </c>
      <c r="AA23">
        <v>0</v>
      </c>
      <c r="AB23">
        <v>0</v>
      </c>
      <c r="AC23">
        <v>0</v>
      </c>
      <c r="AD23">
        <v>279.78</v>
      </c>
      <c r="AE23">
        <v>0</v>
      </c>
      <c r="AF23">
        <v>0</v>
      </c>
      <c r="AG23">
        <v>0</v>
      </c>
      <c r="AH23">
        <v>7.25</v>
      </c>
      <c r="AI23">
        <v>1</v>
      </c>
      <c r="AJ23">
        <v>1</v>
      </c>
      <c r="AK23">
        <v>1</v>
      </c>
      <c r="AL23">
        <v>38.59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214.32</v>
      </c>
      <c r="AV23">
        <v>1</v>
      </c>
      <c r="AW23">
        <v>2</v>
      </c>
      <c r="AX23">
        <v>55724748</v>
      </c>
      <c r="AY23">
        <v>1</v>
      </c>
      <c r="AZ23">
        <v>6144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Y23*Source!I77</f>
        <v>2.1431999999999998</v>
      </c>
      <c r="CY23">
        <f>AD23</f>
        <v>279.78</v>
      </c>
      <c r="CZ23">
        <f>AH23</f>
        <v>7.25</v>
      </c>
      <c r="DA23">
        <f>AL23</f>
        <v>38.59</v>
      </c>
      <c r="DB23">
        <f t="shared" si="0"/>
        <v>1553.82</v>
      </c>
      <c r="DC23">
        <f t="shared" si="1"/>
        <v>0</v>
      </c>
    </row>
    <row r="24" spans="1:107" ht="12.75">
      <c r="A24">
        <f>ROW(Source!A77)</f>
        <v>77</v>
      </c>
      <c r="B24">
        <v>55724170</v>
      </c>
      <c r="C24">
        <v>55724745</v>
      </c>
      <c r="D24">
        <v>0</v>
      </c>
      <c r="E24">
        <v>1</v>
      </c>
      <c r="F24">
        <v>1</v>
      </c>
      <c r="G24">
        <v>1</v>
      </c>
      <c r="H24">
        <v>3</v>
      </c>
      <c r="I24" t="s">
        <v>125</v>
      </c>
      <c r="K24" t="s">
        <v>52</v>
      </c>
      <c r="L24">
        <v>1348</v>
      </c>
      <c r="N24">
        <v>1009</v>
      </c>
      <c r="O24" t="s">
        <v>53</v>
      </c>
      <c r="P24" t="s">
        <v>53</v>
      </c>
      <c r="Q24">
        <v>1000</v>
      </c>
      <c r="W24">
        <v>0</v>
      </c>
      <c r="X24">
        <v>-179832266</v>
      </c>
      <c r="Y24">
        <v>100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6.82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100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Y24*Source!I77</f>
        <v>1</v>
      </c>
      <c r="CY24">
        <f>AA24</f>
        <v>0</v>
      </c>
      <c r="CZ24">
        <f>AE24</f>
        <v>0</v>
      </c>
      <c r="DA24">
        <f>AI24</f>
        <v>6.82</v>
      </c>
      <c r="DB24">
        <f t="shared" si="0"/>
        <v>0</v>
      </c>
      <c r="DC24">
        <f t="shared" si="1"/>
        <v>0</v>
      </c>
    </row>
    <row r="25" spans="1:107" ht="12.75">
      <c r="A25">
        <f>ROW(Source!A80)</f>
        <v>80</v>
      </c>
      <c r="B25">
        <v>55724169</v>
      </c>
      <c r="C25">
        <v>55724417</v>
      </c>
      <c r="D25">
        <v>9670109</v>
      </c>
      <c r="E25">
        <v>1</v>
      </c>
      <c r="F25">
        <v>1</v>
      </c>
      <c r="G25">
        <v>1</v>
      </c>
      <c r="H25">
        <v>1</v>
      </c>
      <c r="I25" t="s">
        <v>236</v>
      </c>
      <c r="K25" t="s">
        <v>237</v>
      </c>
      <c r="L25">
        <v>1369</v>
      </c>
      <c r="N25">
        <v>1013</v>
      </c>
      <c r="O25" t="s">
        <v>238</v>
      </c>
      <c r="P25" t="s">
        <v>238</v>
      </c>
      <c r="Q25">
        <v>1</v>
      </c>
      <c r="W25">
        <v>0</v>
      </c>
      <c r="X25">
        <v>317644410</v>
      </c>
      <c r="Y25">
        <v>0.5777</v>
      </c>
      <c r="AA25">
        <v>0</v>
      </c>
      <c r="AB25">
        <v>0</v>
      </c>
      <c r="AC25">
        <v>0</v>
      </c>
      <c r="AD25">
        <v>7.19</v>
      </c>
      <c r="AE25">
        <v>0</v>
      </c>
      <c r="AF25">
        <v>0</v>
      </c>
      <c r="AG25">
        <v>0</v>
      </c>
      <c r="AH25">
        <v>7.19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0.5777</v>
      </c>
      <c r="AV25">
        <v>1</v>
      </c>
      <c r="AW25">
        <v>1</v>
      </c>
      <c r="AX25">
        <v>-1</v>
      </c>
      <c r="AY25">
        <v>0</v>
      </c>
      <c r="AZ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Y25*Source!I80</f>
        <v>0.5777</v>
      </c>
      <c r="CY25">
        <f>AD25</f>
        <v>7.19</v>
      </c>
      <c r="CZ25">
        <f>AH25</f>
        <v>7.19</v>
      </c>
      <c r="DA25">
        <f>AL25</f>
        <v>1</v>
      </c>
      <c r="DB25">
        <f t="shared" si="0"/>
        <v>4.15</v>
      </c>
      <c r="DC25">
        <f t="shared" si="1"/>
        <v>0</v>
      </c>
    </row>
    <row r="26" spans="1:107" ht="12.75">
      <c r="A26">
        <f>ROW(Source!A80)</f>
        <v>80</v>
      </c>
      <c r="B26">
        <v>55724169</v>
      </c>
      <c r="C26">
        <v>55724417</v>
      </c>
      <c r="D26">
        <v>0</v>
      </c>
      <c r="E26">
        <v>1</v>
      </c>
      <c r="F26">
        <v>1</v>
      </c>
      <c r="G26">
        <v>1</v>
      </c>
      <c r="H26">
        <v>2</v>
      </c>
      <c r="I26" t="s">
        <v>239</v>
      </c>
      <c r="J26" t="s">
        <v>240</v>
      </c>
      <c r="K26" t="s">
        <v>241</v>
      </c>
      <c r="L26">
        <v>1368</v>
      </c>
      <c r="N26">
        <v>1011</v>
      </c>
      <c r="O26" t="s">
        <v>242</v>
      </c>
      <c r="P26" t="s">
        <v>242</v>
      </c>
      <c r="Q26">
        <v>1</v>
      </c>
      <c r="W26">
        <v>0</v>
      </c>
      <c r="X26">
        <v>1020660697</v>
      </c>
      <c r="Y26">
        <v>0.29</v>
      </c>
      <c r="AA26">
        <v>0</v>
      </c>
      <c r="AB26">
        <v>111</v>
      </c>
      <c r="AC26">
        <v>11.6</v>
      </c>
      <c r="AD26">
        <v>0</v>
      </c>
      <c r="AE26">
        <v>0</v>
      </c>
      <c r="AF26">
        <v>111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0.29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Y26*Source!I80</f>
        <v>0.29</v>
      </c>
      <c r="CY26">
        <f>AB26</f>
        <v>111</v>
      </c>
      <c r="CZ26">
        <f>AF26</f>
        <v>111</v>
      </c>
      <c r="DA26">
        <f>AJ26</f>
        <v>1</v>
      </c>
      <c r="DB26">
        <f t="shared" si="0"/>
        <v>32.19</v>
      </c>
      <c r="DC26">
        <f t="shared" si="1"/>
        <v>3.36</v>
      </c>
    </row>
    <row r="27" spans="1:107" ht="12.75">
      <c r="A27">
        <f>ROW(Source!A81)</f>
        <v>81</v>
      </c>
      <c r="B27">
        <v>55724170</v>
      </c>
      <c r="C27">
        <v>55724417</v>
      </c>
      <c r="D27">
        <v>9670109</v>
      </c>
      <c r="E27">
        <v>1</v>
      </c>
      <c r="F27">
        <v>1</v>
      </c>
      <c r="G27">
        <v>1</v>
      </c>
      <c r="H27">
        <v>1</v>
      </c>
      <c r="I27" t="s">
        <v>236</v>
      </c>
      <c r="K27" t="s">
        <v>237</v>
      </c>
      <c r="L27">
        <v>1369</v>
      </c>
      <c r="N27">
        <v>1013</v>
      </c>
      <c r="O27" t="s">
        <v>238</v>
      </c>
      <c r="P27" t="s">
        <v>238</v>
      </c>
      <c r="Q27">
        <v>1</v>
      </c>
      <c r="W27">
        <v>0</v>
      </c>
      <c r="X27">
        <v>317644410</v>
      </c>
      <c r="Y27">
        <v>0.5777</v>
      </c>
      <c r="AA27">
        <v>0</v>
      </c>
      <c r="AB27">
        <v>0</v>
      </c>
      <c r="AC27">
        <v>0</v>
      </c>
      <c r="AD27">
        <v>277.46</v>
      </c>
      <c r="AE27">
        <v>0</v>
      </c>
      <c r="AF27">
        <v>0</v>
      </c>
      <c r="AG27">
        <v>0</v>
      </c>
      <c r="AH27">
        <v>7.19</v>
      </c>
      <c r="AI27">
        <v>1</v>
      </c>
      <c r="AJ27">
        <v>1</v>
      </c>
      <c r="AK27">
        <v>1</v>
      </c>
      <c r="AL27">
        <v>38.59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0.5777</v>
      </c>
      <c r="AV27">
        <v>1</v>
      </c>
      <c r="AW27">
        <v>1</v>
      </c>
      <c r="AX27">
        <v>-1</v>
      </c>
      <c r="AY27">
        <v>0</v>
      </c>
      <c r="AZ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Y27*Source!I81</f>
        <v>0.5777</v>
      </c>
      <c r="CY27">
        <f>AD27</f>
        <v>277.46</v>
      </c>
      <c r="CZ27">
        <f>AH27</f>
        <v>7.19</v>
      </c>
      <c r="DA27">
        <f>AL27</f>
        <v>38.59</v>
      </c>
      <c r="DB27">
        <f t="shared" si="0"/>
        <v>4.15</v>
      </c>
      <c r="DC27">
        <f t="shared" si="1"/>
        <v>0</v>
      </c>
    </row>
    <row r="28" spans="1:107" ht="12.75">
      <c r="A28">
        <f>ROW(Source!A81)</f>
        <v>81</v>
      </c>
      <c r="B28">
        <v>55724170</v>
      </c>
      <c r="C28">
        <v>55724417</v>
      </c>
      <c r="D28">
        <v>0</v>
      </c>
      <c r="E28">
        <v>1</v>
      </c>
      <c r="F28">
        <v>1</v>
      </c>
      <c r="G28">
        <v>1</v>
      </c>
      <c r="H28">
        <v>2</v>
      </c>
      <c r="I28" t="s">
        <v>239</v>
      </c>
      <c r="J28" t="s">
        <v>240</v>
      </c>
      <c r="K28" t="s">
        <v>241</v>
      </c>
      <c r="L28">
        <v>1368</v>
      </c>
      <c r="N28">
        <v>1011</v>
      </c>
      <c r="O28" t="s">
        <v>242</v>
      </c>
      <c r="P28" t="s">
        <v>242</v>
      </c>
      <c r="Q28">
        <v>1</v>
      </c>
      <c r="W28">
        <v>0</v>
      </c>
      <c r="X28">
        <v>1020660697</v>
      </c>
      <c r="Y28">
        <v>0.29</v>
      </c>
      <c r="AA28">
        <v>0</v>
      </c>
      <c r="AB28">
        <v>1490.73</v>
      </c>
      <c r="AC28">
        <v>447.64</v>
      </c>
      <c r="AD28">
        <v>0</v>
      </c>
      <c r="AE28">
        <v>0</v>
      </c>
      <c r="AF28">
        <v>111</v>
      </c>
      <c r="AG28">
        <v>11.6</v>
      </c>
      <c r="AH28">
        <v>0</v>
      </c>
      <c r="AI28">
        <v>1</v>
      </c>
      <c r="AJ28">
        <v>13.43</v>
      </c>
      <c r="AK28">
        <v>38.59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0.29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Y28*Source!I81</f>
        <v>0.29</v>
      </c>
      <c r="CY28">
        <f>AB28</f>
        <v>1490.73</v>
      </c>
      <c r="CZ28">
        <f>AF28</f>
        <v>111</v>
      </c>
      <c r="DA28">
        <f>AJ28</f>
        <v>13.43</v>
      </c>
      <c r="DB28">
        <f t="shared" si="0"/>
        <v>32.19</v>
      </c>
      <c r="DC28">
        <f t="shared" si="1"/>
        <v>3.36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55724811</v>
      </c>
      <c r="C1">
        <v>55724810</v>
      </c>
      <c r="D1">
        <v>53630073</v>
      </c>
      <c r="E1">
        <v>70</v>
      </c>
      <c r="F1">
        <v>1</v>
      </c>
      <c r="G1">
        <v>1</v>
      </c>
      <c r="H1">
        <v>1</v>
      </c>
      <c r="I1" t="s">
        <v>219</v>
      </c>
      <c r="K1" t="s">
        <v>220</v>
      </c>
      <c r="L1">
        <v>1191</v>
      </c>
      <c r="N1">
        <v>1013</v>
      </c>
      <c r="O1" t="s">
        <v>221</v>
      </c>
      <c r="P1" t="s">
        <v>221</v>
      </c>
      <c r="Q1">
        <v>1</v>
      </c>
      <c r="X1">
        <v>219</v>
      </c>
      <c r="Y1">
        <v>0</v>
      </c>
      <c r="Z1">
        <v>0</v>
      </c>
      <c r="AA1">
        <v>0</v>
      </c>
      <c r="AB1">
        <v>8.86</v>
      </c>
      <c r="AC1">
        <v>0</v>
      </c>
      <c r="AD1">
        <v>1</v>
      </c>
      <c r="AE1">
        <v>1</v>
      </c>
      <c r="AG1">
        <v>219</v>
      </c>
      <c r="AH1">
        <v>2</v>
      </c>
      <c r="AI1">
        <v>55724811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55724812</v>
      </c>
      <c r="C2">
        <v>55724810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222</v>
      </c>
      <c r="K2" t="s">
        <v>223</v>
      </c>
      <c r="L2">
        <v>1191</v>
      </c>
      <c r="N2">
        <v>1013</v>
      </c>
      <c r="O2" t="s">
        <v>221</v>
      </c>
      <c r="P2" t="s">
        <v>221</v>
      </c>
      <c r="Q2">
        <v>1</v>
      </c>
      <c r="X2">
        <v>0.5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0.5</v>
      </c>
      <c r="AH2">
        <v>2</v>
      </c>
      <c r="AI2">
        <v>55724812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55724813</v>
      </c>
      <c r="C3">
        <v>55724810</v>
      </c>
      <c r="D3">
        <v>53792191</v>
      </c>
      <c r="E3">
        <v>1</v>
      </c>
      <c r="F3">
        <v>1</v>
      </c>
      <c r="G3">
        <v>1</v>
      </c>
      <c r="H3">
        <v>2</v>
      </c>
      <c r="I3" t="s">
        <v>224</v>
      </c>
      <c r="J3" t="s">
        <v>225</v>
      </c>
      <c r="K3" t="s">
        <v>226</v>
      </c>
      <c r="L3">
        <v>1367</v>
      </c>
      <c r="N3">
        <v>1011</v>
      </c>
      <c r="O3" t="s">
        <v>227</v>
      </c>
      <c r="P3" t="s">
        <v>227</v>
      </c>
      <c r="Q3">
        <v>1</v>
      </c>
      <c r="X3">
        <v>0.25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G3">
        <v>0.25</v>
      </c>
      <c r="AH3">
        <v>2</v>
      </c>
      <c r="AI3">
        <v>55724813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55724814</v>
      </c>
      <c r="C4">
        <v>55724810</v>
      </c>
      <c r="D4">
        <v>53792927</v>
      </c>
      <c r="E4">
        <v>1</v>
      </c>
      <c r="F4">
        <v>1</v>
      </c>
      <c r="G4">
        <v>1</v>
      </c>
      <c r="H4">
        <v>2</v>
      </c>
      <c r="I4" t="s">
        <v>228</v>
      </c>
      <c r="J4" t="s">
        <v>229</v>
      </c>
      <c r="K4" t="s">
        <v>230</v>
      </c>
      <c r="L4">
        <v>1367</v>
      </c>
      <c r="N4">
        <v>1011</v>
      </c>
      <c r="O4" t="s">
        <v>227</v>
      </c>
      <c r="P4" t="s">
        <v>227</v>
      </c>
      <c r="Q4">
        <v>1</v>
      </c>
      <c r="X4">
        <v>0.25</v>
      </c>
      <c r="Y4">
        <v>0</v>
      </c>
      <c r="Z4">
        <v>65.71</v>
      </c>
      <c r="AA4">
        <v>11.6</v>
      </c>
      <c r="AB4">
        <v>0</v>
      </c>
      <c r="AC4">
        <v>0</v>
      </c>
      <c r="AD4">
        <v>1</v>
      </c>
      <c r="AE4">
        <v>0</v>
      </c>
      <c r="AG4">
        <v>0.25</v>
      </c>
      <c r="AH4">
        <v>2</v>
      </c>
      <c r="AI4">
        <v>55724814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55724815</v>
      </c>
      <c r="C5">
        <v>55724810</v>
      </c>
      <c r="D5">
        <v>53645844</v>
      </c>
      <c r="E5">
        <v>1</v>
      </c>
      <c r="F5">
        <v>1</v>
      </c>
      <c r="G5">
        <v>1</v>
      </c>
      <c r="H5">
        <v>3</v>
      </c>
      <c r="I5" t="s">
        <v>243</v>
      </c>
      <c r="J5" t="s">
        <v>244</v>
      </c>
      <c r="K5" t="s">
        <v>245</v>
      </c>
      <c r="L5">
        <v>1346</v>
      </c>
      <c r="N5">
        <v>1009</v>
      </c>
      <c r="O5" t="s">
        <v>49</v>
      </c>
      <c r="P5" t="s">
        <v>49</v>
      </c>
      <c r="Q5">
        <v>1</v>
      </c>
      <c r="X5">
        <v>0</v>
      </c>
      <c r="Y5">
        <v>23.09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G5">
        <v>0</v>
      </c>
      <c r="AH5">
        <v>3</v>
      </c>
      <c r="AI5">
        <v>-1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55724816</v>
      </c>
      <c r="C6">
        <v>55724810</v>
      </c>
      <c r="D6">
        <v>53646032</v>
      </c>
      <c r="E6">
        <v>1</v>
      </c>
      <c r="F6">
        <v>1</v>
      </c>
      <c r="G6">
        <v>1</v>
      </c>
      <c r="H6">
        <v>3</v>
      </c>
      <c r="I6" t="s">
        <v>231</v>
      </c>
      <c r="J6" t="s">
        <v>232</v>
      </c>
      <c r="K6" t="s">
        <v>233</v>
      </c>
      <c r="L6">
        <v>1346</v>
      </c>
      <c r="N6">
        <v>1009</v>
      </c>
      <c r="O6" t="s">
        <v>49</v>
      </c>
      <c r="P6" t="s">
        <v>49</v>
      </c>
      <c r="Q6">
        <v>1</v>
      </c>
      <c r="X6">
        <v>0.2</v>
      </c>
      <c r="Y6">
        <v>1.82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0.2</v>
      </c>
      <c r="AH6">
        <v>2</v>
      </c>
      <c r="AI6">
        <v>55724816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55724817</v>
      </c>
      <c r="C7">
        <v>55724810</v>
      </c>
      <c r="D7">
        <v>53630840</v>
      </c>
      <c r="E7">
        <v>70</v>
      </c>
      <c r="F7">
        <v>1</v>
      </c>
      <c r="G7">
        <v>1</v>
      </c>
      <c r="H7">
        <v>3</v>
      </c>
      <c r="I7" t="s">
        <v>246</v>
      </c>
      <c r="K7" t="s">
        <v>247</v>
      </c>
      <c r="L7">
        <v>1327</v>
      </c>
      <c r="N7">
        <v>1005</v>
      </c>
      <c r="O7" t="s">
        <v>248</v>
      </c>
      <c r="P7" t="s">
        <v>248</v>
      </c>
      <c r="Q7">
        <v>1</v>
      </c>
      <c r="X7">
        <v>99.6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99.6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55724818</v>
      </c>
      <c r="C8">
        <v>55724810</v>
      </c>
      <c r="D8">
        <v>53632503</v>
      </c>
      <c r="E8">
        <v>70</v>
      </c>
      <c r="F8">
        <v>1</v>
      </c>
      <c r="G8">
        <v>1</v>
      </c>
      <c r="H8">
        <v>3</v>
      </c>
      <c r="I8" t="s">
        <v>249</v>
      </c>
      <c r="K8" t="s">
        <v>250</v>
      </c>
      <c r="L8">
        <v>1348</v>
      </c>
      <c r="N8">
        <v>1009</v>
      </c>
      <c r="O8" t="s">
        <v>53</v>
      </c>
      <c r="P8" t="s">
        <v>53</v>
      </c>
      <c r="Q8">
        <v>1000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G8">
        <v>0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55724819</v>
      </c>
      <c r="C9">
        <v>55724810</v>
      </c>
      <c r="D9">
        <v>53674525</v>
      </c>
      <c r="E9">
        <v>1</v>
      </c>
      <c r="F9">
        <v>1</v>
      </c>
      <c r="G9">
        <v>1</v>
      </c>
      <c r="H9">
        <v>3</v>
      </c>
      <c r="I9" t="s">
        <v>55</v>
      </c>
      <c r="J9" t="s">
        <v>57</v>
      </c>
      <c r="K9" t="s">
        <v>56</v>
      </c>
      <c r="L9">
        <v>1346</v>
      </c>
      <c r="N9">
        <v>1009</v>
      </c>
      <c r="O9" t="s">
        <v>49</v>
      </c>
      <c r="P9" t="s">
        <v>49</v>
      </c>
      <c r="Q9">
        <v>1</v>
      </c>
      <c r="X9">
        <v>56</v>
      </c>
      <c r="Y9">
        <v>19.61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56</v>
      </c>
      <c r="AH9">
        <v>2</v>
      </c>
      <c r="AI9">
        <v>55724819</v>
      </c>
      <c r="AJ9">
        <v>6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55724820</v>
      </c>
      <c r="C10">
        <v>55724810</v>
      </c>
      <c r="D10">
        <v>53634988</v>
      </c>
      <c r="E10">
        <v>70</v>
      </c>
      <c r="F10">
        <v>1</v>
      </c>
      <c r="G10">
        <v>1</v>
      </c>
      <c r="H10">
        <v>3</v>
      </c>
      <c r="I10" t="s">
        <v>51</v>
      </c>
      <c r="K10" t="s">
        <v>52</v>
      </c>
      <c r="L10">
        <v>1348</v>
      </c>
      <c r="N10">
        <v>1009</v>
      </c>
      <c r="O10" t="s">
        <v>53</v>
      </c>
      <c r="P10" t="s">
        <v>53</v>
      </c>
      <c r="Q10">
        <v>1000</v>
      </c>
      <c r="X10">
        <v>1.22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1.22</v>
      </c>
      <c r="AH10">
        <v>2</v>
      </c>
      <c r="AI10">
        <v>55724820</v>
      </c>
      <c r="AJ10">
        <v>7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55724811</v>
      </c>
      <c r="C11">
        <v>55724810</v>
      </c>
      <c r="D11">
        <v>53630073</v>
      </c>
      <c r="E11">
        <v>70</v>
      </c>
      <c r="F11">
        <v>1</v>
      </c>
      <c r="G11">
        <v>1</v>
      </c>
      <c r="H11">
        <v>1</v>
      </c>
      <c r="I11" t="s">
        <v>219</v>
      </c>
      <c r="K11" t="s">
        <v>220</v>
      </c>
      <c r="L11">
        <v>1191</v>
      </c>
      <c r="N11">
        <v>1013</v>
      </c>
      <c r="O11" t="s">
        <v>221</v>
      </c>
      <c r="P11" t="s">
        <v>221</v>
      </c>
      <c r="Q11">
        <v>1</v>
      </c>
      <c r="X11">
        <v>219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G11">
        <v>219</v>
      </c>
      <c r="AH11">
        <v>2</v>
      </c>
      <c r="AI11">
        <v>55724811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55724812</v>
      </c>
      <c r="C12">
        <v>55724810</v>
      </c>
      <c r="D12">
        <v>53630257</v>
      </c>
      <c r="E12">
        <v>70</v>
      </c>
      <c r="F12">
        <v>1</v>
      </c>
      <c r="G12">
        <v>1</v>
      </c>
      <c r="H12">
        <v>1</v>
      </c>
      <c r="I12" t="s">
        <v>222</v>
      </c>
      <c r="K12" t="s">
        <v>223</v>
      </c>
      <c r="L12">
        <v>1191</v>
      </c>
      <c r="N12">
        <v>1013</v>
      </c>
      <c r="O12" t="s">
        <v>221</v>
      </c>
      <c r="P12" t="s">
        <v>221</v>
      </c>
      <c r="Q12">
        <v>1</v>
      </c>
      <c r="X12">
        <v>0.5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G12">
        <v>0.5</v>
      </c>
      <c r="AH12">
        <v>2</v>
      </c>
      <c r="AI12">
        <v>55724812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55724813</v>
      </c>
      <c r="C13">
        <v>55724810</v>
      </c>
      <c r="D13">
        <v>53792191</v>
      </c>
      <c r="E13">
        <v>1</v>
      </c>
      <c r="F13">
        <v>1</v>
      </c>
      <c r="G13">
        <v>1</v>
      </c>
      <c r="H13">
        <v>2</v>
      </c>
      <c r="I13" t="s">
        <v>224</v>
      </c>
      <c r="J13" t="s">
        <v>225</v>
      </c>
      <c r="K13" t="s">
        <v>226</v>
      </c>
      <c r="L13">
        <v>1367</v>
      </c>
      <c r="N13">
        <v>1011</v>
      </c>
      <c r="O13" t="s">
        <v>227</v>
      </c>
      <c r="P13" t="s">
        <v>227</v>
      </c>
      <c r="Q13">
        <v>1</v>
      </c>
      <c r="X13">
        <v>0.25</v>
      </c>
      <c r="Y13">
        <v>0</v>
      </c>
      <c r="Z13">
        <v>31.26</v>
      </c>
      <c r="AA13">
        <v>13.5</v>
      </c>
      <c r="AB13">
        <v>0</v>
      </c>
      <c r="AC13">
        <v>0</v>
      </c>
      <c r="AD13">
        <v>1</v>
      </c>
      <c r="AE13">
        <v>0</v>
      </c>
      <c r="AG13">
        <v>0.25</v>
      </c>
      <c r="AH13">
        <v>2</v>
      </c>
      <c r="AI13">
        <v>55724813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55724814</v>
      </c>
      <c r="C14">
        <v>55724810</v>
      </c>
      <c r="D14">
        <v>53792927</v>
      </c>
      <c r="E14">
        <v>1</v>
      </c>
      <c r="F14">
        <v>1</v>
      </c>
      <c r="G14">
        <v>1</v>
      </c>
      <c r="H14">
        <v>2</v>
      </c>
      <c r="I14" t="s">
        <v>228</v>
      </c>
      <c r="J14" t="s">
        <v>229</v>
      </c>
      <c r="K14" t="s">
        <v>230</v>
      </c>
      <c r="L14">
        <v>1367</v>
      </c>
      <c r="N14">
        <v>1011</v>
      </c>
      <c r="O14" t="s">
        <v>227</v>
      </c>
      <c r="P14" t="s">
        <v>227</v>
      </c>
      <c r="Q14">
        <v>1</v>
      </c>
      <c r="X14">
        <v>0.25</v>
      </c>
      <c r="Y14">
        <v>0</v>
      </c>
      <c r="Z14">
        <v>65.71</v>
      </c>
      <c r="AA14">
        <v>11.6</v>
      </c>
      <c r="AB14">
        <v>0</v>
      </c>
      <c r="AC14">
        <v>0</v>
      </c>
      <c r="AD14">
        <v>1</v>
      </c>
      <c r="AE14">
        <v>0</v>
      </c>
      <c r="AG14">
        <v>0.25</v>
      </c>
      <c r="AH14">
        <v>2</v>
      </c>
      <c r="AI14">
        <v>55724814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55724815</v>
      </c>
      <c r="C15">
        <v>55724810</v>
      </c>
      <c r="D15">
        <v>53645844</v>
      </c>
      <c r="E15">
        <v>1</v>
      </c>
      <c r="F15">
        <v>1</v>
      </c>
      <c r="G15">
        <v>1</v>
      </c>
      <c r="H15">
        <v>3</v>
      </c>
      <c r="I15" t="s">
        <v>243</v>
      </c>
      <c r="J15" t="s">
        <v>244</v>
      </c>
      <c r="K15" t="s">
        <v>245</v>
      </c>
      <c r="L15">
        <v>1346</v>
      </c>
      <c r="N15">
        <v>1009</v>
      </c>
      <c r="O15" t="s">
        <v>49</v>
      </c>
      <c r="P15" t="s">
        <v>49</v>
      </c>
      <c r="Q15">
        <v>1</v>
      </c>
      <c r="X15">
        <v>0</v>
      </c>
      <c r="Y15">
        <v>23.09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G15">
        <v>0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55724816</v>
      </c>
      <c r="C16">
        <v>55724810</v>
      </c>
      <c r="D16">
        <v>53646032</v>
      </c>
      <c r="E16">
        <v>1</v>
      </c>
      <c r="F16">
        <v>1</v>
      </c>
      <c r="G16">
        <v>1</v>
      </c>
      <c r="H16">
        <v>3</v>
      </c>
      <c r="I16" t="s">
        <v>231</v>
      </c>
      <c r="J16" t="s">
        <v>232</v>
      </c>
      <c r="K16" t="s">
        <v>233</v>
      </c>
      <c r="L16">
        <v>1346</v>
      </c>
      <c r="N16">
        <v>1009</v>
      </c>
      <c r="O16" t="s">
        <v>49</v>
      </c>
      <c r="P16" t="s">
        <v>49</v>
      </c>
      <c r="Q16">
        <v>1</v>
      </c>
      <c r="X16">
        <v>0.2</v>
      </c>
      <c r="Y16">
        <v>1.82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0.2</v>
      </c>
      <c r="AH16">
        <v>2</v>
      </c>
      <c r="AI16">
        <v>55724816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55724817</v>
      </c>
      <c r="C17">
        <v>55724810</v>
      </c>
      <c r="D17">
        <v>53630840</v>
      </c>
      <c r="E17">
        <v>70</v>
      </c>
      <c r="F17">
        <v>1</v>
      </c>
      <c r="G17">
        <v>1</v>
      </c>
      <c r="H17">
        <v>3</v>
      </c>
      <c r="I17" t="s">
        <v>246</v>
      </c>
      <c r="K17" t="s">
        <v>247</v>
      </c>
      <c r="L17">
        <v>1327</v>
      </c>
      <c r="N17">
        <v>1005</v>
      </c>
      <c r="O17" t="s">
        <v>248</v>
      </c>
      <c r="P17" t="s">
        <v>248</v>
      </c>
      <c r="Q17">
        <v>1</v>
      </c>
      <c r="X17">
        <v>99.6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>
        <v>99.6</v>
      </c>
      <c r="AH17">
        <v>3</v>
      </c>
      <c r="AI17">
        <v>-1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55724818</v>
      </c>
      <c r="C18">
        <v>55724810</v>
      </c>
      <c r="D18">
        <v>53632503</v>
      </c>
      <c r="E18">
        <v>70</v>
      </c>
      <c r="F18">
        <v>1</v>
      </c>
      <c r="G18">
        <v>1</v>
      </c>
      <c r="H18">
        <v>3</v>
      </c>
      <c r="I18" t="s">
        <v>249</v>
      </c>
      <c r="K18" t="s">
        <v>250</v>
      </c>
      <c r="L18">
        <v>1348</v>
      </c>
      <c r="N18">
        <v>1009</v>
      </c>
      <c r="O18" t="s">
        <v>53</v>
      </c>
      <c r="P18" t="s">
        <v>53</v>
      </c>
      <c r="Q18">
        <v>1000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G18">
        <v>0</v>
      </c>
      <c r="AH18">
        <v>3</v>
      </c>
      <c r="AI18">
        <v>-1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55724819</v>
      </c>
      <c r="C19">
        <v>55724810</v>
      </c>
      <c r="D19">
        <v>53674525</v>
      </c>
      <c r="E19">
        <v>1</v>
      </c>
      <c r="F19">
        <v>1</v>
      </c>
      <c r="G19">
        <v>1</v>
      </c>
      <c r="H19">
        <v>3</v>
      </c>
      <c r="I19" t="s">
        <v>55</v>
      </c>
      <c r="J19" t="s">
        <v>57</v>
      </c>
      <c r="K19" t="s">
        <v>56</v>
      </c>
      <c r="L19">
        <v>1346</v>
      </c>
      <c r="N19">
        <v>1009</v>
      </c>
      <c r="O19" t="s">
        <v>49</v>
      </c>
      <c r="P19" t="s">
        <v>49</v>
      </c>
      <c r="Q19">
        <v>1</v>
      </c>
      <c r="X19">
        <v>56</v>
      </c>
      <c r="Y19">
        <v>19.61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56</v>
      </c>
      <c r="AH19">
        <v>2</v>
      </c>
      <c r="AI19">
        <v>55724819</v>
      </c>
      <c r="AJ19">
        <v>16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55724820</v>
      </c>
      <c r="C20">
        <v>55724810</v>
      </c>
      <c r="D20">
        <v>53634988</v>
      </c>
      <c r="E20">
        <v>70</v>
      </c>
      <c r="F20">
        <v>1</v>
      </c>
      <c r="G20">
        <v>1</v>
      </c>
      <c r="H20">
        <v>3</v>
      </c>
      <c r="I20" t="s">
        <v>51</v>
      </c>
      <c r="K20" t="s">
        <v>52</v>
      </c>
      <c r="L20">
        <v>1348</v>
      </c>
      <c r="N20">
        <v>1009</v>
      </c>
      <c r="O20" t="s">
        <v>53</v>
      </c>
      <c r="P20" t="s">
        <v>53</v>
      </c>
      <c r="Q20">
        <v>1000</v>
      </c>
      <c r="X20">
        <v>1.22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1.22</v>
      </c>
      <c r="AH20">
        <v>2</v>
      </c>
      <c r="AI20">
        <v>55724820</v>
      </c>
      <c r="AJ20">
        <v>17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ROW(Source!A76)</f>
        <v>76</v>
      </c>
      <c r="B21">
        <v>55724748</v>
      </c>
      <c r="C21">
        <v>55724745</v>
      </c>
      <c r="D21">
        <v>37822859</v>
      </c>
      <c r="E21">
        <v>54</v>
      </c>
      <c r="F21">
        <v>1</v>
      </c>
      <c r="G21">
        <v>1</v>
      </c>
      <c r="H21">
        <v>1</v>
      </c>
      <c r="I21" t="s">
        <v>234</v>
      </c>
      <c r="K21" t="s">
        <v>235</v>
      </c>
      <c r="L21">
        <v>1191</v>
      </c>
      <c r="N21">
        <v>1013</v>
      </c>
      <c r="O21" t="s">
        <v>221</v>
      </c>
      <c r="P21" t="s">
        <v>221</v>
      </c>
      <c r="Q21">
        <v>1</v>
      </c>
      <c r="X21">
        <v>188</v>
      </c>
      <c r="Y21">
        <v>0</v>
      </c>
      <c r="Z21">
        <v>0</v>
      </c>
      <c r="AA21">
        <v>0</v>
      </c>
      <c r="AB21">
        <v>7.25</v>
      </c>
      <c r="AC21">
        <v>0</v>
      </c>
      <c r="AD21">
        <v>1</v>
      </c>
      <c r="AE21">
        <v>1</v>
      </c>
      <c r="AG21">
        <v>188</v>
      </c>
      <c r="AH21">
        <v>2</v>
      </c>
      <c r="AI21">
        <v>55724746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ROW(Source!A76)</f>
        <v>76</v>
      </c>
      <c r="B22">
        <v>55724749</v>
      </c>
      <c r="C22">
        <v>55724745</v>
      </c>
      <c r="D22">
        <v>44805115</v>
      </c>
      <c r="E22">
        <v>54</v>
      </c>
      <c r="F22">
        <v>1</v>
      </c>
      <c r="G22">
        <v>1</v>
      </c>
      <c r="H22">
        <v>3</v>
      </c>
      <c r="I22" t="s">
        <v>51</v>
      </c>
      <c r="K22" t="s">
        <v>52</v>
      </c>
      <c r="L22">
        <v>1348</v>
      </c>
      <c r="N22">
        <v>1009</v>
      </c>
      <c r="O22" t="s">
        <v>53</v>
      </c>
      <c r="P22" t="s">
        <v>53</v>
      </c>
      <c r="Q22">
        <v>1000</v>
      </c>
      <c r="X22">
        <v>100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100</v>
      </c>
      <c r="AH22">
        <v>3</v>
      </c>
      <c r="AI22">
        <v>-1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ROW(Source!A77)</f>
        <v>77</v>
      </c>
      <c r="B23">
        <v>55724748</v>
      </c>
      <c r="C23">
        <v>55724745</v>
      </c>
      <c r="D23">
        <v>37822859</v>
      </c>
      <c r="E23">
        <v>54</v>
      </c>
      <c r="F23">
        <v>1</v>
      </c>
      <c r="G23">
        <v>1</v>
      </c>
      <c r="H23">
        <v>1</v>
      </c>
      <c r="I23" t="s">
        <v>234</v>
      </c>
      <c r="K23" t="s">
        <v>235</v>
      </c>
      <c r="L23">
        <v>1191</v>
      </c>
      <c r="N23">
        <v>1013</v>
      </c>
      <c r="O23" t="s">
        <v>221</v>
      </c>
      <c r="P23" t="s">
        <v>221</v>
      </c>
      <c r="Q23">
        <v>1</v>
      </c>
      <c r="X23">
        <v>188</v>
      </c>
      <c r="Y23">
        <v>0</v>
      </c>
      <c r="Z23">
        <v>0</v>
      </c>
      <c r="AA23">
        <v>0</v>
      </c>
      <c r="AB23">
        <v>7.25</v>
      </c>
      <c r="AC23">
        <v>0</v>
      </c>
      <c r="AD23">
        <v>1</v>
      </c>
      <c r="AE23">
        <v>1</v>
      </c>
      <c r="AG23">
        <v>188</v>
      </c>
      <c r="AH23">
        <v>2</v>
      </c>
      <c r="AI23">
        <v>55724746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ROW(Source!A77)</f>
        <v>77</v>
      </c>
      <c r="B24">
        <v>55724749</v>
      </c>
      <c r="C24">
        <v>55724745</v>
      </c>
      <c r="D24">
        <v>44805115</v>
      </c>
      <c r="E24">
        <v>54</v>
      </c>
      <c r="F24">
        <v>1</v>
      </c>
      <c r="G24">
        <v>1</v>
      </c>
      <c r="H24">
        <v>3</v>
      </c>
      <c r="I24" t="s">
        <v>51</v>
      </c>
      <c r="K24" t="s">
        <v>52</v>
      </c>
      <c r="L24">
        <v>1348</v>
      </c>
      <c r="N24">
        <v>1009</v>
      </c>
      <c r="O24" t="s">
        <v>53</v>
      </c>
      <c r="P24" t="s">
        <v>53</v>
      </c>
      <c r="Q24">
        <v>1000</v>
      </c>
      <c r="X24">
        <v>100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v>100</v>
      </c>
      <c r="AH24">
        <v>3</v>
      </c>
      <c r="AI24">
        <v>-1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2024-02-12T13:30:38Z</cp:lastPrinted>
  <dcterms:created xsi:type="dcterms:W3CDTF">2024-02-08T09:50:10Z</dcterms:created>
  <dcterms:modified xsi:type="dcterms:W3CDTF">2024-03-11T12:44:55Z</dcterms:modified>
  <cp:category/>
  <cp:version/>
  <cp:contentType/>
  <cp:contentStatus/>
</cp:coreProperties>
</file>